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105" windowWidth="15480" windowHeight="5115" tabRatio="963" activeTab="2"/>
  </bookViews>
  <sheets>
    <sheet name="Revision Control Rev 2" sheetId="160" r:id="rId1"/>
    <sheet name="Protocol Matrix Rev 2" sheetId="161" r:id="rId2"/>
    <sheet name="Attachment O Rev 2" sheetId="159" r:id="rId3"/>
    <sheet name="Attachment GG Rev 2" sheetId="158" r:id="rId4"/>
    <sheet name="Attach GG Support Data Rev 2" sheetId="157" r:id="rId5"/>
    <sheet name="Attachment GG Proj Description" sheetId="156" r:id="rId6"/>
    <sheet name="Attachment MM Rev 2" sheetId="155" r:id="rId7"/>
    <sheet name="Attach MM Support Data Rev 2" sheetId="154" r:id="rId8"/>
    <sheet name="Attachment MM Proj Description" sheetId="153" r:id="rId9"/>
    <sheet name="Cover Rev 2" sheetId="134" r:id="rId10"/>
    <sheet name="Gross Plant" sheetId="3" r:id="rId11"/>
    <sheet name="Accum Deprec" sheetId="127" r:id="rId12"/>
    <sheet name="CWIP" sheetId="133" r:id="rId13"/>
    <sheet name="Adj to Rate Base" sheetId="128" r:id="rId14"/>
    <sheet name="Prefunded AFUDC" sheetId="149" r:id="rId15"/>
    <sheet name="Land HFFU" sheetId="129" r:id="rId16"/>
    <sheet name="Working Capital" sheetId="130" r:id="rId17"/>
    <sheet name="O&amp;M" sheetId="37" r:id="rId18"/>
    <sheet name="Dep &amp; Amort Exp" sheetId="42" r:id="rId19"/>
    <sheet name="Taxes Other Than Income" sheetId="84" r:id="rId20"/>
    <sheet name="Support for Allocation Factors" sheetId="131" r:id="rId21"/>
    <sheet name="Capital Structure" sheetId="132" r:id="rId22"/>
    <sheet name="Rev Credits Rev 2" sheetId="141" r:id="rId23"/>
    <sheet name="Prior Year True Up Rev 1" sheetId="136" r:id="rId24"/>
    <sheet name="True Up Interest Calc Rev 1" sheetId="137" r:id="rId25"/>
    <sheet name="Divisor Rev 1" sheetId="135" r:id="rId26"/>
    <sheet name="Revenue Cr MISO Review Rev 2 " sheetId="140" r:id="rId27"/>
    <sheet name="CWIP Detail" sheetId="148" r:id="rId28"/>
    <sheet name="GG and MM Proj with CWIP Rev 2" sheetId="147" r:id="rId29"/>
    <sheet name="Attachment GG and MM Proj Rev 2" sheetId="142" r:id="rId30"/>
  </sheets>
  <externalReferences>
    <externalReference r:id="rId31"/>
  </externalReferences>
  <definedNames>
    <definedName name="_Order1" hidden="1">255</definedName>
    <definedName name="_Order2" hidden="1">255</definedName>
    <definedName name="ACwvu.DATABASE." hidden="1">[1]DATABASE!#REF!</definedName>
    <definedName name="ACwvu.Distplt." localSheetId="11" hidden="1">'Accum Deprec'!#REF!</definedName>
    <definedName name="ACwvu.Distplt." localSheetId="13" hidden="1">'Adj to Rate Base'!#REF!</definedName>
    <definedName name="ACwvu.Distplt." localSheetId="12" hidden="1">CWIP!#REF!</definedName>
    <definedName name="ACwvu.Distplt." localSheetId="10" hidden="1">'Gross Plant'!#REF!</definedName>
    <definedName name="ACwvu.Distplt." localSheetId="15" hidden="1">'Land HFFU'!#REF!</definedName>
    <definedName name="ACwvu.Distplt." localSheetId="16" hidden="1">'Working Capital'!#REF!</definedName>
    <definedName name="ACwvu.Plant." localSheetId="11" hidden="1">'Accum Deprec'!#REF!</definedName>
    <definedName name="ACwvu.Plant." localSheetId="13" hidden="1">'Adj to Rate Base'!#REF!</definedName>
    <definedName name="ACwvu.Plant." localSheetId="12" hidden="1">CWIP!#REF!</definedName>
    <definedName name="ACwvu.Plant." localSheetId="10" hidden="1">'Gross Plant'!#REF!</definedName>
    <definedName name="ACwvu.Plant." localSheetId="15" hidden="1">'Land HFFU'!#REF!</definedName>
    <definedName name="ACwvu.Plant." localSheetId="16" hidden="1">'Working Capital'!#REF!</definedName>
    <definedName name="AS2DocOpenMode" hidden="1">"AS2DocumentEdit"</definedName>
    <definedName name="er" localSheetId="11" hidden="1">{TRUE,TRUE,-1.25,-15.5,484.5,279.75,FALSE,FALSE,TRUE,TRUE,0,3,#N/A,1,#N/A,6.54545454545454,15.55,1,FALSE,FALSE,3,TRUE,1,FALSE,100,"Swvu.WP1.","ACwvu.WP1.",1,FALSE,FALSE,0.25,0.25,0.25,0.25,1,"","&amp;L&amp;D &amp;T NBW&amp;C&amp;P&amp;R&amp;F",FALSE,FALSE,FALSE,FALSE,1,100,#N/A,#N/A,FALSE,FALSE,#N/A,#N/A,FALSE,FALSE}</definedName>
    <definedName name="er" localSheetId="13" hidden="1">{TRUE,TRUE,-1.25,-15.5,484.5,279.75,FALSE,FALSE,TRUE,TRUE,0,3,#N/A,1,#N/A,6.54545454545454,15.55,1,FALSE,FALSE,3,TRUE,1,FALSE,100,"Swvu.WP1.","ACwvu.WP1.",1,FALSE,FALSE,0.25,0.25,0.25,0.25,1,"","&amp;L&amp;D &amp;T NBW&amp;C&amp;P&amp;R&amp;F",FALSE,FALSE,FALSE,FALSE,1,100,#N/A,#N/A,FALSE,FALSE,#N/A,#N/A,FALSE,FALSE}</definedName>
    <definedName name="er" localSheetId="21"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localSheetId="12" hidden="1">{TRUE,TRUE,-1.25,-15.5,484.5,279.75,FALSE,FALSE,TRUE,TRUE,0,3,#N/A,1,#N/A,6.54545454545454,15.55,1,FALSE,FALSE,3,TRUE,1,FALSE,100,"Swvu.WP1.","ACwvu.WP1.",1,FALSE,FALSE,0.25,0.25,0.25,0.25,1,"","&amp;L&amp;D &amp;T NBW&amp;C&amp;P&amp;R&amp;F",FALSE,FALSE,FALSE,FALSE,1,100,#N/A,#N/A,FALSE,FALSE,#N/A,#N/A,FALSE,FALSE}</definedName>
    <definedName name="er" localSheetId="18" hidden="1">{TRUE,TRUE,-1.25,-15.5,484.5,279.75,FALSE,FALSE,TRUE,TRUE,0,3,#N/A,1,#N/A,6.54545454545454,15.55,1,FALSE,FALSE,3,TRUE,1,FALSE,100,"Swvu.WP1.","ACwvu.WP1.",1,FALSE,FALSE,0.25,0.25,0.25,0.25,1,"","&amp;L&amp;D &amp;T NBW&amp;C&amp;P&amp;R&amp;F",FALSE,FALSE,FALSE,FALSE,1,100,#N/A,#N/A,FALSE,FALSE,#N/A,#N/A,FALSE,FALSE}</definedName>
    <definedName name="er" localSheetId="10" hidden="1">{TRUE,TRUE,-1.25,-15.5,484.5,279.75,FALSE,FALSE,TRUE,TRUE,0,3,#N/A,1,#N/A,6.54545454545454,15.55,1,FALSE,FALSE,3,TRUE,1,FALSE,100,"Swvu.WP1.","ACwvu.WP1.",1,FALSE,FALSE,0.25,0.25,0.25,0.25,1,"","&amp;L&amp;D &amp;T NBW&amp;C&amp;P&amp;R&amp;F",FALSE,FALSE,FALSE,FALSE,1,100,#N/A,#N/A,FALSE,FALSE,#N/A,#N/A,FALSE,FALSE}</definedName>
    <definedName name="er" localSheetId="15" hidden="1">{TRUE,TRUE,-1.25,-15.5,484.5,279.75,FALSE,FALSE,TRUE,TRUE,0,3,#N/A,1,#N/A,6.54545454545454,15.55,1,FALSE,FALSE,3,TRUE,1,FALSE,100,"Swvu.WP1.","ACwvu.WP1.",1,FALSE,FALSE,0.25,0.25,0.25,0.25,1,"","&amp;L&amp;D &amp;T NBW&amp;C&amp;P&amp;R&amp;F",FALSE,FALSE,FALSE,FALSE,1,100,#N/A,#N/A,FALSE,FALSE,#N/A,#N/A,FALSE,FALSE}</definedName>
    <definedName name="er" localSheetId="20" hidden="1">{TRUE,TRUE,-1.25,-15.5,484.5,279.75,FALSE,FALSE,TRUE,TRUE,0,3,#N/A,1,#N/A,6.54545454545454,15.55,1,FALSE,FALSE,3,TRUE,1,FALSE,100,"Swvu.WP1.","ACwvu.WP1.",1,FALSE,FALSE,0.25,0.25,0.25,0.25,1,"","&amp;L&amp;D &amp;T NBW&amp;C&amp;P&amp;R&amp;F",FALSE,FALSE,FALSE,FALSE,1,100,#N/A,#N/A,FALSE,FALSE,#N/A,#N/A,FALSE,FALSE}</definedName>
    <definedName name="er" localSheetId="19" hidden="1">{TRUE,TRUE,-1.25,-15.5,484.5,279.75,FALSE,FALSE,TRUE,TRUE,0,3,#N/A,1,#N/A,6.54545454545454,15.55,1,FALSE,FALSE,3,TRUE,1,FALSE,100,"Swvu.WP1.","ACwvu.WP1.",1,FALSE,FALSE,0.25,0.25,0.25,0.25,1,"","&amp;L&amp;D &amp;T NBW&amp;C&amp;P&amp;R&amp;F",FALSE,FALSE,FALSE,FALSE,1,100,#N/A,#N/A,FALSE,FALSE,#N/A,#N/A,FALSE,FALSE}</definedName>
    <definedName name="er" localSheetId="16"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_xlnm.Print_Area" localSheetId="11">'Accum Deprec'!$A$1:$N$70</definedName>
    <definedName name="_xlnm.Print_Area" localSheetId="13">'Adj to Rate Base'!$A$1:$T$82</definedName>
    <definedName name="_xlnm.Print_Area" localSheetId="3">'Attachment GG Rev 2'!$A$1:$N$111</definedName>
    <definedName name="_xlnm.Print_Area" localSheetId="6">'Attachment MM Rev 2'!$A$1:$R$108</definedName>
    <definedName name="_xlnm.Print_Area" localSheetId="2">'Attachment O Rev 2'!$A$1:$K$373</definedName>
    <definedName name="_xlnm.Print_Area" localSheetId="21">'Capital Structure'!$A$1:$L$34</definedName>
    <definedName name="_xlnm.Print_Area" localSheetId="18">'Dep &amp; Amort Exp'!$A$1:$N$64</definedName>
    <definedName name="_xlnm.Print_Area" localSheetId="28">'GG and MM Proj with CWIP Rev 2'!$A$1:$P$98</definedName>
    <definedName name="_xlnm.Print_Area" localSheetId="10">'Gross Plant'!$A$1:$N$70</definedName>
    <definedName name="_xlnm.Print_Area" localSheetId="15">'Land HFFU'!$A$1:$M$64</definedName>
    <definedName name="_xlnm.Print_Area" localSheetId="20">'Support for Allocation Factors'!$A$1:$J$39</definedName>
    <definedName name="_xlnm.Print_Area" localSheetId="19">'Taxes Other Than Income'!$A$1:$J$31</definedName>
    <definedName name="_xlnm.Print_Area" localSheetId="16">'Working Capital'!$A$1:$F$94</definedName>
    <definedName name="q" localSheetId="11" hidden="1">{"MATALL",#N/A,FALSE,"Sheet4";"matclass",#N/A,FALSE,"Sheet4"}</definedName>
    <definedName name="q" localSheetId="13" hidden="1">{"MATALL",#N/A,FALSE,"Sheet4";"matclass",#N/A,FALSE,"Sheet4"}</definedName>
    <definedName name="q" localSheetId="21" hidden="1">{"MATALL",#N/A,FALSE,"Sheet4";"matclass",#N/A,FALSE,"Sheet4"}</definedName>
    <definedName name="q" localSheetId="9" hidden="1">{"MATALL",#N/A,FALSE,"Sheet4";"matclass",#N/A,FALSE,"Sheet4"}</definedName>
    <definedName name="q" localSheetId="12" hidden="1">{"MATALL",#N/A,FALSE,"Sheet4";"matclass",#N/A,FALSE,"Sheet4"}</definedName>
    <definedName name="q" localSheetId="15" hidden="1">{"MATALL",#N/A,FALSE,"Sheet4";"matclass",#N/A,FALSE,"Sheet4"}</definedName>
    <definedName name="q" localSheetId="20" hidden="1">{"MATALL",#N/A,FALSE,"Sheet4";"matclass",#N/A,FALSE,"Sheet4"}</definedName>
    <definedName name="q" localSheetId="16" hidden="1">{"MATALL",#N/A,FALSE,"Sheet4";"matclass",#N/A,FALSE,"Sheet4"}</definedName>
    <definedName name="q" hidden="1">{"MATALL",#N/A,FALSE,"Sheet4";"matclass",#N/A,FALSE,"Sheet4"}</definedName>
    <definedName name="Swvu.DATABASE." hidden="1">[1]DATABASE!#REF!</definedName>
    <definedName name="Swvu.Distplt." localSheetId="11" hidden="1">'Accum Deprec'!#REF!</definedName>
    <definedName name="Swvu.Distplt." localSheetId="13" hidden="1">'Adj to Rate Base'!#REF!</definedName>
    <definedName name="Swvu.Distplt." localSheetId="12" hidden="1">CWIP!#REF!</definedName>
    <definedName name="Swvu.Distplt." localSheetId="10" hidden="1">'Gross Plant'!#REF!</definedName>
    <definedName name="Swvu.Distplt." localSheetId="15" hidden="1">'Land HFFU'!#REF!</definedName>
    <definedName name="Swvu.Distplt." localSheetId="16" hidden="1">'Working Capital'!#REF!</definedName>
    <definedName name="Swvu.Plant." localSheetId="11" hidden="1">'Accum Deprec'!#REF!</definedName>
    <definedName name="Swvu.Plant." localSheetId="13" hidden="1">'Adj to Rate Base'!#REF!</definedName>
    <definedName name="Swvu.Plant." localSheetId="12" hidden="1">CWIP!#REF!</definedName>
    <definedName name="Swvu.Plant." localSheetId="10" hidden="1">'Gross Plant'!#REF!</definedName>
    <definedName name="Swvu.Plant." localSheetId="15" hidden="1">'Land HFFU'!#REF!</definedName>
    <definedName name="Swvu.Plant." localSheetId="16" hidden="1">'Working Capital'!#REF!</definedName>
    <definedName name="TEST" localSheetId="11" hidden="1">{TRUE,TRUE,-1.25,-15.5,484.5,279.75,FALSE,FALSE,TRUE,TRUE,0,3,#N/A,1,#N/A,6.54545454545454,15.55,1,FALSE,FALSE,3,TRUE,1,FALSE,100,"Swvu.WP1.","ACwvu.WP1.",1,FALSE,FALSE,0.25,0.25,0.25,0.25,1,"","&amp;L&amp;D &amp;T NBW&amp;C&amp;P&amp;R&amp;F",FALSE,FALSE,FALSE,FALSE,1,100,#N/A,#N/A,FALSE,FALSE,#N/A,#N/A,FALSE,FALSE}</definedName>
    <definedName name="TEST" localSheetId="13" hidden="1">{TRUE,TRUE,-1.25,-15.5,484.5,279.75,FALSE,FALSE,TRUE,TRUE,0,3,#N/A,1,#N/A,6.54545454545454,15.55,1,FALSE,FALSE,3,TRUE,1,FALSE,100,"Swvu.WP1.","ACwvu.WP1.",1,FALSE,FALSE,0.25,0.25,0.25,0.25,1,"","&amp;L&amp;D &amp;T NBW&amp;C&amp;P&amp;R&amp;F",FALSE,FALSE,FALSE,FALSE,1,100,#N/A,#N/A,FALSE,FALSE,#N/A,#N/A,FALSE,FALSE}</definedName>
    <definedName name="TEST" localSheetId="21"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localSheetId="12" hidden="1">{TRUE,TRUE,-1.25,-15.5,484.5,279.75,FALSE,FALSE,TRUE,TRUE,0,3,#N/A,1,#N/A,6.54545454545454,15.55,1,FALSE,FALSE,3,TRUE,1,FALSE,100,"Swvu.WP1.","ACwvu.WP1.",1,FALSE,FALSE,0.25,0.25,0.25,0.25,1,"","&amp;L&amp;D &amp;T NBW&amp;C&amp;P&amp;R&amp;F",FALSE,FALSE,FALSE,FALSE,1,100,#N/A,#N/A,FALSE,FALSE,#N/A,#N/A,FALSE,FALSE}</definedName>
    <definedName name="TEST" localSheetId="18" hidden="1">{TRUE,TRUE,-1.25,-15.5,484.5,279.75,FALSE,FALSE,TRUE,TRUE,0,3,#N/A,1,#N/A,6.54545454545454,15.55,1,FALSE,FALSE,3,TRUE,1,FALSE,100,"Swvu.WP1.","ACwvu.WP1.",1,FALSE,FALSE,0.25,0.25,0.25,0.25,1,"","&amp;L&amp;D &amp;T NBW&amp;C&amp;P&amp;R&amp;F",FALSE,FALSE,FALSE,FALSE,1,100,#N/A,#N/A,FALSE,FALSE,#N/A,#N/A,FALSE,FALSE}</definedName>
    <definedName name="TEST" localSheetId="10" hidden="1">{TRUE,TRUE,-1.25,-15.5,484.5,279.75,FALSE,FALSE,TRUE,TRUE,0,3,#N/A,1,#N/A,6.54545454545454,15.55,1,FALSE,FALSE,3,TRUE,1,FALSE,100,"Swvu.WP1.","ACwvu.WP1.",1,FALSE,FALSE,0.25,0.25,0.25,0.25,1,"","&amp;L&amp;D &amp;T NBW&amp;C&amp;P&amp;R&amp;F",FALSE,FALSE,FALSE,FALSE,1,100,#N/A,#N/A,FALSE,FALSE,#N/A,#N/A,FALSE,FALSE}</definedName>
    <definedName name="TEST" localSheetId="15" hidden="1">{TRUE,TRUE,-1.25,-15.5,484.5,279.75,FALSE,FALSE,TRUE,TRUE,0,3,#N/A,1,#N/A,6.54545454545454,15.55,1,FALSE,FALSE,3,TRUE,1,FALSE,100,"Swvu.WP1.","ACwvu.WP1.",1,FALSE,FALSE,0.25,0.25,0.25,0.25,1,"","&amp;L&amp;D &amp;T NBW&amp;C&amp;P&amp;R&amp;F",FALSE,FALSE,FALSE,FALSE,1,100,#N/A,#N/A,FALSE,FALSE,#N/A,#N/A,FALSE,FALSE}</definedName>
    <definedName name="TEST" localSheetId="20" hidden="1">{TRUE,TRUE,-1.25,-15.5,484.5,279.75,FALSE,FALSE,TRUE,TRUE,0,3,#N/A,1,#N/A,6.54545454545454,15.55,1,FALSE,FALSE,3,TRUE,1,FALSE,100,"Swvu.WP1.","ACwvu.WP1.",1,FALSE,FALSE,0.25,0.25,0.25,0.25,1,"","&amp;L&amp;D &amp;T NBW&amp;C&amp;P&amp;R&amp;F",FALSE,FALSE,FALSE,FALSE,1,100,#N/A,#N/A,FALSE,FALSE,#N/A,#N/A,FALSE,FALSE}</definedName>
    <definedName name="TEST" localSheetId="19" hidden="1">{TRUE,TRUE,-1.25,-15.5,484.5,279.75,FALSE,FALSE,TRUE,TRUE,0,3,#N/A,1,#N/A,6.54545454545454,15.55,1,FALSE,FALSE,3,TRUE,1,FALSE,100,"Swvu.WP1.","ACwvu.WP1.",1,FALSE,FALSE,0.25,0.25,0.25,0.25,1,"","&amp;L&amp;D &amp;T NBW&amp;C&amp;P&amp;R&amp;F",FALSE,FALSE,FALSE,FALSE,1,100,#N/A,#N/A,FALSE,FALSE,#N/A,#N/A,FALSE,FALSE}</definedName>
    <definedName name="TEST" localSheetId="16"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localSheetId="11" hidden="1">{"MATALL",#N/A,FALSE,"Sheet4";"matclass",#N/A,FALSE,"Sheet4"}</definedName>
    <definedName name="w" localSheetId="13" hidden="1">{"MATALL",#N/A,FALSE,"Sheet4";"matclass",#N/A,FALSE,"Sheet4"}</definedName>
    <definedName name="w" localSheetId="21" hidden="1">{"MATALL",#N/A,FALSE,"Sheet4";"matclass",#N/A,FALSE,"Sheet4"}</definedName>
    <definedName name="w" localSheetId="9" hidden="1">{"MATALL",#N/A,FALSE,"Sheet4";"matclass",#N/A,FALSE,"Sheet4"}</definedName>
    <definedName name="w" localSheetId="12" hidden="1">{"MATALL",#N/A,FALSE,"Sheet4";"matclass",#N/A,FALSE,"Sheet4"}</definedName>
    <definedName name="w" localSheetId="15" hidden="1">{"MATALL",#N/A,FALSE,"Sheet4";"matclass",#N/A,FALSE,"Sheet4"}</definedName>
    <definedName name="w" localSheetId="20" hidden="1">{"MATALL",#N/A,FALSE,"Sheet4";"matclass",#N/A,FALSE,"Sheet4"}</definedName>
    <definedName name="w" localSheetId="16" hidden="1">{"MATALL",#N/A,FALSE,"Sheet4";"matclass",#N/A,FALSE,"Sheet4"}</definedName>
    <definedName name="w" hidden="1">{"MATALL",#N/A,FALSE,"Sheet4";"matclass",#N/A,FALSE,"Sheet4"}</definedName>
    <definedName name="WORKCAPa" localSheetId="11" hidden="1">{"WCCWCLL",#N/A,FALSE,"Sheet3";"PP",#N/A,FALSE,"Sheet3";"MAT1",#N/A,FALSE,"Sheet3";"MAT2",#N/A,FALSE,"Sheet3"}</definedName>
    <definedName name="WORKCAPa" localSheetId="13" hidden="1">{"WCCWCLL",#N/A,FALSE,"Sheet3";"PP",#N/A,FALSE,"Sheet3";"MAT1",#N/A,FALSE,"Sheet3";"MAT2",#N/A,FALSE,"Sheet3"}</definedName>
    <definedName name="WORKCAPa" localSheetId="21" hidden="1">{"WCCWCLL",#N/A,FALSE,"Sheet3";"PP",#N/A,FALSE,"Sheet3";"MAT1",#N/A,FALSE,"Sheet3";"MAT2",#N/A,FALSE,"Sheet3"}</definedName>
    <definedName name="WORKCAPa" localSheetId="9" hidden="1">{"WCCWCLL",#N/A,FALSE,"Sheet3";"PP",#N/A,FALSE,"Sheet3";"MAT1",#N/A,FALSE,"Sheet3";"MAT2",#N/A,FALSE,"Sheet3"}</definedName>
    <definedName name="WORKCAPa" localSheetId="12" hidden="1">{"WCCWCLL",#N/A,FALSE,"Sheet3";"PP",#N/A,FALSE,"Sheet3";"MAT1",#N/A,FALSE,"Sheet3";"MAT2",#N/A,FALSE,"Sheet3"}</definedName>
    <definedName name="WORKCAPa" localSheetId="18" hidden="1">{"WCCWCLL",#N/A,FALSE,"Sheet3";"PP",#N/A,FALSE,"Sheet3";"MAT1",#N/A,FALSE,"Sheet3";"MAT2",#N/A,FALSE,"Sheet3"}</definedName>
    <definedName name="WORKCAPa" localSheetId="10" hidden="1">{"WCCWCLL",#N/A,FALSE,"Sheet3";"PP",#N/A,FALSE,"Sheet3";"MAT1",#N/A,FALSE,"Sheet3";"MAT2",#N/A,FALSE,"Sheet3"}</definedName>
    <definedName name="WORKCAPa" localSheetId="15" hidden="1">{"WCCWCLL",#N/A,FALSE,"Sheet3";"PP",#N/A,FALSE,"Sheet3";"MAT1",#N/A,FALSE,"Sheet3";"MAT2",#N/A,FALSE,"Sheet3"}</definedName>
    <definedName name="WORKCAPa" localSheetId="17" hidden="1">{"WCCWCLL",#N/A,FALSE,"Sheet3";"PP",#N/A,FALSE,"Sheet3";"MAT1",#N/A,FALSE,"Sheet3";"MAT2",#N/A,FALSE,"Sheet3"}</definedName>
    <definedName name="WORKCAPa" localSheetId="20" hidden="1">{"WCCWCLL",#N/A,FALSE,"Sheet3";"PP",#N/A,FALSE,"Sheet3";"MAT1",#N/A,FALSE,"Sheet3";"MAT2",#N/A,FALSE,"Sheet3"}</definedName>
    <definedName name="WORKCAPa" localSheetId="19" hidden="1">{"WCCWCLL",#N/A,FALSE,"Sheet3";"PP",#N/A,FALSE,"Sheet3";"MAT1",#N/A,FALSE,"Sheet3";"MAT2",#N/A,FALSE,"Sheet3"}</definedName>
    <definedName name="WORKCAPa" localSheetId="16" hidden="1">{"WCCWCLL",#N/A,FALSE,"Sheet3";"PP",#N/A,FALSE,"Sheet3";"MAT1",#N/A,FALSE,"Sheet3";"MAT2",#N/A,FALSE,"Sheet3"}</definedName>
    <definedName name="WORKCAPa" hidden="1">{"WCCWCLL",#N/A,FALSE,"Sheet3";"PP",#N/A,FALSE,"Sheet3";"MAT1",#N/A,FALSE,"Sheet3";"MAT2",#N/A,FALSE,"Sheet3"}</definedName>
    <definedName name="wrn.cwip." localSheetId="11" hidden="1">{"CWIP2",#N/A,FALSE,"CWIP";"CWIP3",#N/A,FALSE,"CWIP"}</definedName>
    <definedName name="wrn.cwip." localSheetId="13" hidden="1">{"CWIP2",#N/A,FALSE,"CWIP";"CWIP3",#N/A,FALSE,"CWIP"}</definedName>
    <definedName name="wrn.cwip." localSheetId="21" hidden="1">{"CWIP2",#N/A,FALSE,"CWIP";"CWIP3",#N/A,FALSE,"CWIP"}</definedName>
    <definedName name="wrn.cwip." localSheetId="9" hidden="1">{"CWIP2",#N/A,FALSE,"CWIP";"CWIP3",#N/A,FALSE,"CWIP"}</definedName>
    <definedName name="wrn.cwip." localSheetId="12" hidden="1">{"CWIP2",#N/A,FALSE,"CWIP";"CWIP3",#N/A,FALSE,"CWIP"}</definedName>
    <definedName name="wrn.cwip." localSheetId="18" hidden="1">{"CWIP2",#N/A,FALSE,"CWIP";"CWIP3",#N/A,FALSE,"CWIP"}</definedName>
    <definedName name="wrn.cwip." localSheetId="10" hidden="1">{"CWIP2",#N/A,FALSE,"CWIP";"CWIP3",#N/A,FALSE,"CWIP"}</definedName>
    <definedName name="wrn.cwip." localSheetId="15" hidden="1">{"CWIP2",#N/A,FALSE,"CWIP";"CWIP3",#N/A,FALSE,"CWIP"}</definedName>
    <definedName name="wrn.cwip." localSheetId="17" hidden="1">{"CWIP2",#N/A,FALSE,"CWIP";"CWIP3",#N/A,FALSE,"CWIP"}</definedName>
    <definedName name="wrn.cwip." localSheetId="20" hidden="1">{"CWIP2",#N/A,FALSE,"CWIP";"CWIP3",#N/A,FALSE,"CWIP"}</definedName>
    <definedName name="wrn.cwip." localSheetId="19" hidden="1">{"CWIP2",#N/A,FALSE,"CWIP";"CWIP3",#N/A,FALSE,"CWIP"}</definedName>
    <definedName name="wrn.cwip." localSheetId="16" hidden="1">{"CWIP2",#N/A,FALSE,"CWIP";"CWIP3",#N/A,FALSE,"CWIP"}</definedName>
    <definedName name="wrn.cwip." hidden="1">{"CWIP2",#N/A,FALSE,"CWIP";"CWIP3",#N/A,FALSE,"CWIP"}</definedName>
    <definedName name="wrn.cwipa" localSheetId="11" hidden="1">{"CWIP2",#N/A,FALSE,"CWIP";"CWIP3",#N/A,FALSE,"CWIP"}</definedName>
    <definedName name="wrn.cwipa" localSheetId="13" hidden="1">{"CWIP2",#N/A,FALSE,"CWIP";"CWIP3",#N/A,FALSE,"CWIP"}</definedName>
    <definedName name="wrn.cwipa" localSheetId="21" hidden="1">{"CWIP2",#N/A,FALSE,"CWIP";"CWIP3",#N/A,FALSE,"CWIP"}</definedName>
    <definedName name="wrn.cwipa" localSheetId="9" hidden="1">{"CWIP2",#N/A,FALSE,"CWIP";"CWIP3",#N/A,FALSE,"CWIP"}</definedName>
    <definedName name="wrn.cwipa" localSheetId="12" hidden="1">{"CWIP2",#N/A,FALSE,"CWIP";"CWIP3",#N/A,FALSE,"CWIP"}</definedName>
    <definedName name="wrn.cwipa" localSheetId="18" hidden="1">{"CWIP2",#N/A,FALSE,"CWIP";"CWIP3",#N/A,FALSE,"CWIP"}</definedName>
    <definedName name="wrn.cwipa" localSheetId="10" hidden="1">{"CWIP2",#N/A,FALSE,"CWIP";"CWIP3",#N/A,FALSE,"CWIP"}</definedName>
    <definedName name="wrn.cwipa" localSheetId="15" hidden="1">{"CWIP2",#N/A,FALSE,"CWIP";"CWIP3",#N/A,FALSE,"CWIP"}</definedName>
    <definedName name="wrn.cwipa" localSheetId="17" hidden="1">{"CWIP2",#N/A,FALSE,"CWIP";"CWIP3",#N/A,FALSE,"CWIP"}</definedName>
    <definedName name="wrn.cwipa" localSheetId="20" hidden="1">{"CWIP2",#N/A,FALSE,"CWIP";"CWIP3",#N/A,FALSE,"CWIP"}</definedName>
    <definedName name="wrn.cwipa" localSheetId="19" hidden="1">{"CWIP2",#N/A,FALSE,"CWIP";"CWIP3",#N/A,FALSE,"CWIP"}</definedName>
    <definedName name="wrn.cwipa" localSheetId="16" hidden="1">{"CWIP2",#N/A,FALSE,"CWIP";"CWIP3",#N/A,FALSE,"CWIP"}</definedName>
    <definedName name="wrn.cwipa" hidden="1">{"CWIP2",#N/A,FALSE,"CWIP";"CWIP3",#N/A,FALSE,"CWIP"}</definedName>
    <definedName name="wrn.Earnings._.Test." localSheetId="1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5"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1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5"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11" hidden="1">{"MATALL",#N/A,FALSE,"Sheet4";"matclass",#N/A,FALSE,"Sheet4"}</definedName>
    <definedName name="wrn.matdtl." localSheetId="13" hidden="1">{"MATALL",#N/A,FALSE,"Sheet4";"matclass",#N/A,FALSE,"Sheet4"}</definedName>
    <definedName name="wrn.matdtl." localSheetId="21" hidden="1">{"MATALL",#N/A,FALSE,"Sheet4";"matclass",#N/A,FALSE,"Sheet4"}</definedName>
    <definedName name="wrn.matdtl." localSheetId="9" hidden="1">{"MATALL",#N/A,FALSE,"Sheet4";"matclass",#N/A,FALSE,"Sheet4"}</definedName>
    <definedName name="wrn.matdtl." localSheetId="12" hidden="1">{"MATALL",#N/A,FALSE,"Sheet4";"matclass",#N/A,FALSE,"Sheet4"}</definedName>
    <definedName name="wrn.matdtl." localSheetId="18" hidden="1">{"MATALL",#N/A,FALSE,"Sheet4";"matclass",#N/A,FALSE,"Sheet4"}</definedName>
    <definedName name="wrn.matdtl." localSheetId="10" hidden="1">{"MATALL",#N/A,FALSE,"Sheet4";"matclass",#N/A,FALSE,"Sheet4"}</definedName>
    <definedName name="wrn.matdtl." localSheetId="15" hidden="1">{"MATALL",#N/A,FALSE,"Sheet4";"matclass",#N/A,FALSE,"Sheet4"}</definedName>
    <definedName name="wrn.matdtl." localSheetId="17" hidden="1">{"MATALL",#N/A,FALSE,"Sheet4";"matclass",#N/A,FALSE,"Sheet4"}</definedName>
    <definedName name="wrn.matdtl." localSheetId="20" hidden="1">{"MATALL",#N/A,FALSE,"Sheet4";"matclass",#N/A,FALSE,"Sheet4"}</definedName>
    <definedName name="wrn.matdtl." localSheetId="19" hidden="1">{"MATALL",#N/A,FALSE,"Sheet4";"matclass",#N/A,FALSE,"Sheet4"}</definedName>
    <definedName name="wrn.matdtl." localSheetId="16" hidden="1">{"MATALL",#N/A,FALSE,"Sheet4";"matclass",#N/A,FALSE,"Sheet4"}</definedName>
    <definedName name="wrn.matdtl." hidden="1">{"MATALL",#N/A,FALSE,"Sheet4";"matclass",#N/A,FALSE,"Sheet4"}</definedName>
    <definedName name="wrn.matdtla" localSheetId="11" hidden="1">{"MATALL",#N/A,FALSE,"Sheet4";"matclass",#N/A,FALSE,"Sheet4"}</definedName>
    <definedName name="wrn.matdtla" localSheetId="13" hidden="1">{"MATALL",#N/A,FALSE,"Sheet4";"matclass",#N/A,FALSE,"Sheet4"}</definedName>
    <definedName name="wrn.matdtla" localSheetId="21" hidden="1">{"MATALL",#N/A,FALSE,"Sheet4";"matclass",#N/A,FALSE,"Sheet4"}</definedName>
    <definedName name="wrn.matdtla" localSheetId="9" hidden="1">{"MATALL",#N/A,FALSE,"Sheet4";"matclass",#N/A,FALSE,"Sheet4"}</definedName>
    <definedName name="wrn.matdtla" localSheetId="12" hidden="1">{"MATALL",#N/A,FALSE,"Sheet4";"matclass",#N/A,FALSE,"Sheet4"}</definedName>
    <definedName name="wrn.matdtla" localSheetId="18" hidden="1">{"MATALL",#N/A,FALSE,"Sheet4";"matclass",#N/A,FALSE,"Sheet4"}</definedName>
    <definedName name="wrn.matdtla" localSheetId="10" hidden="1">{"MATALL",#N/A,FALSE,"Sheet4";"matclass",#N/A,FALSE,"Sheet4"}</definedName>
    <definedName name="wrn.matdtla" localSheetId="15" hidden="1">{"MATALL",#N/A,FALSE,"Sheet4";"matclass",#N/A,FALSE,"Sheet4"}</definedName>
    <definedName name="wrn.matdtla" localSheetId="17" hidden="1">{"MATALL",#N/A,FALSE,"Sheet4";"matclass",#N/A,FALSE,"Sheet4"}</definedName>
    <definedName name="wrn.matdtla" localSheetId="20" hidden="1">{"MATALL",#N/A,FALSE,"Sheet4";"matclass",#N/A,FALSE,"Sheet4"}</definedName>
    <definedName name="wrn.matdtla" localSheetId="19" hidden="1">{"MATALL",#N/A,FALSE,"Sheet4";"matclass",#N/A,FALSE,"Sheet4"}</definedName>
    <definedName name="wrn.matdtla" localSheetId="16" hidden="1">{"MATALL",#N/A,FALSE,"Sheet4";"matclass",#N/A,FALSE,"Sheet4"}</definedName>
    <definedName name="wrn.matdtla" hidden="1">{"MATALL",#N/A,FALSE,"Sheet4";"matclass",#N/A,FALSE,"Sheet4"}</definedName>
    <definedName name="wrn.PPJOURNAL._.ENTRY." localSheetId="11" hidden="1">{"PPDEFERREDBAL",#N/A,FALSE,"PRIOR PERIOD ADJMT";#N/A,#N/A,FALSE,"PRIOR PERIOD ADJMT";"PPJOURNALENTRY",#N/A,FALSE,"PRIOR PERIOD ADJMT"}</definedName>
    <definedName name="wrn.PPJOURNAL._.ENTRY." localSheetId="13" hidden="1">{"PPDEFERREDBAL",#N/A,FALSE,"PRIOR PERIOD ADJMT";#N/A,#N/A,FALSE,"PRIOR PERIOD ADJMT";"PPJOURNALENTRY",#N/A,FALSE,"PRIOR PERIOD ADJMT"}</definedName>
    <definedName name="wrn.PPJOURNAL._.ENTRY." localSheetId="21"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localSheetId="12" hidden="1">{"PPDEFERREDBAL",#N/A,FALSE,"PRIOR PERIOD ADJMT";#N/A,#N/A,FALSE,"PRIOR PERIOD ADJMT";"PPJOURNALENTRY",#N/A,FALSE,"PRIOR PERIOD ADJMT"}</definedName>
    <definedName name="wrn.PPJOURNAL._.ENTRY." localSheetId="18" hidden="1">{"PPDEFERREDBAL",#N/A,FALSE,"PRIOR PERIOD ADJMT";#N/A,#N/A,FALSE,"PRIOR PERIOD ADJMT";"PPJOURNALENTRY",#N/A,FALSE,"PRIOR PERIOD ADJMT"}</definedName>
    <definedName name="wrn.PPJOURNAL._.ENTRY." localSheetId="10" hidden="1">{"PPDEFERREDBAL",#N/A,FALSE,"PRIOR PERIOD ADJMT";#N/A,#N/A,FALSE,"PRIOR PERIOD ADJMT";"PPJOURNALENTRY",#N/A,FALSE,"PRIOR PERIOD ADJMT"}</definedName>
    <definedName name="wrn.PPJOURNAL._.ENTRY." localSheetId="15" hidden="1">{"PPDEFERREDBAL",#N/A,FALSE,"PRIOR PERIOD ADJMT";#N/A,#N/A,FALSE,"PRIOR PERIOD ADJMT";"PPJOURNALENTRY",#N/A,FALSE,"PRIOR PERIOD ADJMT"}</definedName>
    <definedName name="wrn.PPJOURNAL._.ENTRY." localSheetId="20" hidden="1">{"PPDEFERREDBAL",#N/A,FALSE,"PRIOR PERIOD ADJMT";#N/A,#N/A,FALSE,"PRIOR PERIOD ADJMT";"PPJOURNALENTRY",#N/A,FALSE,"PRIOR PERIOD ADJMT"}</definedName>
    <definedName name="wrn.PPJOURNAL._.ENTRY." localSheetId="19" hidden="1">{"PPDEFERREDBAL",#N/A,FALSE,"PRIOR PERIOD ADJMT";#N/A,#N/A,FALSE,"PRIOR PERIOD ADJMT";"PPJOURNALENTRY",#N/A,FALSE,"PRIOR PERIOD ADJMT"}</definedName>
    <definedName name="wrn.PPJOURNAL._.ENTRY." localSheetId="16"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11" hidden="1">{#N/A,#N/A,FALSE,"PRIOR PERIOD ADJMT"}</definedName>
    <definedName name="wrn.PRIOR._.PERIOD._.ADJMT." localSheetId="13" hidden="1">{#N/A,#N/A,FALSE,"PRIOR PERIOD ADJMT"}</definedName>
    <definedName name="wrn.PRIOR._.PERIOD._.ADJMT." localSheetId="21" hidden="1">{#N/A,#N/A,FALSE,"PRIOR PERIOD ADJMT"}</definedName>
    <definedName name="wrn.PRIOR._.PERIOD._.ADJMT." localSheetId="9" hidden="1">{#N/A,#N/A,FALSE,"PRIOR PERIOD ADJMT"}</definedName>
    <definedName name="wrn.PRIOR._.PERIOD._.ADJMT." localSheetId="12" hidden="1">{#N/A,#N/A,FALSE,"PRIOR PERIOD ADJMT"}</definedName>
    <definedName name="wrn.PRIOR._.PERIOD._.ADJMT." localSheetId="18" hidden="1">{#N/A,#N/A,FALSE,"PRIOR PERIOD ADJMT"}</definedName>
    <definedName name="wrn.PRIOR._.PERIOD._.ADJMT." localSheetId="10" hidden="1">{#N/A,#N/A,FALSE,"PRIOR PERIOD ADJMT"}</definedName>
    <definedName name="wrn.PRIOR._.PERIOD._.ADJMT." localSheetId="15" hidden="1">{#N/A,#N/A,FALSE,"PRIOR PERIOD ADJMT"}</definedName>
    <definedName name="wrn.PRIOR._.PERIOD._.ADJMT." localSheetId="20" hidden="1">{#N/A,#N/A,FALSE,"PRIOR PERIOD ADJMT"}</definedName>
    <definedName name="wrn.PRIOR._.PERIOD._.ADJMT." localSheetId="19" hidden="1">{#N/A,#N/A,FALSE,"PRIOR PERIOD ADJMT"}</definedName>
    <definedName name="wrn.PRIOR._.PERIOD._.ADJMT." localSheetId="16" hidden="1">{#N/A,#N/A,FALSE,"PRIOR PERIOD ADJMT"}</definedName>
    <definedName name="wrn.PRIOR._.PERIOD._.ADJMT." hidden="1">{#N/A,#N/A,FALSE,"PRIOR PERIOD ADJMT"}</definedName>
    <definedName name="wrn.Production." localSheetId="11" hidden="1">{"Production",#N/A,FALSE,"Electric O&amp;M Functionalization"}</definedName>
    <definedName name="wrn.Production." localSheetId="13" hidden="1">{"Production",#N/A,FALSE,"Electric O&amp;M Functionalization"}</definedName>
    <definedName name="wrn.Production." localSheetId="21" hidden="1">{"Production",#N/A,FALSE,"Electric O&amp;M Functionalization"}</definedName>
    <definedName name="wrn.Production." localSheetId="9" hidden="1">{"Production",#N/A,FALSE,"Electric O&amp;M Functionalization"}</definedName>
    <definedName name="wrn.Production." localSheetId="12" hidden="1">{"Production",#N/A,FALSE,"Electric O&amp;M Functionalization"}</definedName>
    <definedName name="wrn.Production." localSheetId="18" hidden="1">{"Production",#N/A,FALSE,"Electric O&amp;M Functionalization"}</definedName>
    <definedName name="wrn.Production." localSheetId="10" hidden="1">{"Production",#N/A,FALSE,"Electric O&amp;M Functionalization"}</definedName>
    <definedName name="wrn.Production." localSheetId="15" hidden="1">{"Production",#N/A,FALSE,"Electric O&amp;M Functionalization"}</definedName>
    <definedName name="wrn.Production." localSheetId="17" hidden="1">{"Production",#N/A,FALSE,"Electric O&amp;M Functionalization"}</definedName>
    <definedName name="wrn.Production." localSheetId="20" hidden="1">{"Production",#N/A,FALSE,"Electric O&amp;M Functionalization"}</definedName>
    <definedName name="wrn.Production." localSheetId="19" hidden="1">{"Production",#N/A,FALSE,"Electric O&amp;M Functionalization"}</definedName>
    <definedName name="wrn.Production." localSheetId="16" hidden="1">{"Production",#N/A,FALSE,"Electric O&amp;M Functionalization"}</definedName>
    <definedName name="wrn.Production." hidden="1">{"Production",#N/A,FALSE,"Electric O&amp;M Functionalization"}</definedName>
    <definedName name="wrn.Transmission." localSheetId="11" hidden="1">{"Transmission",#N/A,FALSE,"Electric O&amp;M Functionalization"}</definedName>
    <definedName name="wrn.Transmission." localSheetId="13" hidden="1">{"Transmission",#N/A,FALSE,"Electric O&amp;M Functionalization"}</definedName>
    <definedName name="wrn.Transmission." localSheetId="21" hidden="1">{"Transmission",#N/A,FALSE,"Electric O&amp;M Functionalization"}</definedName>
    <definedName name="wrn.Transmission." localSheetId="9" hidden="1">{"Transmission",#N/A,FALSE,"Electric O&amp;M Functionalization"}</definedName>
    <definedName name="wrn.Transmission." localSheetId="12" hidden="1">{"Transmission",#N/A,FALSE,"Electric O&amp;M Functionalization"}</definedName>
    <definedName name="wrn.Transmission." localSheetId="18" hidden="1">{"Transmission",#N/A,FALSE,"Electric O&amp;M Functionalization"}</definedName>
    <definedName name="wrn.Transmission." localSheetId="10" hidden="1">{"Transmission",#N/A,FALSE,"Electric O&amp;M Functionalization"}</definedName>
    <definedName name="wrn.Transmission." localSheetId="15" hidden="1">{"Transmission",#N/A,FALSE,"Electric O&amp;M Functionalization"}</definedName>
    <definedName name="wrn.Transmission." localSheetId="17" hidden="1">{"Transmission",#N/A,FALSE,"Electric O&amp;M Functionalization"}</definedName>
    <definedName name="wrn.Transmission." localSheetId="20" hidden="1">{"Transmission",#N/A,FALSE,"Electric O&amp;M Functionalization"}</definedName>
    <definedName name="wrn.Transmission." localSheetId="19" hidden="1">{"Transmission",#N/A,FALSE,"Electric O&amp;M Functionalization"}</definedName>
    <definedName name="wrn.Transmission." localSheetId="16" hidden="1">{"Transmission",#N/A,FALSE,"Electric O&amp;M Functionalization"}</definedName>
    <definedName name="wrn.Transmission." hidden="1">{"Transmission",#N/A,FALSE,"Electric O&amp;M Functionalization"}</definedName>
    <definedName name="wrn.WORKCAP." localSheetId="11" hidden="1">{"WCCWCLL",#N/A,FALSE,"Sheet3";"PP",#N/A,FALSE,"Sheet3";"MAT1",#N/A,FALSE,"Sheet3";"MAT2",#N/A,FALSE,"Sheet3"}</definedName>
    <definedName name="wrn.WORKCAP." localSheetId="13" hidden="1">{"WCCWCLL",#N/A,FALSE,"Sheet3";"PP",#N/A,FALSE,"Sheet3";"MAT1",#N/A,FALSE,"Sheet3";"MAT2",#N/A,FALSE,"Sheet3"}</definedName>
    <definedName name="wrn.WORKCAP." localSheetId="21" hidden="1">{"WCCWCLL",#N/A,FALSE,"Sheet3";"PP",#N/A,FALSE,"Sheet3";"MAT1",#N/A,FALSE,"Sheet3";"MAT2",#N/A,FALSE,"Sheet3"}</definedName>
    <definedName name="wrn.WORKCAP." localSheetId="9" hidden="1">{"WCCWCLL",#N/A,FALSE,"Sheet3";"PP",#N/A,FALSE,"Sheet3";"MAT1",#N/A,FALSE,"Sheet3";"MAT2",#N/A,FALSE,"Sheet3"}</definedName>
    <definedName name="wrn.WORKCAP." localSheetId="12" hidden="1">{"WCCWCLL",#N/A,FALSE,"Sheet3";"PP",#N/A,FALSE,"Sheet3";"MAT1",#N/A,FALSE,"Sheet3";"MAT2",#N/A,FALSE,"Sheet3"}</definedName>
    <definedName name="wrn.WORKCAP." localSheetId="18" hidden="1">{"WCCWCLL",#N/A,FALSE,"Sheet3";"PP",#N/A,FALSE,"Sheet3";"MAT1",#N/A,FALSE,"Sheet3";"MAT2",#N/A,FALSE,"Sheet3"}</definedName>
    <definedName name="wrn.WORKCAP." localSheetId="10" hidden="1">{"WCCWCLL",#N/A,FALSE,"Sheet3";"PP",#N/A,FALSE,"Sheet3";"MAT1",#N/A,FALSE,"Sheet3";"MAT2",#N/A,FALSE,"Sheet3"}</definedName>
    <definedName name="wrn.WORKCAP." localSheetId="15" hidden="1">{"WCCWCLL",#N/A,FALSE,"Sheet3";"PP",#N/A,FALSE,"Sheet3";"MAT1",#N/A,FALSE,"Sheet3";"MAT2",#N/A,FALSE,"Sheet3"}</definedName>
    <definedName name="wrn.WORKCAP." localSheetId="17" hidden="1">{"WCCWCLL",#N/A,FALSE,"Sheet3";"PP",#N/A,FALSE,"Sheet3";"MAT1",#N/A,FALSE,"Sheet3";"MAT2",#N/A,FALSE,"Sheet3"}</definedName>
    <definedName name="wrn.WORKCAP." localSheetId="20" hidden="1">{"WCCWCLL",#N/A,FALSE,"Sheet3";"PP",#N/A,FALSE,"Sheet3";"MAT1",#N/A,FALSE,"Sheet3";"MAT2",#N/A,FALSE,"Sheet3"}</definedName>
    <definedName name="wrn.WORKCAP." localSheetId="19" hidden="1">{"WCCWCLL",#N/A,FALSE,"Sheet3";"PP",#N/A,FALSE,"Sheet3";"MAT1",#N/A,FALSE,"Sheet3";"MAT2",#N/A,FALSE,"Sheet3"}</definedName>
    <definedName name="wrn.WORKCAP." localSheetId="16" hidden="1">{"WCCWCLL",#N/A,FALSE,"Sheet3";"PP",#N/A,FALSE,"Sheet3";"MAT1",#N/A,FALSE,"Sheet3";"MAT2",#N/A,FALSE,"Sheet3"}</definedName>
    <definedName name="wrn.WORKCAP." hidden="1">{"WCCWCLL",#N/A,FALSE,"Sheet3";"PP",#N/A,FALSE,"Sheet3";"MAT1",#N/A,FALSE,"Sheet3";"MAT2",#N/A,FALSE,"Sheet3"}</definedName>
    <definedName name="wvu.DATABASE." localSheetId="1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3"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2"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8"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5"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6"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istplt." localSheetId="11" hidden="1">{FALSE,TRUE,-1.25,-15.5,484.5,274.5,FALSE,TRUE,TRUE,TRUE,0,24,#N/A,1,#N/A,12.03,20,1,FALSE,FALSE,3,TRUE,1,FALSE,75,"Swvu.Distplt.","ACwvu.Distplt.",#N/A,FALSE,FALSE,1,0.75,0.75,0.75,1,"","",FALSE,FALSE,FALSE,FALSE,1,#N/A,1,1,FALSE,FALSE,#N/A,#N/A,FALSE,FALSE,FALSE,1,300,300,FALSE,FALSE,TRUE,TRUE,TRUE}</definedName>
    <definedName name="wvu.Distplt." localSheetId="13" hidden="1">{FALSE,TRUE,-1.25,-15.5,484.5,274.5,FALSE,TRUE,TRUE,TRUE,0,24,#N/A,1,#N/A,12.03,20,1,FALSE,FALSE,3,TRUE,1,FALSE,75,"Swvu.Distplt.","ACwvu.Distplt.",#N/A,FALSE,FALSE,1,0.75,0.75,0.75,1,"","",FALSE,FALSE,FALSE,FALSE,1,#N/A,1,1,FALSE,FALSE,#N/A,#N/A,FALSE,FALSE,FALSE,1,300,300,FALSE,FALSE,TRUE,TRUE,TRUE}</definedName>
    <definedName name="wvu.Distplt." localSheetId="12" hidden="1">{FALSE,TRUE,-1.25,-15.5,484.5,274.5,FALSE,TRUE,TRUE,TRUE,0,24,#N/A,1,#N/A,12.03,20,1,FALSE,FALSE,3,TRUE,1,FALSE,75,"Swvu.Distplt.","ACwvu.Distplt.",#N/A,FALSE,FALSE,1,0.75,0.75,0.75,1,"","",FALSE,FALSE,FALSE,FALSE,1,#N/A,1,1,FALSE,FALSE,#N/A,#N/A,FALSE,FALSE,FALSE,1,300,300,FALSE,FALSE,TRUE,TRUE,TRUE}</definedName>
    <definedName name="wvu.Distplt." localSheetId="10" hidden="1">{FALSE,TRUE,-1.25,-15.5,484.5,274.5,FALSE,TRUE,TRUE,TRUE,0,24,#N/A,1,#N/A,12.03,20,1,FALSE,FALSE,3,TRUE,1,FALSE,75,"Swvu.Distplt.","ACwvu.Distplt.",#N/A,FALSE,FALSE,1,0.75,0.75,0.75,1,"","",FALSE,FALSE,FALSE,FALSE,1,#N/A,1,1,FALSE,FALSE,#N/A,#N/A,FALSE,FALSE,FALSE,1,300,300,FALSE,FALSE,TRUE,TRUE,TRUE}</definedName>
    <definedName name="wvu.Distplt." localSheetId="15" hidden="1">{FALSE,TRUE,-1.25,-15.5,484.5,274.5,FALSE,TRUE,TRUE,TRUE,0,24,#N/A,1,#N/A,12.03,20,1,FALSE,FALSE,3,TRUE,1,FALSE,75,"Swvu.Distplt.","ACwvu.Distplt.",#N/A,FALSE,FALSE,1,0.75,0.75,0.75,1,"","",FALSE,FALSE,FALSE,FALSE,1,#N/A,1,1,FALSE,FALSE,#N/A,#N/A,FALSE,FALSE,FALSE,1,300,300,FALSE,FALSE,TRUE,TRUE,TRUE}</definedName>
    <definedName name="wvu.Distplt." localSheetId="16" hidden="1">{FALSE,TRUE,-1.25,-15.5,484.5,274.5,FALSE,TRUE,TRUE,TRUE,0,24,#N/A,1,#N/A,12.03,20,1,FALSE,FALSE,3,TRUE,1,FALSE,75,"Swvu.Distplt.","ACwvu.Distplt.",#N/A,FALSE,FALSE,1,0.75,0.75,0.75,1,"","",FALSE,FALSE,FALSE,FALSE,1,#N/A,1,1,FALSE,FALSE,#N/A,#N/A,FALSE,FALSE,FALSE,1,300,300,FALSE,FALSE,TRUE,TRUE,TRUE}</definedName>
    <definedName name="wvu.OP." localSheetId="1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3"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2"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8"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5"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6"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Plant." localSheetId="11"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3"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2"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0"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5"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6" hidden="1">{TRUE,TRUE,-1.25,-15.5,484.5,274.5,FALSE,TRUE,TRUE,TRUE,0,11,#N/A,47,#N/A,11.030303030303,20.4375,1,FALSE,FALSE,3,TRUE,1,FALSE,75,"Swvu.Plant.","ACwvu.Plant.",#N/A,FALSE,FALSE,0.75,0.75,0.5,0.5,2,"","",FALSE,FALSE,FALSE,FALSE,1,#N/A,1,1,"=R1C2:R60C21",FALSE,#N/A,#N/A,FALSE,FALSE,FALSE,1,300,300,FALSE,FALSE,TRUE,TRUE,TRUE}</definedName>
    <definedName name="wvu.WP1." localSheetId="11" hidden="1">{TRUE,TRUE,-1.25,-15.5,484.5,279.75,FALSE,FALSE,TRUE,TRUE,0,3,#N/A,1,#N/A,6.54545454545454,15.55,1,FALSE,FALSE,3,TRUE,1,FALSE,100,"Swvu.WP1.","ACwvu.WP1.",1,FALSE,FALSE,0.25,0.25,0.25,0.25,1,"","&amp;L&amp;D &amp;T NBW&amp;C&amp;P&amp;R&amp;F",FALSE,FALSE,FALSE,FALSE,1,100,#N/A,#N/A,FALSE,FALSE,#N/A,#N/A,FALSE,FALSE}</definedName>
    <definedName name="wvu.WP1." localSheetId="13" hidden="1">{TRUE,TRUE,-1.25,-15.5,484.5,279.75,FALSE,FALSE,TRUE,TRUE,0,3,#N/A,1,#N/A,6.54545454545454,15.55,1,FALSE,FALSE,3,TRUE,1,FALSE,100,"Swvu.WP1.","ACwvu.WP1.",1,FALSE,FALSE,0.25,0.25,0.25,0.25,1,"","&amp;L&amp;D &amp;T NBW&amp;C&amp;P&amp;R&amp;F",FALSE,FALSE,FALSE,FALSE,1,100,#N/A,#N/A,FALSE,FALSE,#N/A,#N/A,FALSE,FALSE}</definedName>
    <definedName name="wvu.WP1." localSheetId="21"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localSheetId="12" hidden="1">{TRUE,TRUE,-1.25,-15.5,484.5,279.75,FALSE,FALSE,TRUE,TRUE,0,3,#N/A,1,#N/A,6.54545454545454,15.55,1,FALSE,FALSE,3,TRUE,1,FALSE,100,"Swvu.WP1.","ACwvu.WP1.",1,FALSE,FALSE,0.25,0.25,0.25,0.25,1,"","&amp;L&amp;D &amp;T NBW&amp;C&amp;P&amp;R&amp;F",FALSE,FALSE,FALSE,FALSE,1,100,#N/A,#N/A,FALSE,FALSE,#N/A,#N/A,FALSE,FALSE}</definedName>
    <definedName name="wvu.WP1." localSheetId="18" hidden="1">{TRUE,TRUE,-1.25,-15.5,484.5,279.75,FALSE,FALSE,TRUE,TRUE,0,3,#N/A,1,#N/A,6.54545454545454,15.55,1,FALSE,FALSE,3,TRUE,1,FALSE,100,"Swvu.WP1.","ACwvu.WP1.",1,FALSE,FALSE,0.25,0.25,0.25,0.25,1,"","&amp;L&amp;D &amp;T NBW&amp;C&amp;P&amp;R&amp;F",FALSE,FALSE,FALSE,FALSE,1,100,#N/A,#N/A,FALSE,FALSE,#N/A,#N/A,FALSE,FALSE}</definedName>
    <definedName name="wvu.WP1." localSheetId="10" hidden="1">{TRUE,TRUE,-1.25,-15.5,484.5,279.75,FALSE,FALSE,TRUE,TRUE,0,3,#N/A,1,#N/A,6.54545454545454,15.55,1,FALSE,FALSE,3,TRUE,1,FALSE,100,"Swvu.WP1.","ACwvu.WP1.",1,FALSE,FALSE,0.25,0.25,0.25,0.25,1,"","&amp;L&amp;D &amp;T NBW&amp;C&amp;P&amp;R&amp;F",FALSE,FALSE,FALSE,FALSE,1,100,#N/A,#N/A,FALSE,FALSE,#N/A,#N/A,FALSE,FALSE}</definedName>
    <definedName name="wvu.WP1." localSheetId="15" hidden="1">{TRUE,TRUE,-1.25,-15.5,484.5,279.75,FALSE,FALSE,TRUE,TRUE,0,3,#N/A,1,#N/A,6.54545454545454,15.55,1,FALSE,FALSE,3,TRUE,1,FALSE,100,"Swvu.WP1.","ACwvu.WP1.",1,FALSE,FALSE,0.25,0.25,0.25,0.25,1,"","&amp;L&amp;D &amp;T NBW&amp;C&amp;P&amp;R&amp;F",FALSE,FALSE,FALSE,FALSE,1,100,#N/A,#N/A,FALSE,FALSE,#N/A,#N/A,FALSE,FALSE}</definedName>
    <definedName name="wvu.WP1." localSheetId="20" hidden="1">{TRUE,TRUE,-1.25,-15.5,484.5,279.75,FALSE,FALSE,TRUE,TRUE,0,3,#N/A,1,#N/A,6.54545454545454,15.55,1,FALSE,FALSE,3,TRUE,1,FALSE,100,"Swvu.WP1.","ACwvu.WP1.",1,FALSE,FALSE,0.25,0.25,0.25,0.25,1,"","&amp;L&amp;D &amp;T NBW&amp;C&amp;P&amp;R&amp;F",FALSE,FALSE,FALSE,FALSE,1,100,#N/A,#N/A,FALSE,FALSE,#N/A,#N/A,FALSE,FALSE}</definedName>
    <definedName name="wvu.WP1." localSheetId="19" hidden="1">{TRUE,TRUE,-1.25,-15.5,484.5,279.75,FALSE,FALSE,TRUE,TRUE,0,3,#N/A,1,#N/A,6.54545454545454,15.55,1,FALSE,FALSE,3,TRUE,1,FALSE,100,"Swvu.WP1.","ACwvu.WP1.",1,FALSE,FALSE,0.25,0.25,0.25,0.25,1,"","&amp;L&amp;D &amp;T NBW&amp;C&amp;P&amp;R&amp;F",FALSE,FALSE,FALSE,FALSE,1,100,#N/A,#N/A,FALSE,FALSE,#N/A,#N/A,FALSE,FALSE}</definedName>
    <definedName name="wvu.WP1." localSheetId="16"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Z_2AB39ABB_3056_11D2_9A0A_002035671DEC_.wvu.PrintArea" localSheetId="11" hidden="1">'Accum Deprec'!$B$1:$N$64</definedName>
    <definedName name="Z_2AB39ABB_3056_11D2_9A0A_002035671DEC_.wvu.PrintArea" localSheetId="13" hidden="1">'Adj to Rate Base'!$B$1:$T$72</definedName>
    <definedName name="Z_2AB39ABB_3056_11D2_9A0A_002035671DEC_.wvu.PrintArea" localSheetId="12" hidden="1">CWIP!$B$1:$J$76</definedName>
    <definedName name="Z_2AB39ABB_3056_11D2_9A0A_002035671DEC_.wvu.PrintArea" localSheetId="10" hidden="1">'Gross Plant'!$B$1:$N$64</definedName>
    <definedName name="Z_2AB39ABB_3056_11D2_9A0A_002035671DEC_.wvu.PrintArea" localSheetId="15" hidden="1">'Land HFFU'!$B$1:$P$58</definedName>
    <definedName name="Z_2AB39ABB_3056_11D2_9A0A_002035671DEC_.wvu.PrintArea" localSheetId="16" hidden="1">'Working Capital'!$B$1:$P$68</definedName>
    <definedName name="Z_2EBC390F_35AC_11D2_9A0A_002035671DEC_.wvu.PrintArea" localSheetId="11" hidden="1">'Accum Deprec'!$B$1:$N$64</definedName>
    <definedName name="Z_2EBC390F_35AC_11D2_9A0A_002035671DEC_.wvu.PrintArea" localSheetId="13" hidden="1">'Adj to Rate Base'!$B$1:$T$72</definedName>
    <definedName name="Z_2EBC390F_35AC_11D2_9A0A_002035671DEC_.wvu.PrintArea" localSheetId="12" hidden="1">CWIP!$B$1:$J$76</definedName>
    <definedName name="Z_2EBC390F_35AC_11D2_9A0A_002035671DEC_.wvu.PrintArea" localSheetId="10" hidden="1">'Gross Plant'!$B$1:$N$64</definedName>
    <definedName name="Z_2EBC390F_35AC_11D2_9A0A_002035671DEC_.wvu.PrintArea" localSheetId="15" hidden="1">'Land HFFU'!$B$1:$P$58</definedName>
    <definedName name="Z_2EBC390F_35AC_11D2_9A0A_002035671DEC_.wvu.PrintArea" localSheetId="16" hidden="1">'Working Capital'!$B$1:$P$68</definedName>
    <definedName name="Z_695B8C1F_3695_11D2_9A0A_002035671DEC_.wvu.PrintArea" localSheetId="11" hidden="1">'Accum Deprec'!$B$1:$N$64</definedName>
    <definedName name="Z_695B8C1F_3695_11D2_9A0A_002035671DEC_.wvu.PrintArea" localSheetId="13" hidden="1">'Adj to Rate Base'!$B$1:$T$72</definedName>
    <definedName name="Z_695B8C1F_3695_11D2_9A0A_002035671DEC_.wvu.PrintArea" localSheetId="12" hidden="1">CWIP!$B$1:$J$76</definedName>
    <definedName name="Z_695B8C1F_3695_11D2_9A0A_002035671DEC_.wvu.PrintArea" localSheetId="10" hidden="1">'Gross Plant'!$B$1:$N$64</definedName>
    <definedName name="Z_695B8C1F_3695_11D2_9A0A_002035671DEC_.wvu.PrintArea" localSheetId="15" hidden="1">'Land HFFU'!$B$1:$P$58</definedName>
    <definedName name="Z_695B8C1F_3695_11D2_9A0A_002035671DEC_.wvu.PrintArea" localSheetId="16" hidden="1">'Working Capital'!$B$1:$P$68</definedName>
    <definedName name="Z_7530C500_3E4D_11D2_9A0A_002035671DEC_.wvu.PrintArea" localSheetId="11" hidden="1">'Accum Deprec'!$B$1:$N$64</definedName>
    <definedName name="Z_7530C500_3E4D_11D2_9A0A_002035671DEC_.wvu.PrintArea" localSheetId="13" hidden="1">'Adj to Rate Base'!$B$1:$T$72</definedName>
    <definedName name="Z_7530C500_3E4D_11D2_9A0A_002035671DEC_.wvu.PrintArea" localSheetId="12" hidden="1">CWIP!$B$1:$J$76</definedName>
    <definedName name="Z_7530C500_3E4D_11D2_9A0A_002035671DEC_.wvu.PrintArea" localSheetId="10" hidden="1">'Gross Plant'!$B$1:$N$64</definedName>
    <definedName name="Z_7530C500_3E4D_11D2_9A0A_002035671DEC_.wvu.PrintArea" localSheetId="15" hidden="1">'Land HFFU'!$B$1:$P$58</definedName>
    <definedName name="Z_7530C500_3E4D_11D2_9A0A_002035671DEC_.wvu.PrintArea" localSheetId="16" hidden="1">'Working Capital'!$B$1:$P$68</definedName>
    <definedName name="Z_83CCC42C_3811_11D2_9A0A_002035671DEC_.wvu.PrintArea" localSheetId="11" hidden="1">'Accum Deprec'!$B$1:$N$64</definedName>
    <definedName name="Z_83CCC42C_3811_11D2_9A0A_002035671DEC_.wvu.PrintArea" localSheetId="13" hidden="1">'Adj to Rate Base'!$B$1:$T$72</definedName>
    <definedName name="Z_83CCC42C_3811_11D2_9A0A_002035671DEC_.wvu.PrintArea" localSheetId="12" hidden="1">CWIP!$B$1:$J$76</definedName>
    <definedName name="Z_83CCC42C_3811_11D2_9A0A_002035671DEC_.wvu.PrintArea" localSheetId="10" hidden="1">'Gross Plant'!$B$1:$N$64</definedName>
    <definedName name="Z_83CCC42C_3811_11D2_9A0A_002035671DEC_.wvu.PrintArea" localSheetId="15" hidden="1">'Land HFFU'!$B$1:$P$58</definedName>
    <definedName name="Z_83CCC42C_3811_11D2_9A0A_002035671DEC_.wvu.PrintArea" localSheetId="16" hidden="1">'Working Capital'!$B$1:$P$68</definedName>
    <definedName name="Z_85FF1678_2AB5_11D2_9A0A_002035671DEC_.wvu.PrintArea" localSheetId="11" hidden="1">'Accum Deprec'!$A$1:$N$64</definedName>
    <definedName name="Z_85FF1678_2AB5_11D2_9A0A_002035671DEC_.wvu.PrintArea" localSheetId="13" hidden="1">'Adj to Rate Base'!$A$1:$T$72</definedName>
    <definedName name="Z_85FF1678_2AB5_11D2_9A0A_002035671DEC_.wvu.PrintArea" localSheetId="12" hidden="1">CWIP!$A$1:$J$76</definedName>
    <definedName name="Z_85FF1678_2AB5_11D2_9A0A_002035671DEC_.wvu.PrintArea" localSheetId="10" hidden="1">'Gross Plant'!$A$1:$N$64</definedName>
    <definedName name="Z_85FF1678_2AB5_11D2_9A0A_002035671DEC_.wvu.PrintArea" localSheetId="15" hidden="1">'Land HFFU'!$A$1:$P$58</definedName>
    <definedName name="Z_85FF1678_2AB5_11D2_9A0A_002035671DEC_.wvu.PrintArea" localSheetId="16" hidden="1">'Working Capital'!$A$1:$P$68</definedName>
    <definedName name="Z_85FF169C_2AB5_11D2_9A0A_002035671DEC_.wvu.PrintArea" localSheetId="11" hidden="1">'Accum Deprec'!$A$1:$N$64</definedName>
    <definedName name="Z_85FF169C_2AB5_11D2_9A0A_002035671DEC_.wvu.PrintArea" localSheetId="13" hidden="1">'Adj to Rate Base'!$A$1:$T$72</definedName>
    <definedName name="Z_85FF169C_2AB5_11D2_9A0A_002035671DEC_.wvu.PrintArea" localSheetId="12" hidden="1">CWIP!$A$1:$J$76</definedName>
    <definedName name="Z_85FF169C_2AB5_11D2_9A0A_002035671DEC_.wvu.PrintArea" localSheetId="10" hidden="1">'Gross Plant'!$A$1:$N$64</definedName>
    <definedName name="Z_85FF169C_2AB5_11D2_9A0A_002035671DEC_.wvu.PrintArea" localSheetId="15" hidden="1">'Land HFFU'!$A$1:$P$58</definedName>
    <definedName name="Z_85FF169C_2AB5_11D2_9A0A_002035671DEC_.wvu.PrintArea" localSheetId="16" hidden="1">'Working Capital'!$A$1:$P$68</definedName>
    <definedName name="Z_899A2362_3D94_11D2_9A0A_002035671DEC_.wvu.PrintArea" localSheetId="11" hidden="1">'Accum Deprec'!$B$1:$N$64</definedName>
    <definedName name="Z_899A2362_3D94_11D2_9A0A_002035671DEC_.wvu.PrintArea" localSheetId="13" hidden="1">'Adj to Rate Base'!$B$1:$T$72</definedName>
    <definedName name="Z_899A2362_3D94_11D2_9A0A_002035671DEC_.wvu.PrintArea" localSheetId="12" hidden="1">CWIP!$B$1:$J$76</definedName>
    <definedName name="Z_899A2362_3D94_11D2_9A0A_002035671DEC_.wvu.PrintArea" localSheetId="10" hidden="1">'Gross Plant'!$B$1:$N$64</definedName>
    <definedName name="Z_899A2362_3D94_11D2_9A0A_002035671DEC_.wvu.PrintArea" localSheetId="15" hidden="1">'Land HFFU'!$B$1:$P$58</definedName>
    <definedName name="Z_899A2362_3D94_11D2_9A0A_002035671DEC_.wvu.PrintArea" localSheetId="16" hidden="1">'Working Capital'!$B$1:$P$68</definedName>
    <definedName name="Z_96F833DF_38CF_11D2_9A0A_002035671DEC_.wvu.PrintArea" localSheetId="11" hidden="1">'Accum Deprec'!$B$1:$N$64</definedName>
    <definedName name="Z_96F833DF_38CF_11D2_9A0A_002035671DEC_.wvu.PrintArea" localSheetId="13" hidden="1">'Adj to Rate Base'!$B$1:$T$72</definedName>
    <definedName name="Z_96F833DF_38CF_11D2_9A0A_002035671DEC_.wvu.PrintArea" localSheetId="12" hidden="1">CWIP!$B$1:$J$76</definedName>
    <definedName name="Z_96F833DF_38CF_11D2_9A0A_002035671DEC_.wvu.PrintArea" localSheetId="10" hidden="1">'Gross Plant'!$B$1:$N$64</definedName>
    <definedName name="Z_96F833DF_38CF_11D2_9A0A_002035671DEC_.wvu.PrintArea" localSheetId="15" hidden="1">'Land HFFU'!$B$1:$P$58</definedName>
    <definedName name="Z_96F833DF_38CF_11D2_9A0A_002035671DEC_.wvu.PrintArea" localSheetId="16" hidden="1">'Working Capital'!$B$1:$P$68</definedName>
    <definedName name="Z_A82EF67A_30F0_11D2_9A0A_002035671DEC_.wvu.PrintArea" localSheetId="11" hidden="1">'Accum Deprec'!$B$1:$N$64</definedName>
    <definedName name="Z_A82EF67A_30F0_11D2_9A0A_002035671DEC_.wvu.PrintArea" localSheetId="13" hidden="1">'Adj to Rate Base'!$B$1:$T$72</definedName>
    <definedName name="Z_A82EF67A_30F0_11D2_9A0A_002035671DEC_.wvu.PrintArea" localSheetId="12" hidden="1">CWIP!$B$1:$J$76</definedName>
    <definedName name="Z_A82EF67A_30F0_11D2_9A0A_002035671DEC_.wvu.PrintArea" localSheetId="10" hidden="1">'Gross Plant'!$B$1:$N$64</definedName>
    <definedName name="Z_A82EF67A_30F0_11D2_9A0A_002035671DEC_.wvu.PrintArea" localSheetId="15" hidden="1">'Land HFFU'!$B$1:$P$58</definedName>
    <definedName name="Z_A82EF67A_30F0_11D2_9A0A_002035671DEC_.wvu.PrintArea" localSheetId="16" hidden="1">'Working Capital'!$B$1:$P$68</definedName>
    <definedName name="Z_B219561F_35C5_11D2_9A0A_002035671DEC_.wvu.PrintArea" localSheetId="11" hidden="1">'Accum Deprec'!$B$1:$N$64</definedName>
    <definedName name="Z_B219561F_35C5_11D2_9A0A_002035671DEC_.wvu.PrintArea" localSheetId="13" hidden="1">'Adj to Rate Base'!$B$1:$T$72</definedName>
    <definedName name="Z_B219561F_35C5_11D2_9A0A_002035671DEC_.wvu.PrintArea" localSheetId="12" hidden="1">CWIP!$B$1:$J$76</definedName>
    <definedName name="Z_B219561F_35C5_11D2_9A0A_002035671DEC_.wvu.PrintArea" localSheetId="10" hidden="1">'Gross Plant'!$B$1:$N$64</definedName>
    <definedName name="Z_B219561F_35C5_11D2_9A0A_002035671DEC_.wvu.PrintArea" localSheetId="15" hidden="1">'Land HFFU'!$B$1:$P$58</definedName>
    <definedName name="Z_B219561F_35C5_11D2_9A0A_002035671DEC_.wvu.PrintArea" localSheetId="16" hidden="1">'Working Capital'!$B$1:$P$68</definedName>
    <definedName name="Z_B6920318_2AE7_11D2_9A0A_002035671DEC_.wvu.PrintArea" localSheetId="11" hidden="1">'Accum Deprec'!$A$1:$N$64</definedName>
    <definedName name="Z_B6920318_2AE7_11D2_9A0A_002035671DEC_.wvu.PrintArea" localSheetId="13" hidden="1">'Adj to Rate Base'!$A$1:$T$72</definedName>
    <definedName name="Z_B6920318_2AE7_11D2_9A0A_002035671DEC_.wvu.PrintArea" localSheetId="12" hidden="1">CWIP!$A$1:$J$76</definedName>
    <definedName name="Z_B6920318_2AE7_11D2_9A0A_002035671DEC_.wvu.PrintArea" localSheetId="10" hidden="1">'Gross Plant'!$A$1:$N$64</definedName>
    <definedName name="Z_B6920318_2AE7_11D2_9A0A_002035671DEC_.wvu.PrintArea" localSheetId="15" hidden="1">'Land HFFU'!$A$1:$P$58</definedName>
    <definedName name="Z_B6920318_2AE7_11D2_9A0A_002035671DEC_.wvu.PrintArea" localSheetId="16" hidden="1">'Working Capital'!$A$1:$P$68</definedName>
    <definedName name="Z_B7219758_2F65_11D2_9A0A_002035671DEC_.wvu.PrintArea" localSheetId="11" hidden="1">'Accum Deprec'!$A$1:$N$64</definedName>
    <definedName name="Z_B7219758_2F65_11D2_9A0A_002035671DEC_.wvu.PrintArea" localSheetId="13" hidden="1">'Adj to Rate Base'!$A$1:$T$72</definedName>
    <definedName name="Z_B7219758_2F65_11D2_9A0A_002035671DEC_.wvu.PrintArea" localSheetId="12" hidden="1">CWIP!$A$1:$J$76</definedName>
    <definedName name="Z_B7219758_2F65_11D2_9A0A_002035671DEC_.wvu.PrintArea" localSheetId="10" hidden="1">'Gross Plant'!$A$1:$N$64</definedName>
    <definedName name="Z_B7219758_2F65_11D2_9A0A_002035671DEC_.wvu.PrintArea" localSheetId="15" hidden="1">'Land HFFU'!$A$1:$P$58</definedName>
    <definedName name="Z_B7219758_2F65_11D2_9A0A_002035671DEC_.wvu.PrintArea" localSheetId="16" hidden="1">'Working Capital'!$A$1:$P$68</definedName>
    <definedName name="Z_B8997BC0_3CD6_11D2_9A0A_002035671DEC_.wvu.PrintArea" localSheetId="11" hidden="1">'Accum Deprec'!$B$1:$N$64</definedName>
    <definedName name="Z_B8997BC0_3CD6_11D2_9A0A_002035671DEC_.wvu.PrintArea" localSheetId="13" hidden="1">'Adj to Rate Base'!$B$1:$T$72</definedName>
    <definedName name="Z_B8997BC0_3CD6_11D2_9A0A_002035671DEC_.wvu.PrintArea" localSheetId="12" hidden="1">CWIP!$B$1:$J$76</definedName>
    <definedName name="Z_B8997BC0_3CD6_11D2_9A0A_002035671DEC_.wvu.PrintArea" localSheetId="10" hidden="1">'Gross Plant'!$B$1:$N$64</definedName>
    <definedName name="Z_B8997BC0_3CD6_11D2_9A0A_002035671DEC_.wvu.PrintArea" localSheetId="15" hidden="1">'Land HFFU'!$B$1:$P$58</definedName>
    <definedName name="Z_B8997BC0_3CD6_11D2_9A0A_002035671DEC_.wvu.PrintArea" localSheetId="16" hidden="1">'Working Capital'!$B$1:$P$68</definedName>
    <definedName name="Z_D20BDA67_374C_11D2_9A0A_002035671DEC_.wvu.PrintArea" localSheetId="11" hidden="1">'Accum Deprec'!$B$1:$N$64</definedName>
    <definedName name="Z_D20BDA67_374C_11D2_9A0A_002035671DEC_.wvu.PrintArea" localSheetId="13" hidden="1">'Adj to Rate Base'!$B$1:$T$72</definedName>
    <definedName name="Z_D20BDA67_374C_11D2_9A0A_002035671DEC_.wvu.PrintArea" localSheetId="12" hidden="1">CWIP!$B$1:$J$76</definedName>
    <definedName name="Z_D20BDA67_374C_11D2_9A0A_002035671DEC_.wvu.PrintArea" localSheetId="10" hidden="1">'Gross Plant'!$B$1:$N$64</definedName>
    <definedName name="Z_D20BDA67_374C_11D2_9A0A_002035671DEC_.wvu.PrintArea" localSheetId="15" hidden="1">'Land HFFU'!$B$1:$P$58</definedName>
    <definedName name="Z_D20BDA67_374C_11D2_9A0A_002035671DEC_.wvu.PrintArea" localSheetId="16" hidden="1">'Working Capital'!$B$1:$P$68</definedName>
    <definedName name="Z_D7887CBF_30F6_11D2_9A0A_002035671DEC_.wvu.PrintArea" localSheetId="11" hidden="1">'Accum Deprec'!$B$1:$N$64</definedName>
    <definedName name="Z_D7887CBF_30F6_11D2_9A0A_002035671DEC_.wvu.PrintArea" localSheetId="13" hidden="1">'Adj to Rate Base'!$B$1:$T$72</definedName>
    <definedName name="Z_D7887CBF_30F6_11D2_9A0A_002035671DEC_.wvu.PrintArea" localSheetId="12" hidden="1">CWIP!$B$1:$J$76</definedName>
    <definedName name="Z_D7887CBF_30F6_11D2_9A0A_002035671DEC_.wvu.PrintArea" localSheetId="10" hidden="1">'Gross Plant'!$B$1:$N$64</definedName>
    <definedName name="Z_D7887CBF_30F6_11D2_9A0A_002035671DEC_.wvu.PrintArea" localSheetId="15" hidden="1">'Land HFFU'!$B$1:$P$58</definedName>
    <definedName name="Z_D7887CBF_30F6_11D2_9A0A_002035671DEC_.wvu.PrintArea" localSheetId="16" hidden="1">'Working Capital'!$B$1:$P$68</definedName>
    <definedName name="Z_DBF8361F_30FA_11D2_9A0A_002035671DEC_.wvu.PrintArea" localSheetId="11" hidden="1">'Accum Deprec'!$B$1:$N$64</definedName>
    <definedName name="Z_DBF8361F_30FA_11D2_9A0A_002035671DEC_.wvu.PrintArea" localSheetId="13" hidden="1">'Adj to Rate Base'!$B$1:$T$72</definedName>
    <definedName name="Z_DBF8361F_30FA_11D2_9A0A_002035671DEC_.wvu.PrintArea" localSheetId="12" hidden="1">CWIP!$B$1:$J$76</definedName>
    <definedName name="Z_DBF8361F_30FA_11D2_9A0A_002035671DEC_.wvu.PrintArea" localSheetId="10" hidden="1">'Gross Plant'!$B$1:$N$64</definedName>
    <definedName name="Z_DBF8361F_30FA_11D2_9A0A_002035671DEC_.wvu.PrintArea" localSheetId="15" hidden="1">'Land HFFU'!$B$1:$P$58</definedName>
    <definedName name="Z_DBF8361F_30FA_11D2_9A0A_002035671DEC_.wvu.PrintArea" localSheetId="16" hidden="1">'Working Capital'!$B$1:$P$68</definedName>
    <definedName name="Z_E400ADB6_2875_11D2_9A0A_002035671DEC_.wvu.PrintArea" localSheetId="11" hidden="1">'Accum Deprec'!$A$1:$N$64</definedName>
    <definedName name="Z_E400ADB6_2875_11D2_9A0A_002035671DEC_.wvu.PrintArea" localSheetId="13" hidden="1">'Adj to Rate Base'!$A$1:$T$72</definedName>
    <definedName name="Z_E400ADB6_2875_11D2_9A0A_002035671DEC_.wvu.PrintArea" localSheetId="12" hidden="1">CWIP!$A$1:$J$76</definedName>
    <definedName name="Z_E400ADB6_2875_11D2_9A0A_002035671DEC_.wvu.PrintArea" localSheetId="10" hidden="1">'Gross Plant'!$A$1:$N$64</definedName>
    <definedName name="Z_E400ADB6_2875_11D2_9A0A_002035671DEC_.wvu.PrintArea" localSheetId="15" hidden="1">'Land HFFU'!$A$1:$P$58</definedName>
    <definedName name="Z_E400ADB6_2875_11D2_9A0A_002035671DEC_.wvu.PrintArea" localSheetId="16" hidden="1">'Working Capital'!$A$1:$P$68</definedName>
    <definedName name="Z_E400ADFD_2875_11D2_9A0A_002035671DEC_.wvu.PrintArea" localSheetId="11" hidden="1">'Accum Deprec'!$A$1:$N$64</definedName>
    <definedName name="Z_E400ADFD_2875_11D2_9A0A_002035671DEC_.wvu.PrintArea" localSheetId="13" hidden="1">'Adj to Rate Base'!$A$1:$T$72</definedName>
    <definedName name="Z_E400ADFD_2875_11D2_9A0A_002035671DEC_.wvu.PrintArea" localSheetId="12" hidden="1">CWIP!$A$1:$J$76</definedName>
    <definedName name="Z_E400ADFD_2875_11D2_9A0A_002035671DEC_.wvu.PrintArea" localSheetId="10" hidden="1">'Gross Plant'!$A$1:$N$64</definedName>
    <definedName name="Z_E400ADFD_2875_11D2_9A0A_002035671DEC_.wvu.PrintArea" localSheetId="15" hidden="1">'Land HFFU'!$A$1:$P$58</definedName>
    <definedName name="Z_E400ADFD_2875_11D2_9A0A_002035671DEC_.wvu.PrintArea" localSheetId="16" hidden="1">'Working Capital'!$A$1:$P$68</definedName>
    <definedName name="Z_E400AE47_2875_11D2_9A0A_002035671DEC_.wvu.PrintArea" localSheetId="11" hidden="1">'Accum Deprec'!$A$1:$N$64</definedName>
    <definedName name="Z_E400AE47_2875_11D2_9A0A_002035671DEC_.wvu.PrintArea" localSheetId="13" hidden="1">'Adj to Rate Base'!$A$1:$T$72</definedName>
    <definedName name="Z_E400AE47_2875_11D2_9A0A_002035671DEC_.wvu.PrintArea" localSheetId="12" hidden="1">CWIP!$A$1:$J$76</definedName>
    <definedName name="Z_E400AE47_2875_11D2_9A0A_002035671DEC_.wvu.PrintArea" localSheetId="10" hidden="1">'Gross Plant'!$A$1:$N$64</definedName>
    <definedName name="Z_E400AE47_2875_11D2_9A0A_002035671DEC_.wvu.PrintArea" localSheetId="15" hidden="1">'Land HFFU'!$A$1:$P$58</definedName>
    <definedName name="Z_E400AE47_2875_11D2_9A0A_002035671DEC_.wvu.PrintArea" localSheetId="16" hidden="1">'Working Capital'!$A$1:$P$68</definedName>
  </definedNames>
  <calcPr calcId="145621"/>
</workbook>
</file>

<file path=xl/calcChain.xml><?xml version="1.0" encoding="utf-8"?>
<calcChain xmlns="http://schemas.openxmlformats.org/spreadsheetml/2006/main">
  <c r="Q92" i="155" l="1"/>
  <c r="C92" i="147"/>
  <c r="D92" i="147"/>
  <c r="E92" i="147"/>
  <c r="F92" i="147"/>
  <c r="G92" i="147"/>
  <c r="H92" i="147"/>
  <c r="I92" i="147"/>
  <c r="J92" i="147"/>
  <c r="K92" i="147"/>
  <c r="L92" i="147"/>
  <c r="M92" i="147"/>
  <c r="N92" i="147"/>
  <c r="O63" i="147"/>
  <c r="O60" i="147"/>
  <c r="O61" i="147"/>
  <c r="E42" i="142" l="1"/>
  <c r="O62" i="147"/>
  <c r="O47" i="147"/>
  <c r="O34" i="147"/>
  <c r="C37" i="147" l="1"/>
  <c r="D37" i="147"/>
  <c r="E37" i="147"/>
  <c r="F37" i="147"/>
  <c r="G37" i="147"/>
  <c r="H37" i="147"/>
  <c r="I37" i="147"/>
  <c r="J37" i="147"/>
  <c r="K37" i="147"/>
  <c r="L37" i="147"/>
  <c r="M37" i="147"/>
  <c r="N37" i="147"/>
  <c r="B37" i="147"/>
  <c r="C94" i="147"/>
  <c r="D94" i="147"/>
  <c r="E94" i="147"/>
  <c r="F94" i="147"/>
  <c r="G94" i="147"/>
  <c r="H94" i="147"/>
  <c r="I94" i="147"/>
  <c r="J94" i="147"/>
  <c r="K94" i="147"/>
  <c r="L94" i="147"/>
  <c r="M94" i="147"/>
  <c r="N94" i="147"/>
  <c r="B94" i="147"/>
  <c r="B92" i="147"/>
  <c r="O71" i="147"/>
  <c r="O70" i="147"/>
  <c r="C67" i="147"/>
  <c r="D67" i="147"/>
  <c r="E67" i="147"/>
  <c r="F67" i="147"/>
  <c r="G67" i="147"/>
  <c r="H67" i="147"/>
  <c r="I67" i="147"/>
  <c r="J67" i="147"/>
  <c r="K67" i="147"/>
  <c r="L67" i="147"/>
  <c r="M67" i="147"/>
  <c r="N67" i="147"/>
  <c r="B67" i="147"/>
  <c r="C63" i="147"/>
  <c r="D63" i="147"/>
  <c r="E63" i="147"/>
  <c r="F63" i="147"/>
  <c r="G63" i="147"/>
  <c r="H63" i="147"/>
  <c r="I63" i="147"/>
  <c r="J63" i="147"/>
  <c r="K63" i="147"/>
  <c r="L63" i="147"/>
  <c r="M63" i="147"/>
  <c r="N63" i="147"/>
  <c r="B63" i="147"/>
  <c r="C80" i="147"/>
  <c r="D80" i="147"/>
  <c r="E80" i="147"/>
  <c r="F80" i="147"/>
  <c r="G80" i="147"/>
  <c r="H80" i="147"/>
  <c r="I80" i="147"/>
  <c r="J80" i="147"/>
  <c r="K80" i="147"/>
  <c r="L80" i="147"/>
  <c r="M80" i="147"/>
  <c r="N80" i="147"/>
  <c r="C81" i="147"/>
  <c r="D81" i="147"/>
  <c r="E81" i="147"/>
  <c r="F81" i="147"/>
  <c r="G81" i="147"/>
  <c r="H81" i="147"/>
  <c r="I81" i="147"/>
  <c r="J81" i="147"/>
  <c r="K81" i="147"/>
  <c r="L81" i="147"/>
  <c r="M81" i="147"/>
  <c r="N81" i="147"/>
  <c r="C82" i="147"/>
  <c r="D82" i="147"/>
  <c r="E82" i="147"/>
  <c r="F82" i="147"/>
  <c r="G82" i="147"/>
  <c r="H82" i="147"/>
  <c r="I82" i="147"/>
  <c r="J82" i="147"/>
  <c r="K82" i="147"/>
  <c r="L82" i="147"/>
  <c r="M82" i="147"/>
  <c r="N82" i="147"/>
  <c r="C83" i="147"/>
  <c r="D83" i="147"/>
  <c r="E83" i="147"/>
  <c r="F83" i="147"/>
  <c r="G83" i="147"/>
  <c r="H83" i="147"/>
  <c r="I83" i="147"/>
  <c r="J83" i="147"/>
  <c r="K83" i="147"/>
  <c r="L83" i="147"/>
  <c r="M83" i="147"/>
  <c r="N83" i="147"/>
  <c r="B83" i="147"/>
  <c r="B82" i="147"/>
  <c r="B81" i="147"/>
  <c r="O56" i="147"/>
  <c r="C52" i="147"/>
  <c r="D52" i="147"/>
  <c r="E52" i="147"/>
  <c r="F52" i="147"/>
  <c r="G52" i="147"/>
  <c r="H52" i="147"/>
  <c r="I52" i="147"/>
  <c r="J52" i="147"/>
  <c r="K52" i="147"/>
  <c r="L52" i="147"/>
  <c r="M52" i="147"/>
  <c r="N52" i="147"/>
  <c r="B52" i="147"/>
  <c r="C48" i="147"/>
  <c r="D48" i="147"/>
  <c r="E48" i="147"/>
  <c r="F48" i="147"/>
  <c r="G48" i="147"/>
  <c r="H48" i="147"/>
  <c r="I48" i="147"/>
  <c r="J48" i="147"/>
  <c r="K48" i="147"/>
  <c r="L48" i="147"/>
  <c r="M48" i="147"/>
  <c r="N48" i="147"/>
  <c r="B48" i="147"/>
  <c r="C85" i="147"/>
  <c r="D85" i="147"/>
  <c r="E85" i="147"/>
  <c r="F85" i="147"/>
  <c r="G85" i="147"/>
  <c r="H85" i="147"/>
  <c r="I85" i="147"/>
  <c r="J85" i="147"/>
  <c r="K85" i="147"/>
  <c r="L85" i="147"/>
  <c r="M85" i="147"/>
  <c r="N85" i="147"/>
  <c r="C86" i="147"/>
  <c r="D86" i="147"/>
  <c r="E86" i="147"/>
  <c r="F86" i="147"/>
  <c r="G86" i="147"/>
  <c r="H86" i="147"/>
  <c r="I86" i="147"/>
  <c r="J86" i="147"/>
  <c r="K86" i="147"/>
  <c r="L86" i="147"/>
  <c r="M86" i="147"/>
  <c r="N86" i="147"/>
  <c r="C87" i="147"/>
  <c r="D87" i="147"/>
  <c r="E87" i="147"/>
  <c r="F87" i="147"/>
  <c r="G87" i="147"/>
  <c r="H87" i="147"/>
  <c r="I87" i="147"/>
  <c r="J87" i="147"/>
  <c r="K87" i="147"/>
  <c r="L87" i="147"/>
  <c r="M87" i="147"/>
  <c r="N87" i="147"/>
  <c r="C88" i="147"/>
  <c r="D88" i="147"/>
  <c r="E88" i="147"/>
  <c r="F88" i="147"/>
  <c r="G88" i="147"/>
  <c r="H88" i="147"/>
  <c r="I88" i="147"/>
  <c r="J88" i="147"/>
  <c r="K88" i="147"/>
  <c r="L88" i="147"/>
  <c r="M88" i="147"/>
  <c r="N88" i="147"/>
  <c r="B88" i="147"/>
  <c r="B87" i="147"/>
  <c r="B86" i="147"/>
  <c r="D41" i="147"/>
  <c r="E41" i="147"/>
  <c r="F41" i="147"/>
  <c r="G41" i="147"/>
  <c r="H41" i="147"/>
  <c r="I41" i="147"/>
  <c r="J41" i="147"/>
  <c r="K41" i="147"/>
  <c r="L41" i="147"/>
  <c r="M41" i="147"/>
  <c r="N41" i="147"/>
  <c r="C41" i="147"/>
  <c r="O39" i="147"/>
  <c r="C77" i="147"/>
  <c r="D77" i="147"/>
  <c r="E77" i="147"/>
  <c r="F77" i="147"/>
  <c r="G77" i="147"/>
  <c r="H77" i="147"/>
  <c r="I77" i="147"/>
  <c r="J77" i="147"/>
  <c r="K77" i="147"/>
  <c r="L77" i="147"/>
  <c r="M77" i="147"/>
  <c r="N77" i="147"/>
  <c r="B77" i="147"/>
  <c r="O5" i="147"/>
  <c r="O6" i="147"/>
  <c r="O8" i="147"/>
  <c r="O9" i="147"/>
  <c r="O10" i="147"/>
  <c r="O4" i="147"/>
  <c r="C75" i="147"/>
  <c r="D75" i="147"/>
  <c r="E75" i="147"/>
  <c r="F75" i="147"/>
  <c r="G75" i="147"/>
  <c r="H75" i="147"/>
  <c r="I75" i="147"/>
  <c r="J75" i="147"/>
  <c r="K75" i="147"/>
  <c r="L75" i="147"/>
  <c r="M75" i="147"/>
  <c r="N75" i="147"/>
  <c r="C76" i="147"/>
  <c r="D76" i="147"/>
  <c r="E76" i="147"/>
  <c r="F76" i="147"/>
  <c r="G76" i="147"/>
  <c r="H76" i="147"/>
  <c r="I76" i="147"/>
  <c r="J76" i="147"/>
  <c r="K76" i="147"/>
  <c r="L76" i="147"/>
  <c r="M76" i="147"/>
  <c r="N76" i="147"/>
  <c r="B76" i="147"/>
  <c r="B75" i="147"/>
  <c r="O15" i="147"/>
  <c r="C11" i="147"/>
  <c r="D11" i="147"/>
  <c r="E11" i="147"/>
  <c r="E78" i="147" s="1"/>
  <c r="F11" i="147"/>
  <c r="G11" i="147"/>
  <c r="H11" i="147"/>
  <c r="I11" i="147"/>
  <c r="I78" i="147" s="1"/>
  <c r="J11" i="147"/>
  <c r="K11" i="147"/>
  <c r="L11" i="147"/>
  <c r="M11" i="147"/>
  <c r="M78" i="147" s="1"/>
  <c r="N11" i="147"/>
  <c r="B11" i="147"/>
  <c r="C7" i="147"/>
  <c r="C12" i="147" s="1"/>
  <c r="D7" i="147"/>
  <c r="E7" i="147"/>
  <c r="F7" i="147"/>
  <c r="G7" i="147"/>
  <c r="G12" i="147" s="1"/>
  <c r="H7" i="147"/>
  <c r="I7" i="147"/>
  <c r="J7" i="147"/>
  <c r="K7" i="147"/>
  <c r="K12" i="147" s="1"/>
  <c r="L7" i="147"/>
  <c r="M7" i="147"/>
  <c r="N7" i="147"/>
  <c r="B7" i="147"/>
  <c r="B12" i="147" s="1"/>
  <c r="C14" i="142"/>
  <c r="N78" i="147" l="1"/>
  <c r="J78" i="147"/>
  <c r="F78" i="147"/>
  <c r="O11" i="147"/>
  <c r="N12" i="147"/>
  <c r="O41" i="147"/>
  <c r="J12" i="147"/>
  <c r="L12" i="147"/>
  <c r="H12" i="147"/>
  <c r="D12" i="147"/>
  <c r="F12" i="147"/>
  <c r="L78" i="147"/>
  <c r="H78" i="147"/>
  <c r="D78" i="147"/>
  <c r="M12" i="147"/>
  <c r="I12" i="147"/>
  <c r="E12" i="147"/>
  <c r="B78" i="147"/>
  <c r="K78" i="147"/>
  <c r="G78" i="147"/>
  <c r="C78" i="147"/>
  <c r="O7" i="147"/>
  <c r="O12" i="147" l="1"/>
  <c r="O78" i="147"/>
  <c r="D189" i="159" l="1"/>
  <c r="D193" i="159" s="1"/>
  <c r="L231" i="159"/>
  <c r="I231" i="159" s="1"/>
  <c r="M231" i="159"/>
  <c r="L232" i="159"/>
  <c r="M232" i="159"/>
  <c r="I232" i="159"/>
  <c r="F18" i="131"/>
  <c r="F22" i="131" s="1"/>
  <c r="L240" i="159" s="1"/>
  <c r="F19" i="131"/>
  <c r="F20" i="131"/>
  <c r="H18" i="131"/>
  <c r="H19" i="131"/>
  <c r="H20" i="131"/>
  <c r="H22" i="131"/>
  <c r="M240" i="159" s="1"/>
  <c r="L250" i="159"/>
  <c r="M250" i="159"/>
  <c r="D250" i="159"/>
  <c r="L249" i="159"/>
  <c r="M249" i="159"/>
  <c r="D249" i="159"/>
  <c r="D253" i="159" s="1"/>
  <c r="L251" i="159"/>
  <c r="M251" i="159"/>
  <c r="D251" i="159"/>
  <c r="G251" i="159" s="1"/>
  <c r="L252" i="159"/>
  <c r="M252" i="159"/>
  <c r="D252" i="159"/>
  <c r="G252" i="159" s="1"/>
  <c r="L257" i="159"/>
  <c r="D257" i="159" s="1"/>
  <c r="D260" i="159" s="1"/>
  <c r="G258" i="159" s="1"/>
  <c r="M257" i="159"/>
  <c r="L258" i="159"/>
  <c r="M258" i="159"/>
  <c r="D258" i="159"/>
  <c r="L259" i="159"/>
  <c r="M259" i="159"/>
  <c r="D259" i="159"/>
  <c r="D165" i="159"/>
  <c r="L179" i="159"/>
  <c r="D179" i="159" s="1"/>
  <c r="M179" i="159"/>
  <c r="L180" i="159"/>
  <c r="M180" i="159"/>
  <c r="D180" i="159"/>
  <c r="L182" i="159"/>
  <c r="D182" i="159" s="1"/>
  <c r="M182" i="159"/>
  <c r="L184" i="159"/>
  <c r="D184" i="159" s="1"/>
  <c r="M184" i="159"/>
  <c r="L185" i="159"/>
  <c r="M185" i="159"/>
  <c r="D185" i="159"/>
  <c r="D116" i="159"/>
  <c r="L273" i="159"/>
  <c r="M273" i="159"/>
  <c r="D273" i="159"/>
  <c r="L263" i="159"/>
  <c r="I263" i="159" s="1"/>
  <c r="G273" i="159" s="1"/>
  <c r="M263" i="159"/>
  <c r="L268" i="159"/>
  <c r="I268" i="159" s="1"/>
  <c r="M268" i="159"/>
  <c r="L269" i="159"/>
  <c r="I269" i="159" s="1"/>
  <c r="M269" i="159"/>
  <c r="L270" i="159"/>
  <c r="M270" i="159"/>
  <c r="I270" i="159" s="1"/>
  <c r="L274" i="159"/>
  <c r="D274" i="159" s="1"/>
  <c r="G274" i="159" s="1"/>
  <c r="M274" i="159"/>
  <c r="L194" i="159"/>
  <c r="M194" i="159"/>
  <c r="D194" i="159"/>
  <c r="K73" i="158"/>
  <c r="K74" i="158"/>
  <c r="K75" i="158"/>
  <c r="K76" i="158"/>
  <c r="K77" i="158"/>
  <c r="K78" i="158"/>
  <c r="K79" i="158"/>
  <c r="K80" i="158"/>
  <c r="K81" i="158"/>
  <c r="K82" i="158"/>
  <c r="K83" i="158"/>
  <c r="K84" i="158"/>
  <c r="K85" i="158"/>
  <c r="K86" i="158"/>
  <c r="K87" i="158"/>
  <c r="K88" i="158"/>
  <c r="K89" i="158"/>
  <c r="E90" i="158"/>
  <c r="H90" i="158"/>
  <c r="K90" i="158"/>
  <c r="C61" i="154"/>
  <c r="C43" i="154"/>
  <c r="C44" i="154"/>
  <c r="C45" i="154"/>
  <c r="C46" i="154"/>
  <c r="C47" i="154"/>
  <c r="C48" i="154"/>
  <c r="C49" i="154"/>
  <c r="C50" i="154"/>
  <c r="C51" i="154"/>
  <c r="C52" i="154"/>
  <c r="C53" i="154"/>
  <c r="C54" i="154"/>
  <c r="C55" i="154"/>
  <c r="B22" i="154"/>
  <c r="B38" i="154"/>
  <c r="B55" i="154" s="1"/>
  <c r="B11" i="154"/>
  <c r="B44" i="154" s="1"/>
  <c r="B10" i="154"/>
  <c r="B43" i="154" s="1"/>
  <c r="C39" i="154"/>
  <c r="B26" i="154"/>
  <c r="C23" i="154"/>
  <c r="L72" i="155"/>
  <c r="L73" i="155"/>
  <c r="E75" i="155"/>
  <c r="J64" i="155"/>
  <c r="R62" i="155"/>
  <c r="J62" i="155"/>
  <c r="R61" i="155"/>
  <c r="J61" i="155"/>
  <c r="C61" i="155"/>
  <c r="S61" i="157"/>
  <c r="R61" i="157"/>
  <c r="Q61" i="157"/>
  <c r="P61" i="157"/>
  <c r="O61" i="157"/>
  <c r="N61" i="157"/>
  <c r="M61" i="157"/>
  <c r="L61" i="157"/>
  <c r="K61" i="157"/>
  <c r="J61" i="157"/>
  <c r="I61" i="157"/>
  <c r="H61" i="157"/>
  <c r="G61" i="157"/>
  <c r="F61" i="157"/>
  <c r="E61" i="157"/>
  <c r="D61" i="157"/>
  <c r="C61" i="157"/>
  <c r="S43" i="157"/>
  <c r="S44" i="157"/>
  <c r="S45" i="157"/>
  <c r="S46" i="157"/>
  <c r="S47" i="157"/>
  <c r="S48" i="157"/>
  <c r="S49" i="157"/>
  <c r="S50" i="157"/>
  <c r="S51" i="157"/>
  <c r="S52" i="157"/>
  <c r="S53" i="157"/>
  <c r="S56" i="157" s="1"/>
  <c r="H89" i="158" s="1"/>
  <c r="S54" i="157"/>
  <c r="S55" i="157"/>
  <c r="R43" i="157"/>
  <c r="R56" i="157" s="1"/>
  <c r="H88" i="158" s="1"/>
  <c r="R44" i="157"/>
  <c r="R45" i="157"/>
  <c r="R46" i="157"/>
  <c r="R47" i="157"/>
  <c r="R48" i="157"/>
  <c r="R49" i="157"/>
  <c r="R50" i="157"/>
  <c r="R51" i="157"/>
  <c r="R52" i="157"/>
  <c r="R53" i="157"/>
  <c r="R54" i="157"/>
  <c r="R55" i="157"/>
  <c r="Q43" i="157"/>
  <c r="Q44" i="157"/>
  <c r="Q45" i="157"/>
  <c r="Q46" i="157"/>
  <c r="Q47" i="157"/>
  <c r="Q48" i="157"/>
  <c r="Q49" i="157"/>
  <c r="Q50" i="157"/>
  <c r="Q51" i="157"/>
  <c r="Q52" i="157"/>
  <c r="Q53" i="157"/>
  <c r="Q54" i="157"/>
  <c r="Q55" i="157"/>
  <c r="Q56" i="157"/>
  <c r="H87" i="158" s="1"/>
  <c r="P43" i="157"/>
  <c r="P56" i="157" s="1"/>
  <c r="H86" i="158" s="1"/>
  <c r="P44" i="157"/>
  <c r="P45" i="157"/>
  <c r="P46" i="157"/>
  <c r="P47" i="157"/>
  <c r="P48" i="157"/>
  <c r="P49" i="157"/>
  <c r="P50" i="157"/>
  <c r="P51" i="157"/>
  <c r="P52" i="157"/>
  <c r="P53" i="157"/>
  <c r="P54" i="157"/>
  <c r="P55" i="157"/>
  <c r="O43" i="157"/>
  <c r="O44" i="157"/>
  <c r="O45" i="157"/>
  <c r="O46" i="157"/>
  <c r="O47" i="157"/>
  <c r="O48" i="157"/>
  <c r="O49" i="157"/>
  <c r="O50" i="157"/>
  <c r="O51" i="157"/>
  <c r="O52" i="157"/>
  <c r="O53" i="157"/>
  <c r="O54" i="157"/>
  <c r="O55" i="157"/>
  <c r="O56" i="157"/>
  <c r="H85" i="158" s="1"/>
  <c r="N43" i="157"/>
  <c r="N56" i="157" s="1"/>
  <c r="H84" i="158" s="1"/>
  <c r="N44" i="157"/>
  <c r="N45" i="157"/>
  <c r="N46" i="157"/>
  <c r="N47" i="157"/>
  <c r="N48" i="157"/>
  <c r="N49" i="157"/>
  <c r="N50" i="157"/>
  <c r="N51" i="157"/>
  <c r="N52" i="157"/>
  <c r="N53" i="157"/>
  <c r="N54" i="157"/>
  <c r="N55" i="157"/>
  <c r="M43" i="157"/>
  <c r="M44" i="157"/>
  <c r="M45" i="157"/>
  <c r="M46" i="157"/>
  <c r="M47" i="157"/>
  <c r="M48" i="157"/>
  <c r="M49" i="157"/>
  <c r="M50" i="157"/>
  <c r="M51" i="157"/>
  <c r="M52" i="157"/>
  <c r="M53" i="157"/>
  <c r="M54" i="157"/>
  <c r="M55" i="157"/>
  <c r="M56" i="157"/>
  <c r="H83" i="158" s="1"/>
  <c r="L43" i="157"/>
  <c r="L56" i="157" s="1"/>
  <c r="H82" i="158" s="1"/>
  <c r="L44" i="157"/>
  <c r="L45" i="157"/>
  <c r="L46" i="157"/>
  <c r="L47" i="157"/>
  <c r="L48" i="157"/>
  <c r="L49" i="157"/>
  <c r="L50" i="157"/>
  <c r="L51" i="157"/>
  <c r="L52" i="157"/>
  <c r="L53" i="157"/>
  <c r="L54" i="157"/>
  <c r="L55" i="157"/>
  <c r="K43" i="157"/>
  <c r="K44" i="157"/>
  <c r="K45" i="157"/>
  <c r="K46" i="157"/>
  <c r="K47" i="157"/>
  <c r="K48" i="157"/>
  <c r="K49" i="157"/>
  <c r="K50" i="157"/>
  <c r="K51" i="157"/>
  <c r="K52" i="157"/>
  <c r="K53" i="157"/>
  <c r="K54" i="157"/>
  <c r="K55" i="157"/>
  <c r="K56" i="157"/>
  <c r="H81" i="158" s="1"/>
  <c r="J43" i="157"/>
  <c r="J56" i="157" s="1"/>
  <c r="H80" i="158" s="1"/>
  <c r="J44" i="157"/>
  <c r="J45" i="157"/>
  <c r="J46" i="157"/>
  <c r="J47" i="157"/>
  <c r="J48" i="157"/>
  <c r="J49" i="157"/>
  <c r="J50" i="157"/>
  <c r="J51" i="157"/>
  <c r="J52" i="157"/>
  <c r="J53" i="157"/>
  <c r="J54" i="157"/>
  <c r="J55" i="157"/>
  <c r="I43" i="157"/>
  <c r="I56" i="157" s="1"/>
  <c r="H79" i="158" s="1"/>
  <c r="I44" i="157"/>
  <c r="I45" i="157"/>
  <c r="I46" i="157"/>
  <c r="I47" i="157"/>
  <c r="I48" i="157"/>
  <c r="I49" i="157"/>
  <c r="I50" i="157"/>
  <c r="I51" i="157"/>
  <c r="I52" i="157"/>
  <c r="I53" i="157"/>
  <c r="I54" i="157"/>
  <c r="I55" i="157"/>
  <c r="H43" i="157"/>
  <c r="H44" i="157"/>
  <c r="H45" i="157"/>
  <c r="H46" i="157"/>
  <c r="H47" i="157"/>
  <c r="H48" i="157"/>
  <c r="H49" i="157"/>
  <c r="H50" i="157"/>
  <c r="H51" i="157"/>
  <c r="H52" i="157"/>
  <c r="H53" i="157"/>
  <c r="H54" i="157"/>
  <c r="H55" i="157"/>
  <c r="G43" i="157"/>
  <c r="G44" i="157"/>
  <c r="G45" i="157"/>
  <c r="G46" i="157"/>
  <c r="G47" i="157"/>
  <c r="G48" i="157"/>
  <c r="G49" i="157"/>
  <c r="G50" i="157"/>
  <c r="G51" i="157"/>
  <c r="G52" i="157"/>
  <c r="G53" i="157"/>
  <c r="G54" i="157"/>
  <c r="G55" i="157"/>
  <c r="G56" i="157"/>
  <c r="H77" i="158" s="1"/>
  <c r="F43" i="157"/>
  <c r="F56" i="157" s="1"/>
  <c r="H76" i="158" s="1"/>
  <c r="F44" i="157"/>
  <c r="F45" i="157"/>
  <c r="F46" i="157"/>
  <c r="F47" i="157"/>
  <c r="F48" i="157"/>
  <c r="F49" i="157"/>
  <c r="F50" i="157"/>
  <c r="F51" i="157"/>
  <c r="F52" i="157"/>
  <c r="F53" i="157"/>
  <c r="F54" i="157"/>
  <c r="F55" i="157"/>
  <c r="E43" i="157"/>
  <c r="E44" i="157"/>
  <c r="E45" i="157"/>
  <c r="E46" i="157"/>
  <c r="E47" i="157"/>
  <c r="E48" i="157"/>
  <c r="E49" i="157"/>
  <c r="E50" i="157"/>
  <c r="E51" i="157"/>
  <c r="E52" i="157"/>
  <c r="E53" i="157"/>
  <c r="E54" i="157"/>
  <c r="E55" i="157"/>
  <c r="E56" i="157"/>
  <c r="H75" i="158" s="1"/>
  <c r="D43" i="157"/>
  <c r="D56" i="157" s="1"/>
  <c r="H74" i="158" s="1"/>
  <c r="D44" i="157"/>
  <c r="D45" i="157"/>
  <c r="D46" i="157"/>
  <c r="D47" i="157"/>
  <c r="D48" i="157"/>
  <c r="D49" i="157"/>
  <c r="D50" i="157"/>
  <c r="D51" i="157"/>
  <c r="D52" i="157"/>
  <c r="D53" i="157"/>
  <c r="D54" i="157"/>
  <c r="D55" i="157"/>
  <c r="C43" i="157"/>
  <c r="C44" i="157"/>
  <c r="C45" i="157"/>
  <c r="C46" i="157"/>
  <c r="C47" i="157"/>
  <c r="C48" i="157"/>
  <c r="C49" i="157"/>
  <c r="C50" i="157"/>
  <c r="C51" i="157"/>
  <c r="C52" i="157"/>
  <c r="C53" i="157"/>
  <c r="C54" i="157"/>
  <c r="C55" i="157"/>
  <c r="C56" i="157"/>
  <c r="H73" i="158" s="1"/>
  <c r="B22" i="157"/>
  <c r="B38" i="157" s="1"/>
  <c r="B55" i="157" s="1"/>
  <c r="B11" i="157"/>
  <c r="B44" i="157" s="1"/>
  <c r="B10" i="157"/>
  <c r="B43" i="157" s="1"/>
  <c r="S39" i="157"/>
  <c r="R39" i="157"/>
  <c r="Q39" i="157"/>
  <c r="P39" i="157"/>
  <c r="O39" i="157"/>
  <c r="N39" i="157"/>
  <c r="M39" i="157"/>
  <c r="L39" i="157"/>
  <c r="K39" i="157"/>
  <c r="J39" i="157"/>
  <c r="I39" i="157"/>
  <c r="H39" i="157"/>
  <c r="G39" i="157"/>
  <c r="F39" i="157"/>
  <c r="E39" i="157"/>
  <c r="D39" i="157"/>
  <c r="C39" i="157"/>
  <c r="B26" i="157"/>
  <c r="S23" i="157"/>
  <c r="E89" i="158" s="1"/>
  <c r="C23" i="142" s="1"/>
  <c r="E23" i="142" s="1"/>
  <c r="R23" i="157"/>
  <c r="E88" i="158" s="1"/>
  <c r="C21" i="142" s="1"/>
  <c r="Q23" i="157"/>
  <c r="E87" i="158" s="1"/>
  <c r="C20" i="142" s="1"/>
  <c r="P23" i="157"/>
  <c r="E86" i="158" s="1"/>
  <c r="C22" i="142" s="1"/>
  <c r="O23" i="157"/>
  <c r="E85" i="158" s="1"/>
  <c r="C19" i="142" s="1"/>
  <c r="N23" i="157"/>
  <c r="E84" i="158" s="1"/>
  <c r="C18" i="142" s="1"/>
  <c r="M23" i="157"/>
  <c r="E83" i="158" s="1"/>
  <c r="C17" i="142" s="1"/>
  <c r="L23" i="157"/>
  <c r="E82" i="158" s="1"/>
  <c r="C16" i="142" s="1"/>
  <c r="K23" i="157"/>
  <c r="E81" i="158" s="1"/>
  <c r="C15" i="142" s="1"/>
  <c r="J23" i="157"/>
  <c r="E80" i="158" s="1"/>
  <c r="I23" i="157"/>
  <c r="E79" i="158" s="1"/>
  <c r="C13" i="142" s="1"/>
  <c r="H23" i="157"/>
  <c r="E78" i="158" s="1"/>
  <c r="C12" i="142" s="1"/>
  <c r="E12" i="142" s="1"/>
  <c r="G23" i="157"/>
  <c r="E77" i="158" s="1"/>
  <c r="C11" i="142" s="1"/>
  <c r="F23" i="157"/>
  <c r="E76" i="158" s="1"/>
  <c r="C10" i="142" s="1"/>
  <c r="E23" i="157"/>
  <c r="E75" i="158" s="1"/>
  <c r="C9" i="142" s="1"/>
  <c r="D23" i="157"/>
  <c r="E74" i="158" s="1"/>
  <c r="C8" i="142" s="1"/>
  <c r="C23" i="157"/>
  <c r="E73" i="158" s="1"/>
  <c r="C7" i="142" s="1"/>
  <c r="M94" i="158"/>
  <c r="G65" i="158"/>
  <c r="G63" i="158"/>
  <c r="N62" i="158"/>
  <c r="G62" i="158"/>
  <c r="C62" i="158"/>
  <c r="N61" i="158"/>
  <c r="A303" i="159"/>
  <c r="M288" i="159"/>
  <c r="M289" i="159"/>
  <c r="M290" i="159"/>
  <c r="M291" i="159"/>
  <c r="M285" i="159"/>
  <c r="L285" i="159"/>
  <c r="I285" i="159" s="1"/>
  <c r="L281" i="159"/>
  <c r="M281" i="159"/>
  <c r="I281" i="159"/>
  <c r="I283" i="159" s="1"/>
  <c r="M282" i="159"/>
  <c r="L282" i="159"/>
  <c r="M271" i="159"/>
  <c r="L271" i="159"/>
  <c r="I265" i="159"/>
  <c r="M260" i="159"/>
  <c r="L260" i="159"/>
  <c r="I256" i="159"/>
  <c r="M253" i="159"/>
  <c r="L253" i="159"/>
  <c r="N247" i="159"/>
  <c r="A226" i="159"/>
  <c r="K223" i="159"/>
  <c r="D166" i="159"/>
  <c r="I166" i="159" s="1"/>
  <c r="L183" i="159"/>
  <c r="M183" i="159"/>
  <c r="M186" i="159" s="1"/>
  <c r="L186" i="159"/>
  <c r="F184" i="159"/>
  <c r="C184" i="159"/>
  <c r="F94" i="159"/>
  <c r="F112" i="159" s="1"/>
  <c r="F183" i="159"/>
  <c r="F180" i="159"/>
  <c r="C180" i="159"/>
  <c r="B170" i="159"/>
  <c r="C165" i="159"/>
  <c r="F164" i="159"/>
  <c r="F162" i="159"/>
  <c r="F163" i="159" s="1"/>
  <c r="A151" i="159"/>
  <c r="K148" i="159"/>
  <c r="F95" i="159"/>
  <c r="F121" i="159"/>
  <c r="F115" i="159"/>
  <c r="B98" i="159"/>
  <c r="B106" i="159"/>
  <c r="B97" i="159"/>
  <c r="B105" i="159" s="1"/>
  <c r="B96" i="159"/>
  <c r="B104" i="159"/>
  <c r="B95" i="159"/>
  <c r="B103" i="159" s="1"/>
  <c r="B94" i="159"/>
  <c r="B102" i="159"/>
  <c r="F98" i="159"/>
  <c r="F97" i="159"/>
  <c r="G96" i="159"/>
  <c r="F96" i="159"/>
  <c r="G94" i="159"/>
  <c r="A79" i="159"/>
  <c r="K76" i="159"/>
  <c r="I48" i="159"/>
  <c r="I47" i="159"/>
  <c r="D14" i="159"/>
  <c r="I20" i="159"/>
  <c r="I21" i="159"/>
  <c r="S32" i="159"/>
  <c r="O19" i="159"/>
  <c r="Q19" i="159" s="1"/>
  <c r="D7" i="142"/>
  <c r="E7" i="142" s="1"/>
  <c r="D8" i="142"/>
  <c r="E8" i="142" s="1"/>
  <c r="D9" i="142"/>
  <c r="E9" i="142" s="1"/>
  <c r="E10" i="142"/>
  <c r="E11" i="142"/>
  <c r="E13" i="142"/>
  <c r="E14" i="142"/>
  <c r="E15" i="142"/>
  <c r="E16" i="142"/>
  <c r="E17" i="142"/>
  <c r="E18" i="142"/>
  <c r="E19" i="142"/>
  <c r="E20" i="142"/>
  <c r="E21" i="142"/>
  <c r="E22" i="142"/>
  <c r="F15" i="159"/>
  <c r="F16" i="159"/>
  <c r="F17" i="159" s="1"/>
  <c r="H31" i="131"/>
  <c r="H39" i="131"/>
  <c r="J64" i="42"/>
  <c r="M173" i="159" s="1"/>
  <c r="L64" i="42"/>
  <c r="M174" i="159" s="1"/>
  <c r="F78" i="128"/>
  <c r="F82" i="128"/>
  <c r="M113" i="159" s="1"/>
  <c r="H78" i="128"/>
  <c r="H82" i="128" s="1"/>
  <c r="M114" i="159" s="1"/>
  <c r="J78" i="128"/>
  <c r="J82" i="128"/>
  <c r="M115" i="159" s="1"/>
  <c r="D64" i="42"/>
  <c r="M170" i="159" s="1"/>
  <c r="F64" i="42"/>
  <c r="M171" i="159" s="1"/>
  <c r="H64" i="42"/>
  <c r="M172" i="159" s="1"/>
  <c r="R12" i="128"/>
  <c r="T1" i="128"/>
  <c r="I1" i="149" s="1"/>
  <c r="H5" i="149"/>
  <c r="R38" i="128" s="1"/>
  <c r="H6" i="149"/>
  <c r="R39" i="128" s="1"/>
  <c r="R13" i="128" s="1"/>
  <c r="H7" i="149"/>
  <c r="R40" i="128" s="1"/>
  <c r="R14" i="128" s="1"/>
  <c r="H8" i="149"/>
  <c r="R41" i="128" s="1"/>
  <c r="R15" i="128" s="1"/>
  <c r="H9" i="149"/>
  <c r="R42" i="128" s="1"/>
  <c r="R16" i="128" s="1"/>
  <c r="H10" i="149"/>
  <c r="R43" i="128" s="1"/>
  <c r="R17" i="128" s="1"/>
  <c r="H11" i="149"/>
  <c r="R44" i="128" s="1"/>
  <c r="R18" i="128" s="1"/>
  <c r="H12" i="149"/>
  <c r="R45" i="128" s="1"/>
  <c r="R19" i="128" s="1"/>
  <c r="H13" i="149"/>
  <c r="R46" i="128" s="1"/>
  <c r="R20" i="128" s="1"/>
  <c r="H14" i="149"/>
  <c r="R47" i="128" s="1"/>
  <c r="R21" i="128" s="1"/>
  <c r="H15" i="149"/>
  <c r="R48" i="128" s="1"/>
  <c r="R22" i="128" s="1"/>
  <c r="H16" i="149"/>
  <c r="R49" i="128" s="1"/>
  <c r="R23" i="128" s="1"/>
  <c r="H17" i="149"/>
  <c r="R50" i="128" s="1"/>
  <c r="R24" i="128" s="1"/>
  <c r="D78" i="128"/>
  <c r="D82" i="128" s="1"/>
  <c r="M112" i="159" s="1"/>
  <c r="J52" i="128"/>
  <c r="J56" i="128"/>
  <c r="L115" i="159" s="1"/>
  <c r="D115" i="159" s="1"/>
  <c r="H52" i="128"/>
  <c r="H56" i="128" s="1"/>
  <c r="L114" i="159" s="1"/>
  <c r="D114" i="159" s="1"/>
  <c r="F52" i="128"/>
  <c r="F56" i="128"/>
  <c r="L113" i="159" s="1"/>
  <c r="D113" i="159" s="1"/>
  <c r="D52" i="128"/>
  <c r="D56" i="128" s="1"/>
  <c r="L112" i="159" s="1"/>
  <c r="H74" i="37"/>
  <c r="F70" i="3"/>
  <c r="M87" i="159" s="1"/>
  <c r="M103" i="159" s="1"/>
  <c r="H94" i="37"/>
  <c r="M164" i="159" s="1"/>
  <c r="H90" i="37"/>
  <c r="H92" i="37" s="1"/>
  <c r="M163" i="159" s="1"/>
  <c r="H91" i="37"/>
  <c r="H87" i="37"/>
  <c r="M162" i="159" s="1"/>
  <c r="H80" i="37"/>
  <c r="H85" i="37" s="1"/>
  <c r="M161" i="159" s="1"/>
  <c r="H56" i="37"/>
  <c r="M160" i="159" s="1"/>
  <c r="H52" i="37"/>
  <c r="H53" i="37"/>
  <c r="H54" i="37" s="1"/>
  <c r="H27" i="37"/>
  <c r="H44" i="37"/>
  <c r="H46" i="37"/>
  <c r="H50" i="37" s="1"/>
  <c r="M158" i="159" s="1"/>
  <c r="D64" i="129"/>
  <c r="M121" i="159" s="1"/>
  <c r="L70" i="127"/>
  <c r="M98" i="159" s="1"/>
  <c r="J70" i="127"/>
  <c r="M97" i="159" s="1"/>
  <c r="H70" i="127"/>
  <c r="M96" i="159" s="1"/>
  <c r="F70" i="127"/>
  <c r="M95" i="159" s="1"/>
  <c r="D70" i="127"/>
  <c r="M94" i="159" s="1"/>
  <c r="M99" i="159" s="1"/>
  <c r="L70" i="3"/>
  <c r="M90" i="159" s="1"/>
  <c r="M106" i="159" s="1"/>
  <c r="J70" i="3"/>
  <c r="M89" i="159" s="1"/>
  <c r="M105" i="159" s="1"/>
  <c r="H70" i="3"/>
  <c r="M88" i="159" s="1"/>
  <c r="M104" i="159" s="1"/>
  <c r="D70" i="3"/>
  <c r="M86" i="159" s="1"/>
  <c r="M91" i="159" s="1"/>
  <c r="F74" i="130"/>
  <c r="D74" i="130"/>
  <c r="I1" i="136"/>
  <c r="F94" i="37"/>
  <c r="L164" i="159" s="1"/>
  <c r="D164" i="159" s="1"/>
  <c r="F74" i="37"/>
  <c r="F90" i="37" s="1"/>
  <c r="F92" i="37" s="1"/>
  <c r="L163" i="159" s="1"/>
  <c r="D163" i="159" s="1"/>
  <c r="F87" i="37"/>
  <c r="L162" i="159" s="1"/>
  <c r="D162" i="159" s="1"/>
  <c r="F80" i="37"/>
  <c r="F85" i="37" s="1"/>
  <c r="N52" i="128"/>
  <c r="N56" i="128" s="1"/>
  <c r="L118" i="159" s="1"/>
  <c r="P82" i="133"/>
  <c r="M109" i="159" s="1"/>
  <c r="N34" i="3"/>
  <c r="H26" i="128"/>
  <c r="J48" i="3"/>
  <c r="L89" i="159" s="1"/>
  <c r="D89" i="159" s="1"/>
  <c r="B85" i="147"/>
  <c r="B80" i="147"/>
  <c r="F48" i="3"/>
  <c r="L87" i="159" s="1"/>
  <c r="G8" i="140"/>
  <c r="G9" i="140"/>
  <c r="G24" i="140"/>
  <c r="G28" i="140"/>
  <c r="G30" i="140"/>
  <c r="G31" i="140"/>
  <c r="G32" i="140"/>
  <c r="G33" i="140"/>
  <c r="G34" i="140"/>
  <c r="G29" i="140"/>
  <c r="G38" i="140"/>
  <c r="E44" i="140" s="1"/>
  <c r="H8" i="136"/>
  <c r="C8" i="137" s="1"/>
  <c r="F13" i="136"/>
  <c r="F15" i="136"/>
  <c r="H22" i="136" s="1"/>
  <c r="D13" i="136"/>
  <c r="H18" i="136" s="1"/>
  <c r="H20" i="136" s="1"/>
  <c r="H24" i="136" s="1"/>
  <c r="H19" i="136"/>
  <c r="E93" i="147"/>
  <c r="B91" i="147"/>
  <c r="B93" i="147" s="1"/>
  <c r="C91" i="147"/>
  <c r="C93" i="147" s="1"/>
  <c r="D91" i="147"/>
  <c r="E91" i="147"/>
  <c r="F91" i="147"/>
  <c r="G91" i="147"/>
  <c r="H91" i="147"/>
  <c r="J91" i="147"/>
  <c r="I91" i="147"/>
  <c r="I93" i="147" s="1"/>
  <c r="N91" i="147"/>
  <c r="M91" i="147"/>
  <c r="L91" i="147"/>
  <c r="K91" i="147"/>
  <c r="P46" i="133"/>
  <c r="R46" i="133" s="1"/>
  <c r="P47" i="133"/>
  <c r="R47" i="133" s="1"/>
  <c r="P48" i="133"/>
  <c r="R48" i="133" s="1"/>
  <c r="P49" i="133"/>
  <c r="R49" i="133" s="1"/>
  <c r="P50" i="133"/>
  <c r="R50" i="133" s="1"/>
  <c r="P51" i="133"/>
  <c r="R51" i="133" s="1"/>
  <c r="P52" i="133"/>
  <c r="R52" i="133" s="1"/>
  <c r="P53" i="133"/>
  <c r="R53" i="133" s="1"/>
  <c r="P54" i="133"/>
  <c r="R54" i="133" s="1"/>
  <c r="P55" i="133"/>
  <c r="R55" i="133" s="1"/>
  <c r="P56" i="133"/>
  <c r="R56" i="133" s="1"/>
  <c r="P57" i="133"/>
  <c r="R57" i="133" s="1"/>
  <c r="P58" i="133"/>
  <c r="R58" i="133" s="1"/>
  <c r="F48" i="127"/>
  <c r="L95" i="159" s="1"/>
  <c r="D95" i="159" s="1"/>
  <c r="B31" i="148"/>
  <c r="B32" i="148"/>
  <c r="B33" i="148"/>
  <c r="B34" i="148"/>
  <c r="B35" i="148" s="1"/>
  <c r="C31" i="148"/>
  <c r="C32" i="148"/>
  <c r="C33" i="148"/>
  <c r="C35" i="148" s="1"/>
  <c r="C34" i="148"/>
  <c r="D31" i="148"/>
  <c r="D32" i="148"/>
  <c r="D35" i="148" s="1"/>
  <c r="D33" i="148"/>
  <c r="D34" i="148"/>
  <c r="E31" i="148"/>
  <c r="E32" i="148"/>
  <c r="E33" i="148"/>
  <c r="E34" i="148"/>
  <c r="E35" i="148"/>
  <c r="F31" i="148"/>
  <c r="F32" i="148"/>
  <c r="F35" i="148" s="1"/>
  <c r="F33" i="148"/>
  <c r="F34" i="148"/>
  <c r="G31" i="148"/>
  <c r="G32" i="148"/>
  <c r="G33" i="148"/>
  <c r="G34" i="148"/>
  <c r="G35" i="148"/>
  <c r="H31" i="148"/>
  <c r="H32" i="148"/>
  <c r="H35" i="148" s="1"/>
  <c r="H33" i="148"/>
  <c r="H34" i="148"/>
  <c r="I31" i="148"/>
  <c r="I32" i="148"/>
  <c r="I33" i="148"/>
  <c r="I35" i="148" s="1"/>
  <c r="I34" i="148"/>
  <c r="J31" i="148"/>
  <c r="J32" i="148"/>
  <c r="J35" i="148" s="1"/>
  <c r="J33" i="148"/>
  <c r="J34" i="148"/>
  <c r="K31" i="148"/>
  <c r="K32" i="148"/>
  <c r="K33" i="148"/>
  <c r="K34" i="148"/>
  <c r="K35" i="148"/>
  <c r="L31" i="148"/>
  <c r="L32" i="148"/>
  <c r="L33" i="148"/>
  <c r="L34" i="148"/>
  <c r="L35" i="148" s="1"/>
  <c r="M31" i="148"/>
  <c r="M32" i="148"/>
  <c r="M33" i="148"/>
  <c r="M35" i="148" s="1"/>
  <c r="M34" i="148"/>
  <c r="N31" i="148"/>
  <c r="N32" i="148"/>
  <c r="N35" i="148" s="1"/>
  <c r="N33" i="148"/>
  <c r="N34" i="148"/>
  <c r="O86" i="147"/>
  <c r="O69" i="147"/>
  <c r="O55" i="147"/>
  <c r="O57" i="147" s="1"/>
  <c r="O31" i="147"/>
  <c r="O23" i="147"/>
  <c r="O14" i="147"/>
  <c r="O16" i="147" s="1"/>
  <c r="F91" i="37"/>
  <c r="P52" i="128"/>
  <c r="P56" i="128" s="1"/>
  <c r="D48" i="127"/>
  <c r="L94" i="159" s="1"/>
  <c r="A9" i="130"/>
  <c r="A10" i="130" s="1"/>
  <c r="A11" i="130" s="1"/>
  <c r="A12" i="130" s="1"/>
  <c r="A13" i="130" s="1"/>
  <c r="A14" i="130" s="1"/>
  <c r="A15" i="130" s="1"/>
  <c r="A16" i="130" s="1"/>
  <c r="A17" i="130" s="1"/>
  <c r="A18" i="130" s="1"/>
  <c r="A19" i="130" s="1"/>
  <c r="A20" i="130" s="1"/>
  <c r="A24" i="130" s="1"/>
  <c r="A25" i="130" s="1"/>
  <c r="A26" i="130" s="1"/>
  <c r="A28" i="130" s="1"/>
  <c r="A33" i="130" s="1"/>
  <c r="A34" i="130" s="1"/>
  <c r="A35" i="130" s="1"/>
  <c r="A36" i="130" s="1"/>
  <c r="A37" i="130" s="1"/>
  <c r="A38" i="130" s="1"/>
  <c r="A39" i="130" s="1"/>
  <c r="A40" i="130" s="1"/>
  <c r="A41" i="130" s="1"/>
  <c r="A42" i="130" s="1"/>
  <c r="A43" i="130" s="1"/>
  <c r="A44" i="130" s="1"/>
  <c r="A45" i="130" s="1"/>
  <c r="A46" i="130" s="1"/>
  <c r="A50" i="130" s="1"/>
  <c r="A51" i="130" s="1"/>
  <c r="A52" i="130" s="1"/>
  <c r="A54" i="130" s="1"/>
  <c r="A59" i="130" s="1"/>
  <c r="A60" i="130" s="1"/>
  <c r="A61" i="130" s="1"/>
  <c r="A62" i="130" s="1"/>
  <c r="A63" i="130" s="1"/>
  <c r="A64" i="130" s="1"/>
  <c r="A65" i="130" s="1"/>
  <c r="A66" i="130" s="1"/>
  <c r="A67" i="130" s="1"/>
  <c r="A68" i="130" s="1"/>
  <c r="A69" i="130" s="1"/>
  <c r="A70" i="130" s="1"/>
  <c r="A71" i="130" s="1"/>
  <c r="A72" i="130" s="1"/>
  <c r="A74" i="130" s="1"/>
  <c r="A75" i="130" s="1"/>
  <c r="A76" i="130" s="1"/>
  <c r="A78" i="130" s="1"/>
  <c r="A80" i="130" s="1"/>
  <c r="A81" i="130" s="1"/>
  <c r="A82" i="130" s="1"/>
  <c r="A83" i="130" s="1"/>
  <c r="A84" i="130" s="1"/>
  <c r="A85" i="130" s="1"/>
  <c r="A86" i="130" s="1"/>
  <c r="A87" i="130" s="1"/>
  <c r="A88" i="130" s="1"/>
  <c r="A89" i="130" s="1"/>
  <c r="A90" i="130" s="1"/>
  <c r="A91" i="130" s="1"/>
  <c r="A92" i="130" s="1"/>
  <c r="A93" i="130" s="1"/>
  <c r="A94" i="130" s="1"/>
  <c r="J95" i="130"/>
  <c r="A12" i="129"/>
  <c r="A13" i="129"/>
  <c r="A14" i="129" s="1"/>
  <c r="A15" i="129" s="1"/>
  <c r="A16" i="129" s="1"/>
  <c r="A17" i="129" s="1"/>
  <c r="A18" i="129" s="1"/>
  <c r="A19" i="129" s="1"/>
  <c r="A20" i="129" s="1"/>
  <c r="A21" i="129"/>
  <c r="A22" i="129" s="1"/>
  <c r="A23" i="129" s="1"/>
  <c r="A24" i="129" s="1"/>
  <c r="A25" i="129" s="1"/>
  <c r="A26" i="129" s="1"/>
  <c r="A27" i="129" s="1"/>
  <c r="A28" i="129" s="1"/>
  <c r="A29" i="129" s="1"/>
  <c r="A10" i="140"/>
  <c r="A11" i="140" s="1"/>
  <c r="A12" i="140" s="1"/>
  <c r="A13" i="140" s="1"/>
  <c r="A14" i="140" s="1"/>
  <c r="A15" i="140" s="1"/>
  <c r="A16" i="140" s="1"/>
  <c r="A17" i="140" s="1"/>
  <c r="A18" i="140" s="1"/>
  <c r="A19" i="140" s="1"/>
  <c r="A20" i="140" s="1"/>
  <c r="A21" i="140" s="1"/>
  <c r="A22" i="140" s="1"/>
  <c r="A23" i="140" s="1"/>
  <c r="A24" i="140" s="1"/>
  <c r="A25" i="140" s="1"/>
  <c r="A26" i="140" s="1"/>
  <c r="A27" i="140" s="1"/>
  <c r="A28" i="140" s="1"/>
  <c r="A29" i="140" s="1"/>
  <c r="A30" i="140" s="1"/>
  <c r="A31" i="140" s="1"/>
  <c r="A32" i="140" s="1"/>
  <c r="A33" i="140" s="1"/>
  <c r="A34" i="140" s="1"/>
  <c r="A35" i="140" s="1"/>
  <c r="A36" i="140" s="1"/>
  <c r="A37" i="140" s="1"/>
  <c r="A38" i="140" s="1"/>
  <c r="A39" i="140" s="1"/>
  <c r="A40" i="140" s="1"/>
  <c r="A41" i="140" s="1"/>
  <c r="A42" i="140" s="1"/>
  <c r="A43" i="140" s="1"/>
  <c r="A44" i="140" s="1"/>
  <c r="D52" i="137"/>
  <c r="C13" i="137" s="1"/>
  <c r="D44" i="42"/>
  <c r="L170" i="159" s="1"/>
  <c r="D22" i="42"/>
  <c r="D21" i="42"/>
  <c r="D20" i="42"/>
  <c r="D19" i="42"/>
  <c r="D18" i="42"/>
  <c r="D17" i="42"/>
  <c r="D16" i="42"/>
  <c r="D15" i="42"/>
  <c r="D14" i="42"/>
  <c r="D13" i="42"/>
  <c r="D12" i="42"/>
  <c r="D11" i="42"/>
  <c r="L48" i="3"/>
  <c r="L90" i="159" s="1"/>
  <c r="D48" i="3"/>
  <c r="L86" i="159" s="1"/>
  <c r="H48" i="3"/>
  <c r="L88" i="159" s="1"/>
  <c r="J48" i="127"/>
  <c r="L48" i="127"/>
  <c r="L98" i="159" s="1"/>
  <c r="D98" i="159" s="1"/>
  <c r="H48" i="127"/>
  <c r="L96" i="159" s="1"/>
  <c r="D96" i="159" s="1"/>
  <c r="E1" i="142"/>
  <c r="E31" i="142"/>
  <c r="J44" i="42"/>
  <c r="L173" i="159" s="1"/>
  <c r="D173" i="159" s="1"/>
  <c r="L44" i="42"/>
  <c r="L174" i="159" s="1"/>
  <c r="D174" i="159" s="1"/>
  <c r="D45" i="129"/>
  <c r="L121" i="159" s="1"/>
  <c r="D121" i="159" s="1"/>
  <c r="R78" i="128"/>
  <c r="R82" i="128" s="1"/>
  <c r="M117" i="159" s="1"/>
  <c r="N78" i="128"/>
  <c r="N82" i="128" s="1"/>
  <c r="M118" i="159" s="1"/>
  <c r="F94" i="130"/>
  <c r="F76" i="130" s="1"/>
  <c r="D91" i="130"/>
  <c r="D76" i="130" s="1"/>
  <c r="D15" i="136"/>
  <c r="H15" i="136" s="1"/>
  <c r="H28" i="136" s="1"/>
  <c r="D83" i="130"/>
  <c r="D52" i="130" s="1"/>
  <c r="F86" i="130"/>
  <c r="D25" i="135"/>
  <c r="H25" i="135" s="1"/>
  <c r="I29" i="159" s="1"/>
  <c r="F25" i="135"/>
  <c r="J25" i="135"/>
  <c r="I31" i="159" s="1"/>
  <c r="H27" i="141"/>
  <c r="D50" i="130"/>
  <c r="F52" i="130"/>
  <c r="F54" i="130" s="1"/>
  <c r="F50" i="130"/>
  <c r="R68" i="133"/>
  <c r="R69" i="133"/>
  <c r="R70" i="133"/>
  <c r="R71" i="133"/>
  <c r="R72" i="133"/>
  <c r="R73" i="133"/>
  <c r="R74" i="133"/>
  <c r="R75" i="133"/>
  <c r="R76" i="133"/>
  <c r="R77" i="133"/>
  <c r="R78" i="133"/>
  <c r="R79" i="133"/>
  <c r="R80" i="133"/>
  <c r="R82" i="133"/>
  <c r="D8" i="130"/>
  <c r="J46" i="133"/>
  <c r="J1" i="37"/>
  <c r="F11" i="131"/>
  <c r="J47" i="133"/>
  <c r="J48" i="133"/>
  <c r="J49" i="133"/>
  <c r="J50" i="133"/>
  <c r="J51" i="133"/>
  <c r="J52" i="133"/>
  <c r="J53" i="133"/>
  <c r="J54" i="133"/>
  <c r="J55" i="133"/>
  <c r="J56" i="133"/>
  <c r="J57" i="133"/>
  <c r="J58" i="133"/>
  <c r="A65" i="37"/>
  <c r="A66" i="37" s="1"/>
  <c r="A67" i="37" s="1"/>
  <c r="A68" i="37" s="1"/>
  <c r="A69" i="37"/>
  <c r="A70" i="37" s="1"/>
  <c r="A71" i="37" s="1"/>
  <c r="A72" i="37" s="1"/>
  <c r="A73" i="37" s="1"/>
  <c r="A74" i="37" s="1"/>
  <c r="A75" i="37" s="1"/>
  <c r="A76" i="37" s="1"/>
  <c r="A77" i="37" s="1"/>
  <c r="A78" i="37" s="1"/>
  <c r="A79" i="37" s="1"/>
  <c r="A80" i="37" s="1"/>
  <c r="A82" i="37" s="1"/>
  <c r="A83" i="37" s="1"/>
  <c r="A85" i="37" s="1"/>
  <c r="A87" i="37" s="1"/>
  <c r="A89" i="37" s="1"/>
  <c r="A90" i="37" s="1"/>
  <c r="A91" i="37" s="1"/>
  <c r="A92" i="37" s="1"/>
  <c r="A94" i="37" s="1"/>
  <c r="A96" i="37" s="1"/>
  <c r="A98" i="37" s="1"/>
  <c r="A10" i="37"/>
  <c r="A11" i="37" s="1"/>
  <c r="A12" i="37"/>
  <c r="A13" i="37" s="1"/>
  <c r="A14" i="37" s="1"/>
  <c r="A15" i="37" s="1"/>
  <c r="A16" i="37"/>
  <c r="A17" i="37" s="1"/>
  <c r="A18" i="37" s="1"/>
  <c r="A19" i="37" s="1"/>
  <c r="A20" i="37" s="1"/>
  <c r="A21" i="37" s="1"/>
  <c r="A22" i="37" s="1"/>
  <c r="A23" i="37" s="1"/>
  <c r="A24" i="37" s="1"/>
  <c r="A25" i="37" s="1"/>
  <c r="A26" i="37" s="1"/>
  <c r="A27" i="37" s="1"/>
  <c r="A29" i="37" s="1"/>
  <c r="A30" i="37" s="1"/>
  <c r="A9" i="140"/>
  <c r="J66" i="37"/>
  <c r="J67" i="37"/>
  <c r="J68" i="37"/>
  <c r="J69" i="37"/>
  <c r="J70" i="37"/>
  <c r="J71" i="37"/>
  <c r="J72" i="37"/>
  <c r="J73" i="37"/>
  <c r="J74" i="37"/>
  <c r="J75" i="37"/>
  <c r="J76" i="37"/>
  <c r="J77" i="37"/>
  <c r="J91" i="37" s="1"/>
  <c r="J78" i="37"/>
  <c r="J79" i="37"/>
  <c r="J83" i="37"/>
  <c r="J87" i="37"/>
  <c r="J89" i="37"/>
  <c r="J11" i="37"/>
  <c r="J12" i="37"/>
  <c r="J13" i="37"/>
  <c r="J14" i="37"/>
  <c r="J15" i="37"/>
  <c r="J16" i="37"/>
  <c r="J17" i="37"/>
  <c r="J18" i="37"/>
  <c r="J19" i="37"/>
  <c r="J20" i="37"/>
  <c r="J21" i="37"/>
  <c r="J22" i="37"/>
  <c r="J23" i="37"/>
  <c r="J24" i="37"/>
  <c r="J25" i="37"/>
  <c r="J26" i="37"/>
  <c r="J30" i="37"/>
  <c r="J31" i="37"/>
  <c r="J32" i="37"/>
  <c r="J33" i="37"/>
  <c r="J34" i="37"/>
  <c r="J35" i="37"/>
  <c r="J36" i="37"/>
  <c r="J37" i="37"/>
  <c r="J38" i="37"/>
  <c r="J39" i="37"/>
  <c r="J40" i="37"/>
  <c r="J41" i="37"/>
  <c r="J42" i="37"/>
  <c r="F43" i="37"/>
  <c r="J43" i="37"/>
  <c r="J49" i="37"/>
  <c r="F52" i="37"/>
  <c r="J52" i="37"/>
  <c r="J54" i="37" s="1"/>
  <c r="F53" i="37"/>
  <c r="J53" i="37"/>
  <c r="F56" i="37"/>
  <c r="H96" i="37"/>
  <c r="F27" i="37"/>
  <c r="F46" i="37" s="1"/>
  <c r="F50" i="37" s="1"/>
  <c r="F44" i="37"/>
  <c r="F54" i="37"/>
  <c r="L159" i="159" s="1"/>
  <c r="H13" i="135"/>
  <c r="L13" i="135" s="1"/>
  <c r="L25" i="135" s="1"/>
  <c r="H14" i="135"/>
  <c r="L14" i="135" s="1"/>
  <c r="H15" i="135"/>
  <c r="L15" i="135" s="1"/>
  <c r="H16" i="135"/>
  <c r="L16" i="135" s="1"/>
  <c r="H17" i="135"/>
  <c r="L17" i="135" s="1"/>
  <c r="H18" i="135"/>
  <c r="L18" i="135" s="1"/>
  <c r="H19" i="135"/>
  <c r="L19" i="135" s="1"/>
  <c r="H20" i="135"/>
  <c r="L20" i="135" s="1"/>
  <c r="H21" i="135"/>
  <c r="L21" i="135" s="1"/>
  <c r="H22" i="135"/>
  <c r="L22" i="135" s="1"/>
  <c r="H23" i="135"/>
  <c r="L23" i="135" s="1"/>
  <c r="H12" i="135"/>
  <c r="L12" i="135" s="1"/>
  <c r="L52" i="128"/>
  <c r="L78" i="128"/>
  <c r="P78" i="128"/>
  <c r="T53" i="128"/>
  <c r="T79" i="128"/>
  <c r="T27" i="128"/>
  <c r="T54" i="128"/>
  <c r="T80" i="128"/>
  <c r="T28" i="128" s="1"/>
  <c r="R27" i="128"/>
  <c r="R28" i="128"/>
  <c r="P26" i="128"/>
  <c r="P27" i="128"/>
  <c r="P28" i="128"/>
  <c r="P30" i="128"/>
  <c r="J1" i="141"/>
  <c r="J11" i="141"/>
  <c r="J14" i="141" s="1"/>
  <c r="J12" i="141"/>
  <c r="J18" i="141"/>
  <c r="H14" i="141"/>
  <c r="F14" i="141"/>
  <c r="A11" i="141"/>
  <c r="A12" i="141"/>
  <c r="A13" i="141" s="1"/>
  <c r="A14" i="141"/>
  <c r="A15" i="141" s="1"/>
  <c r="A16" i="141" s="1"/>
  <c r="A17" i="141" s="1"/>
  <c r="A18" i="141" s="1"/>
  <c r="A19" i="141" s="1"/>
  <c r="A20" i="141" s="1"/>
  <c r="A21" i="141" s="1"/>
  <c r="A22" i="141" s="1"/>
  <c r="A23" i="141" s="1"/>
  <c r="A24" i="141" s="1"/>
  <c r="A25" i="141" s="1"/>
  <c r="G1" i="140"/>
  <c r="J12" i="131"/>
  <c r="A11" i="131"/>
  <c r="A12" i="131"/>
  <c r="A13" i="131" s="1"/>
  <c r="F11" i="42"/>
  <c r="F12" i="42"/>
  <c r="F13" i="42"/>
  <c r="F14" i="42"/>
  <c r="F15" i="42"/>
  <c r="F16" i="42"/>
  <c r="F17" i="42"/>
  <c r="F18" i="42"/>
  <c r="F19" i="42"/>
  <c r="F20" i="42"/>
  <c r="F21" i="42"/>
  <c r="F1" i="137"/>
  <c r="L1" i="135"/>
  <c r="H26" i="127"/>
  <c r="F26" i="127"/>
  <c r="L82" i="128"/>
  <c r="D24" i="133"/>
  <c r="E24" i="133"/>
  <c r="F24" i="133"/>
  <c r="G24" i="133"/>
  <c r="H24" i="133"/>
  <c r="J24" i="133"/>
  <c r="D25" i="133"/>
  <c r="E25" i="133"/>
  <c r="F25" i="133"/>
  <c r="G25" i="133"/>
  <c r="J25" i="133" s="1"/>
  <c r="H25" i="133"/>
  <c r="D26" i="133"/>
  <c r="E26" i="133"/>
  <c r="F26" i="133"/>
  <c r="G26" i="133"/>
  <c r="H26" i="133"/>
  <c r="J26" i="133"/>
  <c r="D27" i="133"/>
  <c r="E27" i="133"/>
  <c r="F27" i="133"/>
  <c r="G27" i="133"/>
  <c r="J27" i="133" s="1"/>
  <c r="H27" i="133"/>
  <c r="D28" i="133"/>
  <c r="E28" i="133"/>
  <c r="F28" i="133"/>
  <c r="G28" i="133"/>
  <c r="H28" i="133"/>
  <c r="J28" i="133"/>
  <c r="D29" i="133"/>
  <c r="E29" i="133"/>
  <c r="F29" i="133"/>
  <c r="G29" i="133"/>
  <c r="J29" i="133" s="1"/>
  <c r="H29" i="133"/>
  <c r="D30" i="133"/>
  <c r="E30" i="133"/>
  <c r="F30" i="133"/>
  <c r="G30" i="133"/>
  <c r="H30" i="133"/>
  <c r="J30" i="133"/>
  <c r="D31" i="133"/>
  <c r="E31" i="133"/>
  <c r="F31" i="133"/>
  <c r="G31" i="133"/>
  <c r="J31" i="133" s="1"/>
  <c r="H31" i="133"/>
  <c r="D32" i="133"/>
  <c r="E32" i="133"/>
  <c r="F32" i="133"/>
  <c r="G32" i="133"/>
  <c r="H32" i="133"/>
  <c r="J32" i="133"/>
  <c r="D33" i="133"/>
  <c r="E33" i="133"/>
  <c r="F33" i="133"/>
  <c r="G33" i="133"/>
  <c r="J33" i="133" s="1"/>
  <c r="H33" i="133"/>
  <c r="D34" i="133"/>
  <c r="E34" i="133"/>
  <c r="F34" i="133"/>
  <c r="G34" i="133"/>
  <c r="H34" i="133"/>
  <c r="J34" i="133"/>
  <c r="D35" i="133"/>
  <c r="E35" i="133"/>
  <c r="F35" i="133"/>
  <c r="G35" i="133"/>
  <c r="J35" i="133" s="1"/>
  <c r="H35" i="133"/>
  <c r="D36" i="133"/>
  <c r="E36" i="133"/>
  <c r="F36" i="133"/>
  <c r="G36" i="133"/>
  <c r="H36" i="133"/>
  <c r="J36" i="133"/>
  <c r="N34" i="127"/>
  <c r="N48" i="127" s="1"/>
  <c r="N35" i="127"/>
  <c r="N36" i="127"/>
  <c r="N37" i="127"/>
  <c r="N38" i="127"/>
  <c r="N39" i="127"/>
  <c r="N40" i="127"/>
  <c r="N41" i="127"/>
  <c r="N42" i="127"/>
  <c r="N43" i="127"/>
  <c r="N44" i="127"/>
  <c r="N45" i="127"/>
  <c r="N46" i="127"/>
  <c r="N35" i="3"/>
  <c r="N36" i="3"/>
  <c r="N37" i="3"/>
  <c r="N38" i="3"/>
  <c r="N39" i="3"/>
  <c r="N40" i="3"/>
  <c r="N41" i="3"/>
  <c r="N42" i="3"/>
  <c r="N43" i="3"/>
  <c r="N44" i="3"/>
  <c r="N45" i="3"/>
  <c r="N46" i="3"/>
  <c r="N48" i="3"/>
  <c r="A9" i="137"/>
  <c r="A10" i="137"/>
  <c r="A11" i="137" s="1"/>
  <c r="A12" i="137"/>
  <c r="A13" i="137" s="1"/>
  <c r="A14" i="137" s="1"/>
  <c r="A15" i="137" s="1"/>
  <c r="A16" i="137" s="1"/>
  <c r="A17" i="137" s="1"/>
  <c r="A18" i="137" s="1"/>
  <c r="A19" i="137" s="1"/>
  <c r="A20" i="137" s="1"/>
  <c r="A21" i="137" s="1"/>
  <c r="A22" i="137" s="1"/>
  <c r="A23" i="137" s="1"/>
  <c r="A24" i="137" s="1"/>
  <c r="A25" i="137" s="1"/>
  <c r="A26" i="137" s="1"/>
  <c r="A27" i="137" s="1"/>
  <c r="A28" i="137" s="1"/>
  <c r="A29" i="137" s="1"/>
  <c r="A30" i="137" s="1"/>
  <c r="A31" i="137" s="1"/>
  <c r="A32" i="137" s="1"/>
  <c r="A33" i="137" s="1"/>
  <c r="A34" i="137" s="1"/>
  <c r="A35" i="137" s="1"/>
  <c r="A36" i="137" s="1"/>
  <c r="A37" i="137" s="1"/>
  <c r="A38" i="137" s="1"/>
  <c r="A39" i="137" s="1"/>
  <c r="A40" i="137" s="1"/>
  <c r="A41" i="137" s="1"/>
  <c r="A42" i="137" s="1"/>
  <c r="A43" i="137" s="1"/>
  <c r="A44" i="137" s="1"/>
  <c r="A45" i="137" s="1"/>
  <c r="A46" i="137" s="1"/>
  <c r="A47" i="137" s="1"/>
  <c r="A48" i="137" s="1"/>
  <c r="A49" i="137" s="1"/>
  <c r="A50" i="137" s="1"/>
  <c r="A51" i="137" s="1"/>
  <c r="A52" i="137" s="1"/>
  <c r="A9" i="136"/>
  <c r="A10" i="136"/>
  <c r="A11" i="136" s="1"/>
  <c r="A12" i="136" s="1"/>
  <c r="A13" i="136" s="1"/>
  <c r="A14" i="136" s="1"/>
  <c r="A15" i="136" s="1"/>
  <c r="A16" i="136" s="1"/>
  <c r="A17" i="136" s="1"/>
  <c r="A18" i="136" s="1"/>
  <c r="A19" i="136" s="1"/>
  <c r="A20" i="136" s="1"/>
  <c r="A21" i="136" s="1"/>
  <c r="A22" i="136" s="1"/>
  <c r="A23" i="136" s="1"/>
  <c r="A24" i="136" s="1"/>
  <c r="A25" i="136" s="1"/>
  <c r="A26" i="136" s="1"/>
  <c r="A27" i="136" s="1"/>
  <c r="A28" i="136" s="1"/>
  <c r="A29" i="136" s="1"/>
  <c r="H13" i="136"/>
  <c r="H12" i="136"/>
  <c r="H11" i="136"/>
  <c r="H10" i="136"/>
  <c r="N56" i="127"/>
  <c r="N57" i="127"/>
  <c r="N58" i="127"/>
  <c r="N59" i="127"/>
  <c r="N70" i="127" s="1"/>
  <c r="N60" i="127"/>
  <c r="N61" i="127"/>
  <c r="N62" i="127"/>
  <c r="N63" i="127"/>
  <c r="N64" i="127"/>
  <c r="N65" i="127"/>
  <c r="N66" i="127"/>
  <c r="N67" i="127"/>
  <c r="N68" i="127"/>
  <c r="L26" i="127"/>
  <c r="D26" i="127"/>
  <c r="N1" i="127"/>
  <c r="D12" i="127"/>
  <c r="F12" i="127"/>
  <c r="H12" i="127"/>
  <c r="N12" i="127" s="1"/>
  <c r="J12" i="127"/>
  <c r="L12" i="127"/>
  <c r="G12" i="127"/>
  <c r="I12" i="127"/>
  <c r="K12" i="127"/>
  <c r="D13" i="127"/>
  <c r="F13" i="127"/>
  <c r="H13" i="127"/>
  <c r="J13" i="127"/>
  <c r="L13" i="127"/>
  <c r="G13" i="127"/>
  <c r="I13" i="127"/>
  <c r="K13" i="127"/>
  <c r="D14" i="127"/>
  <c r="F14" i="127"/>
  <c r="H14" i="127"/>
  <c r="J14" i="127"/>
  <c r="L14" i="127"/>
  <c r="G14" i="127"/>
  <c r="I14" i="127"/>
  <c r="K14" i="127"/>
  <c r="N14" i="127"/>
  <c r="D15" i="127"/>
  <c r="F15" i="127"/>
  <c r="H15" i="127"/>
  <c r="J15" i="127"/>
  <c r="L15" i="127"/>
  <c r="G15" i="127"/>
  <c r="I15" i="127"/>
  <c r="K15" i="127"/>
  <c r="D16" i="127"/>
  <c r="F16" i="127"/>
  <c r="H16" i="127"/>
  <c r="J16" i="127"/>
  <c r="L16" i="127"/>
  <c r="G16" i="127"/>
  <c r="I16" i="127"/>
  <c r="K16" i="127"/>
  <c r="N16" i="127"/>
  <c r="D17" i="127"/>
  <c r="F17" i="127"/>
  <c r="H17" i="127"/>
  <c r="J17" i="127"/>
  <c r="L17" i="127"/>
  <c r="G17" i="127"/>
  <c r="I17" i="127"/>
  <c r="K17" i="127"/>
  <c r="D18" i="127"/>
  <c r="F18" i="127"/>
  <c r="H18" i="127"/>
  <c r="N18" i="127" s="1"/>
  <c r="J18" i="127"/>
  <c r="L18" i="127"/>
  <c r="G18" i="127"/>
  <c r="I18" i="127"/>
  <c r="K18" i="127"/>
  <c r="D19" i="127"/>
  <c r="F19" i="127"/>
  <c r="N19" i="127" s="1"/>
  <c r="H19" i="127"/>
  <c r="J19" i="127"/>
  <c r="L19" i="127"/>
  <c r="G19" i="127"/>
  <c r="I19" i="127"/>
  <c r="K19" i="127"/>
  <c r="D20" i="127"/>
  <c r="F20" i="127"/>
  <c r="H20" i="127"/>
  <c r="N20" i="127" s="1"/>
  <c r="J20" i="127"/>
  <c r="L20" i="127"/>
  <c r="G20" i="127"/>
  <c r="I20" i="127"/>
  <c r="K20" i="127"/>
  <c r="D21" i="127"/>
  <c r="F21" i="127"/>
  <c r="H21" i="127"/>
  <c r="J21" i="127"/>
  <c r="L21" i="127"/>
  <c r="G21" i="127"/>
  <c r="I21" i="127"/>
  <c r="K21" i="127"/>
  <c r="D22" i="127"/>
  <c r="F22" i="127"/>
  <c r="H22" i="127"/>
  <c r="J22" i="127"/>
  <c r="L22" i="127"/>
  <c r="G22" i="127"/>
  <c r="I22" i="127"/>
  <c r="K22" i="127"/>
  <c r="N22" i="127"/>
  <c r="D23" i="127"/>
  <c r="F23" i="127"/>
  <c r="H23" i="127"/>
  <c r="J23" i="127"/>
  <c r="L23" i="127"/>
  <c r="G23" i="127"/>
  <c r="I23" i="127"/>
  <c r="K23" i="127"/>
  <c r="D24" i="127"/>
  <c r="F24" i="127"/>
  <c r="H24" i="127"/>
  <c r="J24" i="127"/>
  <c r="L24" i="127"/>
  <c r="G24" i="127"/>
  <c r="I24" i="127"/>
  <c r="K24" i="127"/>
  <c r="N24" i="127"/>
  <c r="A12" i="127"/>
  <c r="A13" i="127"/>
  <c r="A14" i="127" s="1"/>
  <c r="A15" i="127"/>
  <c r="A16" i="127" s="1"/>
  <c r="A17" i="127" s="1"/>
  <c r="A18" i="127" s="1"/>
  <c r="A19" i="127" s="1"/>
  <c r="A20" i="127" s="1"/>
  <c r="A21" i="127" s="1"/>
  <c r="A22" i="127" s="1"/>
  <c r="A23" i="127" s="1"/>
  <c r="A24" i="127" s="1"/>
  <c r="A25" i="127" s="1"/>
  <c r="A26" i="127" s="1"/>
  <c r="A27" i="127" s="1"/>
  <c r="A28" i="127" s="1"/>
  <c r="A29" i="127" s="1"/>
  <c r="A30" i="127" s="1"/>
  <c r="A31" i="127" s="1"/>
  <c r="A32" i="127" s="1"/>
  <c r="A33" i="127" s="1"/>
  <c r="A34" i="127" s="1"/>
  <c r="A35" i="127" s="1"/>
  <c r="A36" i="127" s="1"/>
  <c r="A37" i="127" s="1"/>
  <c r="A38" i="127" s="1"/>
  <c r="A39" i="127" s="1"/>
  <c r="A40" i="127" s="1"/>
  <c r="A41" i="127" s="1"/>
  <c r="A42" i="127" s="1"/>
  <c r="A43" i="127" s="1"/>
  <c r="A44" i="127" s="1"/>
  <c r="A45" i="127" s="1"/>
  <c r="A46" i="127" s="1"/>
  <c r="A47" i="127" s="1"/>
  <c r="A48" i="127" s="1"/>
  <c r="A49" i="127" s="1"/>
  <c r="A50" i="127" s="1"/>
  <c r="A51" i="127" s="1"/>
  <c r="A52" i="127" s="1"/>
  <c r="A53" i="127" s="1"/>
  <c r="A54" i="127" s="1"/>
  <c r="A55" i="127" s="1"/>
  <c r="A56" i="127" s="1"/>
  <c r="A57" i="127" s="1"/>
  <c r="A58" i="127" s="1"/>
  <c r="A59" i="127" s="1"/>
  <c r="A60" i="127" s="1"/>
  <c r="A61" i="127" s="1"/>
  <c r="A62" i="127" s="1"/>
  <c r="A63" i="127" s="1"/>
  <c r="A64" i="127" s="1"/>
  <c r="A65" i="127" s="1"/>
  <c r="A66" i="127" s="1"/>
  <c r="A67" i="127" s="1"/>
  <c r="A68" i="127" s="1"/>
  <c r="A69" i="127" s="1"/>
  <c r="A70" i="127" s="1"/>
  <c r="J26" i="128"/>
  <c r="J27" i="128"/>
  <c r="J28" i="128"/>
  <c r="J30" i="128"/>
  <c r="L26" i="128"/>
  <c r="L27" i="128"/>
  <c r="L28" i="128"/>
  <c r="L30" i="128"/>
  <c r="L12" i="128"/>
  <c r="L24" i="128"/>
  <c r="L23" i="128"/>
  <c r="L22" i="128"/>
  <c r="L21" i="128"/>
  <c r="L20" i="128"/>
  <c r="L19" i="128"/>
  <c r="L18" i="128"/>
  <c r="L17" i="128"/>
  <c r="L16" i="128"/>
  <c r="L15" i="128"/>
  <c r="L14" i="128"/>
  <c r="L13" i="128"/>
  <c r="H27" i="128"/>
  <c r="P82" i="128"/>
  <c r="T82" i="128"/>
  <c r="N28" i="128"/>
  <c r="N27" i="128"/>
  <c r="N26" i="128"/>
  <c r="H28" i="128"/>
  <c r="F28" i="128"/>
  <c r="F27" i="128"/>
  <c r="F26" i="128"/>
  <c r="D27" i="128"/>
  <c r="D30" i="128" s="1"/>
  <c r="D28" i="128"/>
  <c r="D26" i="128"/>
  <c r="A12" i="128"/>
  <c r="A13" i="128" s="1"/>
  <c r="A14" i="128" s="1"/>
  <c r="A15" i="128" s="1"/>
  <c r="A16" i="128" s="1"/>
  <c r="A17" i="128" s="1"/>
  <c r="A18" i="128" s="1"/>
  <c r="A19" i="128" s="1"/>
  <c r="A20" i="128" s="1"/>
  <c r="A21" i="128" s="1"/>
  <c r="A22" i="128" s="1"/>
  <c r="A23" i="128" s="1"/>
  <c r="A24" i="128" s="1"/>
  <c r="A25" i="128" s="1"/>
  <c r="A26" i="128" s="1"/>
  <c r="A27" i="128" s="1"/>
  <c r="A28" i="128" s="1"/>
  <c r="A29" i="128" s="1"/>
  <c r="A30" i="128" s="1"/>
  <c r="A31" i="128" s="1"/>
  <c r="A32"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60" i="128" s="1"/>
  <c r="A61" i="128" s="1"/>
  <c r="A62" i="128" s="1"/>
  <c r="A63" i="128" s="1"/>
  <c r="A64" i="128" s="1"/>
  <c r="A65" i="128" s="1"/>
  <c r="A66" i="128" s="1"/>
  <c r="A67" i="128" s="1"/>
  <c r="A68" i="128" s="1"/>
  <c r="A69" i="128" s="1"/>
  <c r="A70" i="128" s="1"/>
  <c r="A71" i="128" s="1"/>
  <c r="A72" i="128" s="1"/>
  <c r="A73" i="128" s="1"/>
  <c r="A74" i="128" s="1"/>
  <c r="A75" i="128" s="1"/>
  <c r="A76" i="128" s="1"/>
  <c r="A77" i="128" s="1"/>
  <c r="A78" i="128" s="1"/>
  <c r="A79" i="128" s="1"/>
  <c r="A80" i="128" s="1"/>
  <c r="A81" i="128" s="1"/>
  <c r="A82" i="128" s="1"/>
  <c r="S24" i="128"/>
  <c r="S23" i="128"/>
  <c r="S22" i="128"/>
  <c r="S21" i="128"/>
  <c r="S20" i="128"/>
  <c r="S19" i="128"/>
  <c r="S18" i="128"/>
  <c r="S17" i="128"/>
  <c r="S16" i="128"/>
  <c r="S15" i="128"/>
  <c r="S14" i="128"/>
  <c r="S13" i="128"/>
  <c r="S12" i="128"/>
  <c r="D13" i="128"/>
  <c r="F13" i="128"/>
  <c r="H13" i="128"/>
  <c r="I13" i="128"/>
  <c r="J13" i="128"/>
  <c r="K13" i="128"/>
  <c r="N13" i="128"/>
  <c r="O13" i="128"/>
  <c r="P13" i="128"/>
  <c r="Q13" i="128"/>
  <c r="D14" i="128"/>
  <c r="F14" i="128"/>
  <c r="H14" i="128"/>
  <c r="I14" i="128"/>
  <c r="J14" i="128"/>
  <c r="K14" i="128"/>
  <c r="N14" i="128"/>
  <c r="O14" i="128"/>
  <c r="P14" i="128"/>
  <c r="Q14" i="128"/>
  <c r="D15" i="128"/>
  <c r="F15" i="128"/>
  <c r="H15" i="128"/>
  <c r="I15" i="128"/>
  <c r="J15" i="128"/>
  <c r="K15" i="128"/>
  <c r="N15" i="128"/>
  <c r="O15" i="128"/>
  <c r="P15" i="128"/>
  <c r="Q15" i="128"/>
  <c r="D16" i="128"/>
  <c r="F16" i="128"/>
  <c r="H16" i="128"/>
  <c r="I16" i="128"/>
  <c r="J16" i="128"/>
  <c r="K16" i="128"/>
  <c r="N16" i="128"/>
  <c r="O16" i="128"/>
  <c r="P16" i="128"/>
  <c r="Q16" i="128"/>
  <c r="D17" i="128"/>
  <c r="F17" i="128"/>
  <c r="H17" i="128"/>
  <c r="I17" i="128"/>
  <c r="J17" i="128"/>
  <c r="K17" i="128"/>
  <c r="N17" i="128"/>
  <c r="O17" i="128"/>
  <c r="P17" i="128"/>
  <c r="Q17" i="128"/>
  <c r="D18" i="128"/>
  <c r="F18" i="128"/>
  <c r="H18" i="128"/>
  <c r="I18" i="128"/>
  <c r="J18" i="128"/>
  <c r="K18" i="128"/>
  <c r="N18" i="128"/>
  <c r="O18" i="128"/>
  <c r="P18" i="128"/>
  <c r="Q18" i="128"/>
  <c r="D19" i="128"/>
  <c r="F19" i="128"/>
  <c r="H19" i="128"/>
  <c r="I19" i="128"/>
  <c r="J19" i="128"/>
  <c r="K19" i="128"/>
  <c r="N19" i="128"/>
  <c r="O19" i="128"/>
  <c r="P19" i="128"/>
  <c r="Q19" i="128"/>
  <c r="D20" i="128"/>
  <c r="F20" i="128"/>
  <c r="H20" i="128"/>
  <c r="I20" i="128"/>
  <c r="J20" i="128"/>
  <c r="K20" i="128"/>
  <c r="N20" i="128"/>
  <c r="O20" i="128"/>
  <c r="P20" i="128"/>
  <c r="Q20" i="128"/>
  <c r="D21" i="128"/>
  <c r="F21" i="128"/>
  <c r="H21" i="128"/>
  <c r="I21" i="128"/>
  <c r="J21" i="128"/>
  <c r="K21" i="128"/>
  <c r="N21" i="128"/>
  <c r="O21" i="128"/>
  <c r="P21" i="128"/>
  <c r="Q21" i="128"/>
  <c r="D22" i="128"/>
  <c r="F22" i="128"/>
  <c r="H22" i="128"/>
  <c r="I22" i="128"/>
  <c r="J22" i="128"/>
  <c r="K22" i="128"/>
  <c r="N22" i="128"/>
  <c r="O22" i="128"/>
  <c r="P22" i="128"/>
  <c r="Q22" i="128"/>
  <c r="D23" i="128"/>
  <c r="F23" i="128"/>
  <c r="H23" i="128"/>
  <c r="I23" i="128"/>
  <c r="J23" i="128"/>
  <c r="K23" i="128"/>
  <c r="N23" i="128"/>
  <c r="O23" i="128"/>
  <c r="P23" i="128"/>
  <c r="Q23" i="128"/>
  <c r="F24" i="128"/>
  <c r="D24" i="128"/>
  <c r="H24" i="128"/>
  <c r="J24" i="128"/>
  <c r="I24" i="128"/>
  <c r="K24" i="128"/>
  <c r="N24" i="128"/>
  <c r="O24" i="128"/>
  <c r="P24" i="128"/>
  <c r="Q24" i="128"/>
  <c r="F12" i="128"/>
  <c r="D12" i="128"/>
  <c r="H12" i="128"/>
  <c r="J12" i="128"/>
  <c r="I12" i="128"/>
  <c r="K12" i="128"/>
  <c r="N12" i="128"/>
  <c r="O12" i="128"/>
  <c r="P12" i="128"/>
  <c r="Q12" i="128"/>
  <c r="N30" i="128"/>
  <c r="F30" i="128"/>
  <c r="J11" i="132"/>
  <c r="F28" i="132"/>
  <c r="L1" i="132"/>
  <c r="J12" i="132"/>
  <c r="J13" i="132"/>
  <c r="J18" i="132"/>
  <c r="F30" i="132" s="1"/>
  <c r="J17" i="132"/>
  <c r="J19" i="132"/>
  <c r="J21" i="132"/>
  <c r="F32" i="132" s="1"/>
  <c r="J28" i="132"/>
  <c r="A11" i="132"/>
  <c r="A12" i="132" s="1"/>
  <c r="A13" i="132" s="1"/>
  <c r="A14" i="132" s="1"/>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H21" i="132"/>
  <c r="F21" i="132"/>
  <c r="R1" i="133"/>
  <c r="A10" i="133"/>
  <c r="A11" i="133"/>
  <c r="A12" i="133" s="1"/>
  <c r="A13" i="133" s="1"/>
  <c r="A14" i="133" s="1"/>
  <c r="A15" i="133" s="1"/>
  <c r="A16" i="133" s="1"/>
  <c r="A17" i="133" s="1"/>
  <c r="A18" i="133" s="1"/>
  <c r="A19" i="133" s="1"/>
  <c r="A20" i="133" s="1"/>
  <c r="A21" i="133" s="1"/>
  <c r="A22" i="133" s="1"/>
  <c r="A23" i="133" s="1"/>
  <c r="A24" i="133" s="1"/>
  <c r="A25" i="133" s="1"/>
  <c r="A26" i="133" s="1"/>
  <c r="A27" i="133" s="1"/>
  <c r="A28" i="133" s="1"/>
  <c r="A29" i="133" s="1"/>
  <c r="A30" i="133" s="1"/>
  <c r="A31" i="133" s="1"/>
  <c r="A32" i="133" s="1"/>
  <c r="A33" i="133" s="1"/>
  <c r="A34" i="133" s="1"/>
  <c r="A35" i="133" s="1"/>
  <c r="A36" i="133" s="1"/>
  <c r="A37" i="133" s="1"/>
  <c r="A38" i="133" s="1"/>
  <c r="A39" i="133" s="1"/>
  <c r="A40" i="133" s="1"/>
  <c r="A41" i="133" s="1"/>
  <c r="A42" i="133" s="1"/>
  <c r="A43" i="133" s="1"/>
  <c r="A44" i="133" s="1"/>
  <c r="A45" i="133" s="1"/>
  <c r="A46" i="133" s="1"/>
  <c r="A47" i="133" s="1"/>
  <c r="A48" i="133" s="1"/>
  <c r="A49" i="133" s="1"/>
  <c r="A50" i="133" s="1"/>
  <c r="A51" i="133" s="1"/>
  <c r="A52" i="133" s="1"/>
  <c r="A53" i="133" s="1"/>
  <c r="A54" i="133" s="1"/>
  <c r="A55" i="133" s="1"/>
  <c r="A56" i="133" s="1"/>
  <c r="A57" i="133" s="1"/>
  <c r="A58" i="133" s="1"/>
  <c r="A59" i="133" s="1"/>
  <c r="A60" i="133" s="1"/>
  <c r="A61" i="133" s="1"/>
  <c r="A62" i="133" s="1"/>
  <c r="A63" i="133" s="1"/>
  <c r="A64" i="133" s="1"/>
  <c r="A65" i="133" s="1"/>
  <c r="A66" i="133" s="1"/>
  <c r="A67" i="133" s="1"/>
  <c r="A68" i="133" s="1"/>
  <c r="A69" i="133" s="1"/>
  <c r="A70" i="133" s="1"/>
  <c r="A71" i="133" s="1"/>
  <c r="A72" i="133" s="1"/>
  <c r="A73" i="133" s="1"/>
  <c r="A74" i="133" s="1"/>
  <c r="A75" i="133" s="1"/>
  <c r="A76" i="133" s="1"/>
  <c r="A77" i="133" s="1"/>
  <c r="A78" i="133" s="1"/>
  <c r="A79" i="133" s="1"/>
  <c r="A80" i="133" s="1"/>
  <c r="A81" i="133" s="1"/>
  <c r="A82" i="133" s="1"/>
  <c r="N82" i="133"/>
  <c r="L82" i="133"/>
  <c r="P60" i="133"/>
  <c r="L109" i="159" s="1"/>
  <c r="D109" i="159" s="1"/>
  <c r="N60" i="133"/>
  <c r="L60" i="133"/>
  <c r="L24" i="133"/>
  <c r="R24" i="133" s="1"/>
  <c r="M24" i="133"/>
  <c r="N24" i="133"/>
  <c r="O24" i="133"/>
  <c r="P24" i="133"/>
  <c r="L25" i="133"/>
  <c r="M25" i="133"/>
  <c r="N25" i="133"/>
  <c r="O25" i="133"/>
  <c r="P25" i="133"/>
  <c r="R25" i="133"/>
  <c r="L26" i="133"/>
  <c r="R26" i="133" s="1"/>
  <c r="M26" i="133"/>
  <c r="N26" i="133"/>
  <c r="O26" i="133"/>
  <c r="P26" i="133"/>
  <c r="L27" i="133"/>
  <c r="M27" i="133"/>
  <c r="R27" i="133" s="1"/>
  <c r="N27" i="133"/>
  <c r="O27" i="133"/>
  <c r="P27" i="133"/>
  <c r="L28" i="133"/>
  <c r="R28" i="133" s="1"/>
  <c r="M28" i="133"/>
  <c r="N28" i="133"/>
  <c r="O28" i="133"/>
  <c r="P28" i="133"/>
  <c r="L29" i="133"/>
  <c r="M29" i="133"/>
  <c r="N29" i="133"/>
  <c r="O29" i="133"/>
  <c r="P29" i="133"/>
  <c r="R29" i="133"/>
  <c r="L30" i="133"/>
  <c r="M30" i="133"/>
  <c r="N30" i="133"/>
  <c r="O30" i="133"/>
  <c r="P30" i="133"/>
  <c r="L31" i="133"/>
  <c r="M31" i="133"/>
  <c r="N31" i="133"/>
  <c r="O31" i="133"/>
  <c r="P31" i="133"/>
  <c r="R31" i="133"/>
  <c r="L32" i="133"/>
  <c r="M32" i="133"/>
  <c r="N32" i="133"/>
  <c r="O32" i="133"/>
  <c r="P32" i="133"/>
  <c r="L33" i="133"/>
  <c r="M33" i="133"/>
  <c r="N33" i="133"/>
  <c r="O33" i="133"/>
  <c r="P33" i="133"/>
  <c r="R33" i="133"/>
  <c r="L34" i="133"/>
  <c r="M34" i="133"/>
  <c r="N34" i="133"/>
  <c r="O34" i="133"/>
  <c r="P34" i="133"/>
  <c r="L35" i="133"/>
  <c r="M35" i="133"/>
  <c r="N35" i="133"/>
  <c r="O35" i="133"/>
  <c r="P35" i="133"/>
  <c r="R35" i="133"/>
  <c r="L36" i="133"/>
  <c r="R36" i="133" s="1"/>
  <c r="M36" i="133"/>
  <c r="N36" i="133"/>
  <c r="O36" i="133"/>
  <c r="P36" i="133"/>
  <c r="P38" i="133"/>
  <c r="N38" i="133"/>
  <c r="J68" i="133"/>
  <c r="J69" i="133"/>
  <c r="J70" i="133"/>
  <c r="J71" i="133"/>
  <c r="J72" i="133"/>
  <c r="J73" i="133"/>
  <c r="J74" i="133"/>
  <c r="J75" i="133"/>
  <c r="J76" i="133"/>
  <c r="J77" i="133"/>
  <c r="J78" i="133"/>
  <c r="J79" i="133"/>
  <c r="J80" i="133"/>
  <c r="J82" i="133"/>
  <c r="H82" i="133"/>
  <c r="F82" i="133"/>
  <c r="D82" i="133"/>
  <c r="H60" i="133"/>
  <c r="F60" i="133"/>
  <c r="D60" i="133"/>
  <c r="H38" i="133"/>
  <c r="F38" i="133"/>
  <c r="D38" i="133"/>
  <c r="N1" i="42"/>
  <c r="A11" i="42"/>
  <c r="H11" i="42"/>
  <c r="J11" i="42"/>
  <c r="L11" i="42"/>
  <c r="A12" i="42"/>
  <c r="A13" i="42" s="1"/>
  <c r="A14" i="42" s="1"/>
  <c r="A15" i="42" s="1"/>
  <c r="H12" i="42"/>
  <c r="J12" i="42"/>
  <c r="L12" i="42"/>
  <c r="N12" i="42"/>
  <c r="H13" i="42"/>
  <c r="J13" i="42"/>
  <c r="L13" i="42"/>
  <c r="H14" i="42"/>
  <c r="J14" i="42"/>
  <c r="L14" i="42"/>
  <c r="H15" i="42"/>
  <c r="J15" i="42"/>
  <c r="L15" i="42"/>
  <c r="A16" i="42"/>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H16" i="42"/>
  <c r="J16" i="42"/>
  <c r="L16" i="42"/>
  <c r="N16" i="42"/>
  <c r="H17" i="42"/>
  <c r="J17" i="42"/>
  <c r="L17" i="42"/>
  <c r="N17" i="42" s="1"/>
  <c r="H18" i="42"/>
  <c r="N18" i="42" s="1"/>
  <c r="J18" i="42"/>
  <c r="L18" i="42"/>
  <c r="H19" i="42"/>
  <c r="J19" i="42"/>
  <c r="L19" i="42"/>
  <c r="H20" i="42"/>
  <c r="J20" i="42"/>
  <c r="L20" i="42"/>
  <c r="N20" i="42"/>
  <c r="H21" i="42"/>
  <c r="J21" i="42"/>
  <c r="L21" i="42"/>
  <c r="N21" i="42" s="1"/>
  <c r="J22" i="42"/>
  <c r="L22" i="42"/>
  <c r="J24" i="42"/>
  <c r="H22" i="42"/>
  <c r="N64" i="42"/>
  <c r="N62" i="42"/>
  <c r="N61" i="42"/>
  <c r="N60" i="42"/>
  <c r="N59" i="42"/>
  <c r="N58" i="42"/>
  <c r="N57" i="42"/>
  <c r="N56" i="42"/>
  <c r="N55" i="42"/>
  <c r="N54" i="42"/>
  <c r="N53" i="42"/>
  <c r="N52" i="42"/>
  <c r="N51" i="42"/>
  <c r="H44" i="42"/>
  <c r="L172" i="159" s="1"/>
  <c r="D172" i="159" s="1"/>
  <c r="N41" i="42"/>
  <c r="N40" i="42"/>
  <c r="N39" i="42"/>
  <c r="N38" i="42"/>
  <c r="N37" i="42"/>
  <c r="N36" i="42"/>
  <c r="N35" i="42"/>
  <c r="N34" i="42"/>
  <c r="N33" i="42"/>
  <c r="N32" i="42"/>
  <c r="N31" i="42"/>
  <c r="D24" i="42"/>
  <c r="A12" i="135"/>
  <c r="A13" i="135"/>
  <c r="A14" i="135"/>
  <c r="A15" i="135" s="1"/>
  <c r="A16" i="135" s="1"/>
  <c r="A17" i="135" s="1"/>
  <c r="A18" i="135"/>
  <c r="A19" i="135" s="1"/>
  <c r="A20" i="135" s="1"/>
  <c r="A21" i="135" s="1"/>
  <c r="A22" i="135" s="1"/>
  <c r="A23" i="135" s="1"/>
  <c r="A24" i="135" s="1"/>
  <c r="A25" i="135" s="1"/>
  <c r="N62" i="3"/>
  <c r="N63" i="3"/>
  <c r="N56" i="3"/>
  <c r="N57" i="3"/>
  <c r="N58" i="3"/>
  <c r="N59" i="3"/>
  <c r="N60" i="3"/>
  <c r="N61" i="3"/>
  <c r="N64" i="3"/>
  <c r="N65" i="3"/>
  <c r="N66" i="3"/>
  <c r="N67" i="3"/>
  <c r="N68" i="3"/>
  <c r="L26" i="3"/>
  <c r="H26" i="3"/>
  <c r="D26" i="3"/>
  <c r="N1" i="3"/>
  <c r="D24" i="3"/>
  <c r="D12" i="3"/>
  <c r="F12" i="3"/>
  <c r="H12" i="3"/>
  <c r="J12" i="3"/>
  <c r="L12" i="3"/>
  <c r="G12" i="3"/>
  <c r="I12" i="3"/>
  <c r="K12" i="3"/>
  <c r="N12" i="3"/>
  <c r="D13" i="3"/>
  <c r="F13" i="3"/>
  <c r="H13" i="3"/>
  <c r="J13" i="3"/>
  <c r="L13" i="3"/>
  <c r="G13" i="3"/>
  <c r="I13" i="3"/>
  <c r="K13" i="3"/>
  <c r="D14" i="3"/>
  <c r="F14" i="3"/>
  <c r="H14" i="3"/>
  <c r="J14" i="3"/>
  <c r="L14" i="3"/>
  <c r="G14" i="3"/>
  <c r="I14" i="3"/>
  <c r="K14" i="3"/>
  <c r="D15" i="3"/>
  <c r="F15" i="3"/>
  <c r="H15" i="3"/>
  <c r="J15" i="3"/>
  <c r="L15" i="3"/>
  <c r="G15" i="3"/>
  <c r="I15" i="3"/>
  <c r="K15" i="3"/>
  <c r="D16" i="3"/>
  <c r="F16" i="3"/>
  <c r="H16" i="3"/>
  <c r="J16" i="3"/>
  <c r="L16" i="3"/>
  <c r="G16" i="3"/>
  <c r="I16" i="3"/>
  <c r="K16" i="3"/>
  <c r="N16" i="3"/>
  <c r="D17" i="3"/>
  <c r="F17" i="3"/>
  <c r="H17" i="3"/>
  <c r="J17" i="3"/>
  <c r="N17" i="3" s="1"/>
  <c r="L17" i="3"/>
  <c r="G17" i="3"/>
  <c r="I17" i="3"/>
  <c r="K17" i="3"/>
  <c r="D18" i="3"/>
  <c r="F18" i="3"/>
  <c r="N18" i="3" s="1"/>
  <c r="H18" i="3"/>
  <c r="J18" i="3"/>
  <c r="L18" i="3"/>
  <c r="G18" i="3"/>
  <c r="I18" i="3"/>
  <c r="K18" i="3"/>
  <c r="D19" i="3"/>
  <c r="F19" i="3"/>
  <c r="H19" i="3"/>
  <c r="J19" i="3"/>
  <c r="L19" i="3"/>
  <c r="G19" i="3"/>
  <c r="I19" i="3"/>
  <c r="K19" i="3"/>
  <c r="D20" i="3"/>
  <c r="F20" i="3"/>
  <c r="N20" i="3" s="1"/>
  <c r="H20" i="3"/>
  <c r="J20" i="3"/>
  <c r="L20" i="3"/>
  <c r="G20" i="3"/>
  <c r="I20" i="3"/>
  <c r="K20" i="3"/>
  <c r="D21" i="3"/>
  <c r="F21" i="3"/>
  <c r="H21" i="3"/>
  <c r="J21" i="3"/>
  <c r="L21" i="3"/>
  <c r="G21" i="3"/>
  <c r="I21" i="3"/>
  <c r="K21" i="3"/>
  <c r="N21" i="3"/>
  <c r="D22" i="3"/>
  <c r="F22" i="3"/>
  <c r="H22" i="3"/>
  <c r="J22" i="3"/>
  <c r="L22" i="3"/>
  <c r="G22" i="3"/>
  <c r="I22" i="3"/>
  <c r="K22" i="3"/>
  <c r="D23" i="3"/>
  <c r="F23" i="3"/>
  <c r="H23" i="3"/>
  <c r="J23" i="3"/>
  <c r="L23" i="3"/>
  <c r="G23" i="3"/>
  <c r="I23" i="3"/>
  <c r="K23" i="3"/>
  <c r="F24" i="3"/>
  <c r="H24" i="3"/>
  <c r="J24" i="3"/>
  <c r="L24" i="3"/>
  <c r="G24" i="3"/>
  <c r="I24" i="3"/>
  <c r="K24" i="3"/>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D24" i="129"/>
  <c r="D12" i="129"/>
  <c r="D26" i="129"/>
  <c r="F1" i="129"/>
  <c r="A30" i="129"/>
  <c r="A31" i="129" s="1"/>
  <c r="A32" i="129" s="1"/>
  <c r="A33" i="129" s="1"/>
  <c r="A34" i="129" s="1"/>
  <c r="A35" i="129" s="1"/>
  <c r="A36" i="129" s="1"/>
  <c r="A37" i="129" s="1"/>
  <c r="A38" i="129" s="1"/>
  <c r="A39" i="129" s="1"/>
  <c r="A40" i="129" s="1"/>
  <c r="A41" i="129" s="1"/>
  <c r="A42" i="129" s="1"/>
  <c r="A43" i="129" s="1"/>
  <c r="A44" i="129" s="1"/>
  <c r="A45" i="129" s="1"/>
  <c r="A46" i="129" s="1"/>
  <c r="A47" i="129" s="1"/>
  <c r="A48" i="129" s="1"/>
  <c r="A49" i="129" s="1"/>
  <c r="A50" i="129" s="1"/>
  <c r="A51" i="129" s="1"/>
  <c r="A52" i="129" s="1"/>
  <c r="A53" i="129" s="1"/>
  <c r="A54" i="129" s="1"/>
  <c r="A55" i="129" s="1"/>
  <c r="A56" i="129" s="1"/>
  <c r="A57" i="129" s="1"/>
  <c r="A58" i="129" s="1"/>
  <c r="A59" i="129" s="1"/>
  <c r="A60" i="129" s="1"/>
  <c r="A61" i="129" s="1"/>
  <c r="A62" i="129" s="1"/>
  <c r="A63" i="129" s="1"/>
  <c r="A64" i="129" s="1"/>
  <c r="D23" i="129"/>
  <c r="D22" i="129"/>
  <c r="D21" i="129"/>
  <c r="D20" i="129"/>
  <c r="D19" i="129"/>
  <c r="D18" i="129"/>
  <c r="D17" i="129"/>
  <c r="D16" i="129"/>
  <c r="D15" i="129"/>
  <c r="D14" i="129"/>
  <c r="D13" i="129"/>
  <c r="J1" i="131"/>
  <c r="J35" i="131"/>
  <c r="J36" i="131"/>
  <c r="J37" i="131"/>
  <c r="J39" i="131"/>
  <c r="F39" i="131"/>
  <c r="A14" i="131"/>
  <c r="A15" i="131"/>
  <c r="A16" i="131"/>
  <c r="A17" i="131" s="1"/>
  <c r="A18" i="131" s="1"/>
  <c r="A19" i="131" s="1"/>
  <c r="A20" i="131" s="1"/>
  <c r="A21" i="131" s="1"/>
  <c r="A22" i="131" s="1"/>
  <c r="A23" i="131" s="1"/>
  <c r="A24" i="131" s="1"/>
  <c r="A25" i="131" s="1"/>
  <c r="A26" i="131" s="1"/>
  <c r="A27" i="131" s="1"/>
  <c r="A28" i="131" s="1"/>
  <c r="A29" i="131" s="1"/>
  <c r="A30" i="131" s="1"/>
  <c r="A31" i="131" s="1"/>
  <c r="A32" i="131" s="1"/>
  <c r="A33" i="131" s="1"/>
  <c r="A34" i="131" s="1"/>
  <c r="A35" i="131" s="1"/>
  <c r="A36" i="131" s="1"/>
  <c r="A37" i="131" s="1"/>
  <c r="A38" i="131" s="1"/>
  <c r="A39" i="131" s="1"/>
  <c r="J26" i="131"/>
  <c r="J27" i="131"/>
  <c r="J28" i="131"/>
  <c r="J29" i="131"/>
  <c r="J31" i="131"/>
  <c r="F31" i="131"/>
  <c r="J18" i="131"/>
  <c r="J19" i="131"/>
  <c r="J20" i="131"/>
  <c r="J22" i="131" s="1"/>
  <c r="J13" i="131"/>
  <c r="J1" i="84"/>
  <c r="A11" i="84"/>
  <c r="A12" i="84" s="1"/>
  <c r="A13" i="84" s="1"/>
  <c r="A14" i="84" s="1"/>
  <c r="A15" i="84" s="1"/>
  <c r="A16" i="84" s="1"/>
  <c r="A17" i="84" s="1"/>
  <c r="A18" i="84" s="1"/>
  <c r="A19" i="84" s="1"/>
  <c r="A20" i="84" s="1"/>
  <c r="A21" i="84" s="1"/>
  <c r="A22" i="84" s="1"/>
  <c r="A23" i="84" s="1"/>
  <c r="A24" i="84" s="1"/>
  <c r="A25" i="84" s="1"/>
  <c r="A26" i="84" s="1"/>
  <c r="J26" i="84"/>
  <c r="F23" i="84"/>
  <c r="H23" i="84"/>
  <c r="J23" i="84"/>
  <c r="J20" i="84"/>
  <c r="J19" i="84"/>
  <c r="J18" i="84"/>
  <c r="J17" i="84"/>
  <c r="J13" i="84"/>
  <c r="J12" i="84"/>
  <c r="F12" i="130"/>
  <c r="D24" i="130"/>
  <c r="F1" i="130"/>
  <c r="F20" i="130"/>
  <c r="F19" i="130"/>
  <c r="F18" i="130"/>
  <c r="F17" i="130"/>
  <c r="F16" i="130"/>
  <c r="F15" i="130"/>
  <c r="F14" i="130"/>
  <c r="F13" i="130"/>
  <c r="F11" i="130"/>
  <c r="F10" i="130"/>
  <c r="F9" i="130"/>
  <c r="F8" i="130"/>
  <c r="D10" i="130"/>
  <c r="D11" i="130"/>
  <c r="D12" i="130"/>
  <c r="D13" i="130"/>
  <c r="D14" i="130"/>
  <c r="D15" i="130"/>
  <c r="D16" i="130"/>
  <c r="D17" i="130"/>
  <c r="D18" i="130"/>
  <c r="D19" i="130"/>
  <c r="D20" i="130"/>
  <c r="D9" i="130"/>
  <c r="D22" i="130"/>
  <c r="A21" i="130"/>
  <c r="A22" i="130"/>
  <c r="A47" i="130"/>
  <c r="A48" i="130" s="1"/>
  <c r="F24" i="130"/>
  <c r="F44" i="42"/>
  <c r="L171" i="159" s="1"/>
  <c r="D171" i="159" s="1"/>
  <c r="N44" i="42"/>
  <c r="N42" i="42"/>
  <c r="F22" i="42"/>
  <c r="N22" i="42"/>
  <c r="F24" i="42"/>
  <c r="C56" i="154" l="1"/>
  <c r="H56" i="157"/>
  <c r="H78" i="158" s="1"/>
  <c r="I96" i="147"/>
  <c r="E96" i="147"/>
  <c r="N93" i="147"/>
  <c r="H93" i="147"/>
  <c r="H96" i="147" s="1"/>
  <c r="D93" i="147"/>
  <c r="D96" i="147" s="1"/>
  <c r="M93" i="147"/>
  <c r="M96" i="147" s="1"/>
  <c r="L93" i="147"/>
  <c r="L96" i="147" s="1"/>
  <c r="G93" i="147"/>
  <c r="G96" i="147" s="1"/>
  <c r="C96" i="147"/>
  <c r="K93" i="147"/>
  <c r="K96" i="147" s="1"/>
  <c r="B96" i="147"/>
  <c r="O92" i="147"/>
  <c r="C34" i="142" s="1"/>
  <c r="E34" i="142" s="1"/>
  <c r="E38" i="142" s="1"/>
  <c r="J93" i="147"/>
  <c r="J96" i="147" s="1"/>
  <c r="O81" i="147"/>
  <c r="F93" i="147"/>
  <c r="F96" i="147" s="1"/>
  <c r="O80" i="147"/>
  <c r="O82" i="147"/>
  <c r="O76" i="147"/>
  <c r="N96" i="147"/>
  <c r="O94" i="147"/>
  <c r="O91" i="147"/>
  <c r="C33" i="142" s="1"/>
  <c r="E33" i="142" s="1"/>
  <c r="E39" i="142" s="1"/>
  <c r="O87" i="147"/>
  <c r="O88" i="147"/>
  <c r="O83" i="147"/>
  <c r="O85" i="147"/>
  <c r="O77" i="147"/>
  <c r="O75" i="147"/>
  <c r="I22" i="159"/>
  <c r="H26" i="136"/>
  <c r="H30" i="136" s="1"/>
  <c r="I37" i="159"/>
  <c r="N19" i="3"/>
  <c r="N13" i="3"/>
  <c r="H24" i="42"/>
  <c r="N24" i="42" s="1"/>
  <c r="N14" i="42"/>
  <c r="R30" i="133"/>
  <c r="R38" i="133" s="1"/>
  <c r="F34" i="132"/>
  <c r="H34" i="132" s="1"/>
  <c r="A26" i="141"/>
  <c r="A27" i="141"/>
  <c r="N23" i="3"/>
  <c r="N22" i="3"/>
  <c r="N15" i="3"/>
  <c r="N14" i="3"/>
  <c r="N70" i="3"/>
  <c r="N13" i="42"/>
  <c r="L24" i="42"/>
  <c r="R32" i="133"/>
  <c r="N11" i="42"/>
  <c r="N15" i="42"/>
  <c r="N19" i="42"/>
  <c r="N24" i="3"/>
  <c r="R34" i="133"/>
  <c r="N26" i="3"/>
  <c r="A36" i="37"/>
  <c r="A37" i="37" s="1"/>
  <c r="A38" i="37" s="1"/>
  <c r="A39" i="37" s="1"/>
  <c r="A31" i="37"/>
  <c r="A32" i="37" s="1"/>
  <c r="A33" i="37" s="1"/>
  <c r="A34" i="37" s="1"/>
  <c r="A35" i="37" s="1"/>
  <c r="L160" i="159"/>
  <c r="D160" i="159" s="1"/>
  <c r="J56" i="37"/>
  <c r="N17" i="127"/>
  <c r="L56" i="128"/>
  <c r="J44" i="37"/>
  <c r="L126" i="159"/>
  <c r="D126" i="159" s="1"/>
  <c r="P34" i="159"/>
  <c r="N26" i="127"/>
  <c r="J27" i="37"/>
  <c r="J46" i="37" s="1"/>
  <c r="J50" i="37" s="1"/>
  <c r="J58" i="37" s="1"/>
  <c r="J60" i="133"/>
  <c r="L38" i="133"/>
  <c r="N23" i="127"/>
  <c r="N15" i="127"/>
  <c r="T78" i="128"/>
  <c r="L158" i="159"/>
  <c r="F58" i="37"/>
  <c r="J94" i="37"/>
  <c r="J90" i="37"/>
  <c r="J92" i="37" s="1"/>
  <c r="J80" i="37"/>
  <c r="J85" i="37" s="1"/>
  <c r="J96" i="37" s="1"/>
  <c r="J98" i="37" s="1"/>
  <c r="D54" i="130"/>
  <c r="N21" i="127"/>
  <c r="N13" i="127"/>
  <c r="J38" i="133"/>
  <c r="L97" i="159"/>
  <c r="D97" i="159" s="1"/>
  <c r="J26" i="127"/>
  <c r="D170" i="159"/>
  <c r="D175" i="159" s="1"/>
  <c r="L175" i="159"/>
  <c r="H30" i="128"/>
  <c r="L161" i="159"/>
  <c r="D161" i="159" s="1"/>
  <c r="F96" i="37"/>
  <c r="F98" i="37" s="1"/>
  <c r="M159" i="159"/>
  <c r="D159" i="159" s="1"/>
  <c r="I159" i="159" s="1"/>
  <c r="J25" i="155" s="1"/>
  <c r="H58" i="37"/>
  <c r="H98" i="37" s="1"/>
  <c r="M119" i="159"/>
  <c r="D88" i="159"/>
  <c r="D104" i="159" s="1"/>
  <c r="L104" i="159"/>
  <c r="I23" i="159"/>
  <c r="C9" i="137"/>
  <c r="C11" i="137" s="1"/>
  <c r="C20" i="137" s="1"/>
  <c r="D78" i="130"/>
  <c r="M125" i="159" s="1"/>
  <c r="M167" i="159"/>
  <c r="D86" i="159"/>
  <c r="L91" i="159"/>
  <c r="L102" i="159"/>
  <c r="L107" i="159" s="1"/>
  <c r="O35" i="148"/>
  <c r="F78" i="130"/>
  <c r="M126" i="159" s="1"/>
  <c r="D112" i="159"/>
  <c r="E25" i="142"/>
  <c r="D90" i="159"/>
  <c r="D106" i="159" s="1"/>
  <c r="L106" i="159"/>
  <c r="R60" i="133"/>
  <c r="D118" i="159"/>
  <c r="D105" i="159"/>
  <c r="H11" i="131"/>
  <c r="J11" i="131" s="1"/>
  <c r="D183" i="159"/>
  <c r="D186" i="159" s="1"/>
  <c r="F26" i="3"/>
  <c r="M175" i="159"/>
  <c r="L105" i="159"/>
  <c r="D94" i="159"/>
  <c r="D99" i="159" s="1"/>
  <c r="L99" i="159"/>
  <c r="D87" i="159"/>
  <c r="L103" i="159"/>
  <c r="H19" i="149"/>
  <c r="J26" i="3"/>
  <c r="R52" i="128"/>
  <c r="M102" i="159"/>
  <c r="M107" i="159" s="1"/>
  <c r="I271" i="159"/>
  <c r="D275" i="159" s="1"/>
  <c r="D276" i="159" s="1"/>
  <c r="B27" i="154"/>
  <c r="I240" i="159"/>
  <c r="N240" i="159" s="1"/>
  <c r="N242" i="159" s="1"/>
  <c r="N248" i="159" s="1"/>
  <c r="B27" i="157"/>
  <c r="D197" i="159"/>
  <c r="G249" i="159"/>
  <c r="O96" i="147" l="1"/>
  <c r="E28" i="142"/>
  <c r="O93" i="147"/>
  <c r="E36" i="142"/>
  <c r="E27" i="142"/>
  <c r="E41" i="142" s="1"/>
  <c r="D20" i="137"/>
  <c r="C21" i="137" s="1"/>
  <c r="M127" i="159"/>
  <c r="M129" i="159" s="1"/>
  <c r="P33" i="159"/>
  <c r="S33" i="159" s="1"/>
  <c r="S34" i="159" s="1"/>
  <c r="N30" i="159"/>
  <c r="H32" i="132"/>
  <c r="L32" i="132" s="1"/>
  <c r="H30" i="132"/>
  <c r="L30" i="132" s="1"/>
  <c r="I230" i="159"/>
  <c r="D103" i="159"/>
  <c r="D158" i="159"/>
  <c r="L167" i="159"/>
  <c r="D91" i="159"/>
  <c r="D102" i="159"/>
  <c r="T56" i="128"/>
  <c r="H28" i="132"/>
  <c r="L28" i="132" s="1"/>
  <c r="A44" i="37"/>
  <c r="A46" i="37" s="1"/>
  <c r="A48" i="37" s="1"/>
  <c r="A49" i="37" s="1"/>
  <c r="A50" i="37" s="1"/>
  <c r="A51" i="37" s="1"/>
  <c r="A52" i="37" s="1"/>
  <c r="A53" i="37" s="1"/>
  <c r="A54" i="37" s="1"/>
  <c r="A56" i="37" s="1"/>
  <c r="A58" i="37" s="1"/>
  <c r="A40" i="37"/>
  <c r="A41" i="37" s="1"/>
  <c r="A42" i="37" s="1"/>
  <c r="A43" i="37" s="1"/>
  <c r="R56" i="128"/>
  <c r="R26" i="128"/>
  <c r="R30" i="128" s="1"/>
  <c r="R31" i="128" s="1"/>
  <c r="E273" i="159"/>
  <c r="I273" i="159" s="1"/>
  <c r="E275" i="159"/>
  <c r="I275" i="159" s="1"/>
  <c r="E274" i="159"/>
  <c r="I274" i="159" s="1"/>
  <c r="L125" i="159"/>
  <c r="D28" i="130"/>
  <c r="F28" i="130"/>
  <c r="T52" i="128"/>
  <c r="T26" i="128" s="1"/>
  <c r="T30" i="128" s="1"/>
  <c r="E43" i="142" l="1"/>
  <c r="P20" i="159" s="1"/>
  <c r="P21" i="159" s="1"/>
  <c r="D21" i="137"/>
  <c r="C22" i="137" s="1"/>
  <c r="I276" i="159"/>
  <c r="D107" i="159"/>
  <c r="I239" i="159"/>
  <c r="D167" i="159"/>
  <c r="D124" i="159" s="1"/>
  <c r="D127" i="159" s="1"/>
  <c r="D125" i="159"/>
  <c r="L127" i="159"/>
  <c r="L117" i="159"/>
  <c r="R57" i="128"/>
  <c r="L34" i="132"/>
  <c r="I233" i="159"/>
  <c r="I235" i="159"/>
  <c r="D22" i="137" l="1"/>
  <c r="G87" i="159"/>
  <c r="I244" i="159"/>
  <c r="E250" i="159"/>
  <c r="G250" i="159" s="1"/>
  <c r="G253" i="159" s="1"/>
  <c r="I253" i="159" s="1"/>
  <c r="G117" i="159"/>
  <c r="G109" i="159"/>
  <c r="I109" i="159" s="1"/>
  <c r="G171" i="159"/>
  <c r="I171" i="159" s="1"/>
  <c r="G172" i="159"/>
  <c r="I172" i="159" s="1"/>
  <c r="G118" i="159"/>
  <c r="I118" i="159" s="1"/>
  <c r="G14" i="159"/>
  <c r="I241" i="159"/>
  <c r="I243" i="159" s="1"/>
  <c r="D117" i="159"/>
  <c r="L119" i="159"/>
  <c r="L129" i="159" s="1"/>
  <c r="D190" i="159"/>
  <c r="I245" i="159" l="1"/>
  <c r="I117" i="159"/>
  <c r="D119" i="159"/>
  <c r="D129" i="159" s="1"/>
  <c r="D200" i="159" s="1"/>
  <c r="I14" i="159"/>
  <c r="G15" i="159"/>
  <c r="G95" i="159"/>
  <c r="I87" i="159"/>
  <c r="D196" i="159"/>
  <c r="D198" i="159" s="1"/>
  <c r="I258" i="159"/>
  <c r="K258" i="159" s="1"/>
  <c r="G90" i="159" s="1"/>
  <c r="G89" i="159"/>
  <c r="C23" i="137"/>
  <c r="G16" i="159" l="1"/>
  <c r="G158" i="159"/>
  <c r="G125" i="159"/>
  <c r="I125" i="159" s="1"/>
  <c r="G97" i="159"/>
  <c r="I89" i="159"/>
  <c r="I95" i="159"/>
  <c r="G121" i="159"/>
  <c r="D23" i="137"/>
  <c r="I90" i="159"/>
  <c r="G98" i="159"/>
  <c r="J18" i="155"/>
  <c r="I103" i="159"/>
  <c r="G18" i="158"/>
  <c r="O21" i="159"/>
  <c r="O20" i="159" s="1"/>
  <c r="Q20" i="159" s="1"/>
  <c r="D203" i="159"/>
  <c r="J20" i="155" l="1"/>
  <c r="I121" i="159"/>
  <c r="G170" i="159"/>
  <c r="I170" i="159" s="1"/>
  <c r="I16" i="159"/>
  <c r="G17" i="159"/>
  <c r="I17" i="159" s="1"/>
  <c r="G19" i="158"/>
  <c r="N29" i="159"/>
  <c r="I106" i="159"/>
  <c r="J19" i="155"/>
  <c r="I98" i="159"/>
  <c r="G165" i="159"/>
  <c r="G161" i="159"/>
  <c r="I97" i="159"/>
  <c r="I105" i="159" s="1"/>
  <c r="I107" i="159" s="1"/>
  <c r="G107" i="159" s="1"/>
  <c r="Q21" i="159"/>
  <c r="R19" i="159" s="1"/>
  <c r="Q29" i="159" s="1"/>
  <c r="I91" i="159"/>
  <c r="G91" i="159" s="1"/>
  <c r="C24" i="137"/>
  <c r="G160" i="159"/>
  <c r="I160" i="159" s="1"/>
  <c r="J26" i="155" s="1"/>
  <c r="I158" i="159"/>
  <c r="G164" i="159"/>
  <c r="I164" i="159" s="1"/>
  <c r="G113" i="159" l="1"/>
  <c r="G197" i="159"/>
  <c r="I197" i="159" s="1"/>
  <c r="G126" i="159"/>
  <c r="I126" i="159" s="1"/>
  <c r="G182" i="159"/>
  <c r="I161" i="159"/>
  <c r="G162" i="159"/>
  <c r="G173" i="159"/>
  <c r="J24" i="155"/>
  <c r="J27" i="155" s="1"/>
  <c r="J29" i="155" s="1"/>
  <c r="L29" i="155" s="1"/>
  <c r="G174" i="159"/>
  <c r="I174" i="159" s="1"/>
  <c r="I165" i="159"/>
  <c r="R20" i="159"/>
  <c r="R21" i="159" s="1"/>
  <c r="I99" i="159"/>
  <c r="D24" i="137"/>
  <c r="C25" i="137" s="1"/>
  <c r="D25" i="137" l="1"/>
  <c r="C26" i="137"/>
  <c r="I162" i="159"/>
  <c r="I167" i="159" s="1"/>
  <c r="G163" i="159"/>
  <c r="I163" i="159" s="1"/>
  <c r="G114" i="159"/>
  <c r="I113" i="159"/>
  <c r="G72" i="155"/>
  <c r="H72" i="155" s="1"/>
  <c r="G73" i="155"/>
  <c r="H73" i="155" s="1"/>
  <c r="G184" i="159"/>
  <c r="I184" i="159" s="1"/>
  <c r="G185" i="159"/>
  <c r="I185" i="159" s="1"/>
  <c r="I182" i="159"/>
  <c r="G179" i="159"/>
  <c r="I173" i="159"/>
  <c r="I179" i="159" l="1"/>
  <c r="I186" i="159" s="1"/>
  <c r="G180" i="159"/>
  <c r="I180" i="159" s="1"/>
  <c r="D26" i="137"/>
  <c r="C27" i="137" s="1"/>
  <c r="D27" i="137" s="1"/>
  <c r="D28" i="137" s="1"/>
  <c r="C15" i="137" s="1"/>
  <c r="I24" i="159" s="1"/>
  <c r="J37" i="155"/>
  <c r="J38" i="155" s="1"/>
  <c r="L38" i="155" s="1"/>
  <c r="G26" i="158"/>
  <c r="G27" i="158" s="1"/>
  <c r="L27" i="158" s="1"/>
  <c r="I175" i="159"/>
  <c r="G116" i="159"/>
  <c r="I116" i="159" s="1"/>
  <c r="I119" i="159" s="1"/>
  <c r="G115" i="159"/>
  <c r="I115" i="159" s="1"/>
  <c r="I114" i="159"/>
  <c r="J23" i="155"/>
  <c r="J33" i="155" s="1"/>
  <c r="J34" i="155" s="1"/>
  <c r="I124" i="159"/>
  <c r="I127" i="159" s="1"/>
  <c r="G22" i="158"/>
  <c r="G23" i="158" s="1"/>
  <c r="L23" i="158" s="1"/>
  <c r="L34" i="155" l="1"/>
  <c r="J41" i="155"/>
  <c r="J42" i="155" s="1"/>
  <c r="L42" i="155" s="1"/>
  <c r="G30" i="158"/>
  <c r="G31" i="158" s="1"/>
  <c r="L31" i="158" s="1"/>
  <c r="L33" i="158" s="1"/>
  <c r="I129" i="159"/>
  <c r="I200" i="159" s="1"/>
  <c r="F73" i="158" l="1"/>
  <c r="G73" i="158" s="1"/>
  <c r="F74" i="158"/>
  <c r="G74" i="158" s="1"/>
  <c r="F75" i="158"/>
  <c r="G75" i="158" s="1"/>
  <c r="F76" i="158"/>
  <c r="G76" i="158" s="1"/>
  <c r="F77" i="158"/>
  <c r="G77" i="158" s="1"/>
  <c r="F78" i="158"/>
  <c r="G78" i="158" s="1"/>
  <c r="F79" i="158"/>
  <c r="G79" i="158" s="1"/>
  <c r="F80" i="158"/>
  <c r="G80" i="158" s="1"/>
  <c r="F81" i="158"/>
  <c r="G81" i="158" s="1"/>
  <c r="F82" i="158"/>
  <c r="G82" i="158" s="1"/>
  <c r="F83" i="158"/>
  <c r="G83" i="158" s="1"/>
  <c r="F84" i="158"/>
  <c r="G84" i="158" s="1"/>
  <c r="F85" i="158"/>
  <c r="G85" i="158" s="1"/>
  <c r="F86" i="158"/>
  <c r="G86" i="158" s="1"/>
  <c r="F87" i="158"/>
  <c r="G87" i="158" s="1"/>
  <c r="F88" i="158"/>
  <c r="G88" i="158" s="1"/>
  <c r="F89" i="158"/>
  <c r="G89" i="158" s="1"/>
  <c r="F90" i="158"/>
  <c r="G90" i="158" s="1"/>
  <c r="J44" i="155"/>
  <c r="G40" i="158"/>
  <c r="G41" i="158" s="1"/>
  <c r="L41" i="158" s="1"/>
  <c r="J51" i="155"/>
  <c r="J52" i="155" s="1"/>
  <c r="L52" i="155" s="1"/>
  <c r="I196" i="159"/>
  <c r="I198" i="159" s="1"/>
  <c r="L44" i="155"/>
  <c r="J47" i="155" l="1"/>
  <c r="J48" i="155" s="1"/>
  <c r="L48" i="155" s="1"/>
  <c r="L54" i="155" s="1"/>
  <c r="G36" i="158"/>
  <c r="G37" i="158" s="1"/>
  <c r="L37" i="158" s="1"/>
  <c r="L43" i="158" s="1"/>
  <c r="I72" i="155"/>
  <c r="J72" i="155" s="1"/>
  <c r="K72" i="155" s="1"/>
  <c r="I73" i="155"/>
  <c r="J73" i="155" s="1"/>
  <c r="K73" i="155" s="1"/>
  <c r="I203" i="159"/>
  <c r="I73" i="158" l="1"/>
  <c r="J73" i="158" s="1"/>
  <c r="L73" i="158" s="1"/>
  <c r="I77" i="158"/>
  <c r="J77" i="158" s="1"/>
  <c r="L77" i="158" s="1"/>
  <c r="N77" i="158" s="1"/>
  <c r="I81" i="158"/>
  <c r="J81" i="158" s="1"/>
  <c r="L81" i="158" s="1"/>
  <c r="N81" i="158" s="1"/>
  <c r="I85" i="158"/>
  <c r="J85" i="158" s="1"/>
  <c r="L85" i="158" s="1"/>
  <c r="N85" i="158" s="1"/>
  <c r="I89" i="158"/>
  <c r="J89" i="158" s="1"/>
  <c r="L89" i="158" s="1"/>
  <c r="N89" i="158" s="1"/>
  <c r="I76" i="158"/>
  <c r="J76" i="158" s="1"/>
  <c r="L76" i="158" s="1"/>
  <c r="N76" i="158" s="1"/>
  <c r="I80" i="158"/>
  <c r="J80" i="158" s="1"/>
  <c r="L80" i="158" s="1"/>
  <c r="N80" i="158" s="1"/>
  <c r="I84" i="158"/>
  <c r="J84" i="158" s="1"/>
  <c r="L84" i="158" s="1"/>
  <c r="N84" i="158" s="1"/>
  <c r="I88" i="158"/>
  <c r="J88" i="158" s="1"/>
  <c r="L88" i="158" s="1"/>
  <c r="N88" i="158" s="1"/>
  <c r="I75" i="158"/>
  <c r="J75" i="158" s="1"/>
  <c r="L75" i="158" s="1"/>
  <c r="N75" i="158" s="1"/>
  <c r="I79" i="158"/>
  <c r="J79" i="158" s="1"/>
  <c r="L79" i="158" s="1"/>
  <c r="N79" i="158" s="1"/>
  <c r="I83" i="158"/>
  <c r="J83" i="158" s="1"/>
  <c r="L83" i="158" s="1"/>
  <c r="N83" i="158" s="1"/>
  <c r="I87" i="158"/>
  <c r="J87" i="158" s="1"/>
  <c r="L87" i="158" s="1"/>
  <c r="N87" i="158" s="1"/>
  <c r="I74" i="158"/>
  <c r="J74" i="158" s="1"/>
  <c r="L74" i="158" s="1"/>
  <c r="N74" i="158" s="1"/>
  <c r="I78" i="158"/>
  <c r="J78" i="158" s="1"/>
  <c r="L78" i="158" s="1"/>
  <c r="N78" i="158" s="1"/>
  <c r="I82" i="158"/>
  <c r="J82" i="158" s="1"/>
  <c r="L82" i="158" s="1"/>
  <c r="N82" i="158" s="1"/>
  <c r="I86" i="158"/>
  <c r="J86" i="158" s="1"/>
  <c r="L86" i="158" s="1"/>
  <c r="N86" i="158" s="1"/>
  <c r="I90" i="158"/>
  <c r="J90" i="158" s="1"/>
  <c r="L90" i="158" s="1"/>
  <c r="N90" i="158" s="1"/>
  <c r="M72" i="155"/>
  <c r="N72" i="155" s="1"/>
  <c r="P72" i="155" s="1"/>
  <c r="M73" i="155"/>
  <c r="N73" i="155" s="1"/>
  <c r="P73" i="155" s="1"/>
  <c r="R73" i="155" l="1"/>
  <c r="R92" i="155" s="1"/>
  <c r="P92" i="155"/>
  <c r="R72" i="155"/>
  <c r="E19" i="140" s="1"/>
  <c r="E43" i="140" s="1"/>
  <c r="F26" i="141" s="1"/>
  <c r="L94" i="158"/>
  <c r="N73" i="158"/>
  <c r="N94" i="158" s="1"/>
  <c r="E18" i="140" s="1"/>
  <c r="D207" i="159" l="1"/>
  <c r="L96" i="158"/>
  <c r="F30" i="141"/>
  <c r="L291" i="159"/>
  <c r="I291" i="159" s="1"/>
  <c r="J26" i="141"/>
  <c r="E38" i="140"/>
  <c r="E40" i="140" s="1"/>
  <c r="E42" i="140"/>
  <c r="F25" i="141" s="1"/>
  <c r="D211" i="159"/>
  <c r="I211" i="159" s="1"/>
  <c r="P94" i="155"/>
  <c r="F33" i="141"/>
  <c r="L290" i="159" l="1"/>
  <c r="I290" i="159" s="1"/>
  <c r="J25" i="141"/>
  <c r="E41" i="140"/>
  <c r="F23" i="141" s="1"/>
  <c r="F22" i="141"/>
  <c r="I207" i="159"/>
  <c r="I212" i="159" s="1"/>
  <c r="I11" i="159" s="1"/>
  <c r="D212" i="159"/>
  <c r="L288" i="159" l="1"/>
  <c r="I288" i="159" s="1"/>
  <c r="J22" i="141"/>
  <c r="F27" i="141"/>
  <c r="L289" i="159"/>
  <c r="I289" i="159" s="1"/>
  <c r="J23" i="141"/>
  <c r="J27" i="141" l="1"/>
  <c r="I292" i="159"/>
  <c r="D15" i="159" s="1"/>
  <c r="I15" i="159" s="1"/>
  <c r="I18" i="159" s="1"/>
  <c r="I26" i="159" s="1"/>
  <c r="R34" i="159" l="1"/>
  <c r="O34" i="159"/>
  <c r="D38" i="159"/>
  <c r="R32" i="159"/>
  <c r="O32" i="159"/>
  <c r="O33" i="159" l="1"/>
  <c r="D44" i="159"/>
  <c r="D42" i="159"/>
  <c r="I43" i="159"/>
  <c r="D39" i="159"/>
  <c r="D43" i="159"/>
  <c r="I44" i="159"/>
  <c r="I42" i="159"/>
  <c r="R33" i="159"/>
</calcChain>
</file>

<file path=xl/comments1.xml><?xml version="1.0" encoding="utf-8"?>
<comments xmlns="http://schemas.openxmlformats.org/spreadsheetml/2006/main">
  <authors>
    <author>Thomas Kramer</author>
    <author>Authorized User</author>
    <author>akra02</author>
  </authors>
  <commentList>
    <comment ref="L7" authorId="0">
      <text>
        <r>
          <rPr>
            <b/>
            <sz val="8"/>
            <color indexed="81"/>
            <rFont val="Tahoma"/>
            <family val="2"/>
          </rPr>
          <t>Thomas Kramer:</t>
        </r>
        <r>
          <rPr>
            <sz val="8"/>
            <color indexed="81"/>
            <rFont val="Tahoma"/>
            <family val="2"/>
          </rPr>
          <t xml:space="preserve">
Not applicable to NSP due to recovery of ITC election</t>
        </r>
      </text>
    </comment>
    <comment ref="H38" authorId="1">
      <text>
        <r>
          <rPr>
            <b/>
            <sz val="8"/>
            <color indexed="81"/>
            <rFont val="Tahoma"/>
            <family val="2"/>
          </rPr>
          <t>Authorized User:</t>
        </r>
        <r>
          <rPr>
            <sz val="8"/>
            <color indexed="81"/>
            <rFont val="Tahoma"/>
            <family val="2"/>
          </rPr>
          <t xml:space="preserve">
Plant + Non-Plant
</t>
        </r>
      </text>
    </comment>
    <comment ref="J38" authorId="0">
      <text>
        <r>
          <rPr>
            <b/>
            <sz val="8"/>
            <color indexed="81"/>
            <rFont val="Tahoma"/>
            <family val="2"/>
          </rPr>
          <t>Thomas Kramer:</t>
        </r>
        <r>
          <rPr>
            <sz val="8"/>
            <color indexed="81"/>
            <rFont val="Tahoma"/>
            <family val="2"/>
          </rPr>
          <t xml:space="preserve">
Plant and Non-Plant</t>
        </r>
      </text>
    </comment>
    <comment ref="R38" authorId="0">
      <text>
        <r>
          <rPr>
            <b/>
            <sz val="8"/>
            <color indexed="81"/>
            <rFont val="Tahoma"/>
            <family val="2"/>
          </rPr>
          <t>Thomas Kramer:</t>
        </r>
        <r>
          <rPr>
            <sz val="8"/>
            <color indexed="81"/>
            <rFont val="Tahoma"/>
            <family val="2"/>
          </rPr>
          <t xml:space="preserve">
Value must be neagative balance</t>
        </r>
      </text>
    </comment>
    <comment ref="H50" authorId="1">
      <text>
        <r>
          <rPr>
            <b/>
            <sz val="8"/>
            <color indexed="81"/>
            <rFont val="Tahoma"/>
            <family val="2"/>
          </rPr>
          <t>Authorized User:</t>
        </r>
        <r>
          <rPr>
            <sz val="8"/>
            <color indexed="81"/>
            <rFont val="Tahoma"/>
            <family val="2"/>
          </rPr>
          <t xml:space="preserve">
Plant + Non-Plant
</t>
        </r>
      </text>
    </comment>
    <comment ref="J50" authorId="0">
      <text>
        <r>
          <rPr>
            <b/>
            <sz val="8"/>
            <color indexed="81"/>
            <rFont val="Tahoma"/>
            <family val="2"/>
          </rPr>
          <t>Thomas Kramer:</t>
        </r>
        <r>
          <rPr>
            <sz val="8"/>
            <color indexed="81"/>
            <rFont val="Tahoma"/>
            <family val="2"/>
          </rPr>
          <t xml:space="preserve">
Plant and Non-Plant</t>
        </r>
      </text>
    </comment>
    <comment ref="J79" authorId="2">
      <text>
        <r>
          <rPr>
            <b/>
            <sz val="8"/>
            <color indexed="81"/>
            <rFont val="Tahoma"/>
            <family val="2"/>
          </rPr>
          <t>BOY/EOY Balance</t>
        </r>
        <r>
          <rPr>
            <sz val="8"/>
            <color indexed="81"/>
            <rFont val="Tahoma"/>
            <family val="2"/>
          </rPr>
          <t xml:space="preserve">
</t>
        </r>
      </text>
    </comment>
  </commentList>
</comments>
</file>

<file path=xl/comments2.xml><?xml version="1.0" encoding="utf-8"?>
<comments xmlns="http://schemas.openxmlformats.org/spreadsheetml/2006/main">
  <authors>
    <author>Thomas Kramer</author>
  </authors>
  <commentList>
    <comment ref="F75" authorId="0">
      <text>
        <r>
          <rPr>
            <b/>
            <sz val="8"/>
            <color indexed="81"/>
            <rFont val="Tahoma"/>
            <family val="2"/>
          </rPr>
          <t>Thomas Kramer:</t>
        </r>
        <r>
          <rPr>
            <sz val="8"/>
            <color indexed="81"/>
            <rFont val="Tahoma"/>
            <family val="2"/>
          </rPr>
          <t xml:space="preserve">
Budgeted A&amp;G Transmission related less FERC Assessment included in this balance and excluding NERC annual fee. MISO advises not to include</t>
        </r>
      </text>
    </comment>
  </commentList>
</comments>
</file>

<file path=xl/comments3.xml><?xml version="1.0" encoding="utf-8"?>
<comments xmlns="http://schemas.openxmlformats.org/spreadsheetml/2006/main">
  <authors>
    <author>Thomas Kramer</author>
  </authors>
  <commentList>
    <comment ref="F42" authorId="0">
      <text>
        <r>
          <rPr>
            <b/>
            <sz val="8"/>
            <color indexed="81"/>
            <rFont val="Tahoma"/>
            <family val="2"/>
          </rPr>
          <t>Thomas Kramer:</t>
        </r>
        <r>
          <rPr>
            <sz val="8"/>
            <color indexed="81"/>
            <rFont val="Tahoma"/>
            <family val="2"/>
          </rPr>
          <t xml:space="preserve">
Value must be negative balance</t>
        </r>
      </text>
    </comment>
  </commentList>
</comments>
</file>

<file path=xl/comments4.xml><?xml version="1.0" encoding="utf-8"?>
<comments xmlns="http://schemas.openxmlformats.org/spreadsheetml/2006/main">
  <authors>
    <author>Thomas Kramer</author>
  </authors>
  <commentList>
    <comment ref="F35" authorId="0">
      <text>
        <r>
          <rPr>
            <b/>
            <sz val="8"/>
            <color indexed="81"/>
            <rFont val="Tahoma"/>
            <family val="2"/>
          </rPr>
          <t>Thomas Kramer:</t>
        </r>
        <r>
          <rPr>
            <sz val="8"/>
            <color indexed="81"/>
            <rFont val="Tahoma"/>
            <family val="2"/>
          </rPr>
          <t xml:space="preserve">
Total Electric PIS excluding Common
and Nuc Fuel</t>
        </r>
      </text>
    </comment>
    <comment ref="F36" authorId="0">
      <text>
        <r>
          <rPr>
            <b/>
            <sz val="8"/>
            <color indexed="81"/>
            <rFont val="Tahoma"/>
            <family val="2"/>
          </rPr>
          <t>Thomas Kramer:</t>
        </r>
        <r>
          <rPr>
            <sz val="8"/>
            <color indexed="81"/>
            <rFont val="Tahoma"/>
            <family val="2"/>
          </rPr>
          <t xml:space="preserve">
Total Gas PIS excluding Common
</t>
        </r>
      </text>
    </comment>
  </commentList>
</comments>
</file>

<file path=xl/sharedStrings.xml><?xml version="1.0" encoding="utf-8"?>
<sst xmlns="http://schemas.openxmlformats.org/spreadsheetml/2006/main" count="2391" uniqueCount="1182">
  <si>
    <t xml:space="preserve">          TOTAL TRANSMISSION</t>
  </si>
  <si>
    <t>Operation and Maintenance Expenses</t>
  </si>
  <si>
    <t>Property Insurance</t>
  </si>
  <si>
    <t>Communication Equipment</t>
  </si>
  <si>
    <t>Production</t>
  </si>
  <si>
    <t xml:space="preserve"> </t>
  </si>
  <si>
    <t>Depreciation &amp;</t>
  </si>
  <si>
    <t>Amortization</t>
  </si>
  <si>
    <t>Electric</t>
  </si>
  <si>
    <t>Total Taxes Other Than Income</t>
  </si>
  <si>
    <t>Load Dispatching</t>
  </si>
  <si>
    <t>Station Expenses</t>
  </si>
  <si>
    <t>Overhead Line Expenses</t>
  </si>
  <si>
    <t xml:space="preserve">     Total Operation</t>
  </si>
  <si>
    <t>MAINTENANCE</t>
  </si>
  <si>
    <t xml:space="preserve">     Total Maintenance</t>
  </si>
  <si>
    <t>Percentage</t>
  </si>
  <si>
    <t>Administration and General Salaries</t>
  </si>
  <si>
    <t>Office Supplies and Expense</t>
  </si>
  <si>
    <t>Administrative Expense Transferred</t>
  </si>
  <si>
    <t>Outside Service Employed</t>
  </si>
  <si>
    <t>May</t>
  </si>
  <si>
    <t>No.</t>
  </si>
  <si>
    <t>Total</t>
  </si>
  <si>
    <t>Transmission</t>
  </si>
  <si>
    <t>Distribution</t>
  </si>
  <si>
    <t>General</t>
  </si>
  <si>
    <t>1</t>
  </si>
  <si>
    <t>Gross Plant in Service</t>
  </si>
  <si>
    <t>13 Month Average</t>
  </si>
  <si>
    <t>Total Average</t>
  </si>
  <si>
    <t xml:space="preserve">Plant in </t>
  </si>
  <si>
    <t>Service</t>
  </si>
  <si>
    <t>Description</t>
  </si>
  <si>
    <t xml:space="preserve">     ADMINISTRATION AND GENERAL</t>
  </si>
  <si>
    <t>Station Equipment</t>
  </si>
  <si>
    <t>Total Depreciation and Amortization Expense</t>
  </si>
  <si>
    <t>FERC Annual Charges</t>
  </si>
  <si>
    <t>Weighted</t>
  </si>
  <si>
    <t>Cost</t>
  </si>
  <si>
    <t>Supervision and Engineering</t>
  </si>
  <si>
    <t>Labor Related</t>
  </si>
  <si>
    <t>Adjustments</t>
  </si>
  <si>
    <t xml:space="preserve">  </t>
  </si>
  <si>
    <t>OPERATION</t>
  </si>
  <si>
    <t>Prepayments</t>
  </si>
  <si>
    <t>Line</t>
  </si>
  <si>
    <t>February</t>
  </si>
  <si>
    <t>March</t>
  </si>
  <si>
    <t>April</t>
  </si>
  <si>
    <t>June</t>
  </si>
  <si>
    <t>July</t>
  </si>
  <si>
    <t>August</t>
  </si>
  <si>
    <t>September</t>
  </si>
  <si>
    <t>October</t>
  </si>
  <si>
    <t>November</t>
  </si>
  <si>
    <t>Account</t>
  </si>
  <si>
    <t>Intangible</t>
  </si>
  <si>
    <t>Injury and Damages</t>
  </si>
  <si>
    <t>Employee Pensions and Benefits</t>
  </si>
  <si>
    <t>Duplicate Charges</t>
  </si>
  <si>
    <t>Maintenance General Plant</t>
  </si>
  <si>
    <t>Transmission of Electricity by Others</t>
  </si>
  <si>
    <t>Depreciation and Amortization Expense</t>
  </si>
  <si>
    <t xml:space="preserve">Account </t>
  </si>
  <si>
    <t>Balance</t>
  </si>
  <si>
    <t>Less Exsclusions</t>
  </si>
  <si>
    <t>Operation Supervision</t>
  </si>
  <si>
    <t>Ancillary Serv Mkt Admin</t>
  </si>
  <si>
    <t>Mkt Monitoring/Compliance</t>
  </si>
  <si>
    <t>Regional Market Rents</t>
  </si>
  <si>
    <t xml:space="preserve">           InterChange</t>
  </si>
  <si>
    <t>Construction Work in Progress</t>
  </si>
  <si>
    <t>Chisago</t>
  </si>
  <si>
    <t>BRIGO</t>
  </si>
  <si>
    <t>Apple River</t>
  </si>
  <si>
    <t>CapX 2020</t>
  </si>
  <si>
    <t>Key Assumptions:</t>
  </si>
  <si>
    <t>For each project, where CWIP is to be recovered in rate base, CWIP will be estimated and the totals reported below.</t>
  </si>
  <si>
    <t>The State Commission Approved Certificate of Need Date will be the first month that the CWIP project will be included in the formula and used to calculate the 13 month average.</t>
  </si>
  <si>
    <t>AFUDC will be capitalized for projects where CWIP is included in rate base and will be reported in the FERC Form No. 1.</t>
  </si>
  <si>
    <t>Pre-Funded AFUDC will be recorded and included in the formula as an offset to rate base for those projects recovered in rate base, to ensure no double recovery.</t>
  </si>
  <si>
    <t>State Commission Approved Certificate of Need Date</t>
  </si>
  <si>
    <t>Estimated In-Service Date</t>
  </si>
  <si>
    <t>Per Book Construction Work in Progress Balances</t>
  </si>
  <si>
    <t>Construction Work in Progress Balances in Formula</t>
  </si>
  <si>
    <t>CWIP</t>
  </si>
  <si>
    <t xml:space="preserve">Allocated to Transmission based on </t>
  </si>
  <si>
    <t>SubTotal</t>
  </si>
  <si>
    <t>General &amp;</t>
  </si>
  <si>
    <t xml:space="preserve">General &amp; </t>
  </si>
  <si>
    <t>BOY/EOY Average</t>
  </si>
  <si>
    <t>Net BOY/EOY Average</t>
  </si>
  <si>
    <t>Workpapers Pursuant to the Annual Rate</t>
  </si>
  <si>
    <t>Calculation and True-Up Procedures</t>
  </si>
  <si>
    <t>All Other</t>
  </si>
  <si>
    <t>see below</t>
  </si>
  <si>
    <t>Account 282 - ADIT</t>
  </si>
  <si>
    <t xml:space="preserve">Transmission Plant Balance </t>
  </si>
  <si>
    <t>Divisor (kW)</t>
  </si>
  <si>
    <t>Plus:</t>
  </si>
  <si>
    <t>System Peak</t>
  </si>
  <si>
    <t>Network</t>
  </si>
  <si>
    <t>Load</t>
  </si>
  <si>
    <t>Divisor</t>
  </si>
  <si>
    <t>12 Month Average</t>
  </si>
  <si>
    <t>April 2009</t>
  </si>
  <si>
    <t>Gross Receipts (1)</t>
  </si>
  <si>
    <t>Other (1)</t>
  </si>
  <si>
    <t>(1) NSP M does not budget Gross Receipts Tax or Other Tax</t>
  </si>
  <si>
    <t>Transmission Plant Included in OATT Ancillary Services (Step Up Generation)</t>
  </si>
  <si>
    <t>Other (excludes A&amp;G)</t>
  </si>
  <si>
    <t>Accum Def ITC</t>
  </si>
  <si>
    <t xml:space="preserve">Northern States Power Company-MN </t>
  </si>
  <si>
    <t xml:space="preserve">Northern States Power Company - WI </t>
  </si>
  <si>
    <t xml:space="preserve">Long-Term Debt </t>
  </si>
  <si>
    <t xml:space="preserve">Common Equity </t>
  </si>
  <si>
    <t xml:space="preserve">Total Northern States Power - WI </t>
  </si>
  <si>
    <t xml:space="preserve">Total Northern States Power - MN </t>
  </si>
  <si>
    <t xml:space="preserve">Taxes Other Than Income Taxes </t>
  </si>
  <si>
    <t xml:space="preserve">Transmission Plant Included in ISO Rates Allocation Factor (TP) </t>
  </si>
  <si>
    <t xml:space="preserve">Transmission Expense Allocation Factor (TE) </t>
  </si>
  <si>
    <t xml:space="preserve">Wages &amp; Salaries Allocation Factor (W/S) </t>
  </si>
  <si>
    <t xml:space="preserve">Common Plant Allocation Factor (CE) </t>
  </si>
  <si>
    <t>NET REVENUE REQUIREMENT</t>
  </si>
  <si>
    <t xml:space="preserve">  Average of 12 coincident system peaks for requirements (RQ) service       </t>
  </si>
  <si>
    <t xml:space="preserve">  Plus 12 CP of Network Load not in line 8</t>
  </si>
  <si>
    <t xml:space="preserve">  Plus Contract Demand of firm P-T-P over one year</t>
  </si>
  <si>
    <t>Divisor (sum lines 8-14)</t>
  </si>
  <si>
    <t>Annual Cost ($/kW/Yr)</t>
  </si>
  <si>
    <t>Historic Year Actual Divisor</t>
  </si>
  <si>
    <t>Projected Year Divisor</t>
  </si>
  <si>
    <t>Difference between Historic &amp; Projected Year Divisor</t>
  </si>
  <si>
    <t>Prior Year Projected Annual Cost ($ per kw per yr.)</t>
  </si>
  <si>
    <t>Projected Year Divisor True-up (Difference * Prior Year Projected Annual Cost)</t>
  </si>
  <si>
    <t>Total True Level</t>
  </si>
  <si>
    <t>Proof (Annual Cost Difference x Actual Volumes)</t>
  </si>
  <si>
    <t>Immaterial diff</t>
  </si>
  <si>
    <t>To Attachment O line items 6a, 6b, 6c and 6d</t>
  </si>
  <si>
    <t xml:space="preserve">Total True Up Level </t>
  </si>
  <si>
    <t>Interest Calculation With Quarterly Compounding</t>
  </si>
  <si>
    <t>Interest</t>
  </si>
  <si>
    <t>Cumulative Interest</t>
  </si>
  <si>
    <t>Average Rate for 19 months</t>
  </si>
  <si>
    <t>Prior Year True Up Calculation</t>
  </si>
  <si>
    <t>Prior Year True Up Interest Calculation</t>
  </si>
  <si>
    <t>MISO</t>
  </si>
  <si>
    <t>Prefunded Amort</t>
  </si>
  <si>
    <t>Transmission Plant Excluded from ISO Rates</t>
  </si>
  <si>
    <t xml:space="preserve">Revenue </t>
  </si>
  <si>
    <t>Line No.</t>
  </si>
  <si>
    <t>Credits</t>
  </si>
  <si>
    <t>PTP - Firm</t>
  </si>
  <si>
    <t>Firm Transmission</t>
  </si>
  <si>
    <t>GFA's</t>
  </si>
  <si>
    <t>PTP - Non Firm</t>
  </si>
  <si>
    <t>Sch 1-Sch, Sys Ctrl &amp; D</t>
  </si>
  <si>
    <t>Sch 2 - Reactive Supply</t>
  </si>
  <si>
    <t>Total NSP Revenue</t>
  </si>
  <si>
    <t>Attachment O</t>
  </si>
  <si>
    <t>Line 35</t>
  </si>
  <si>
    <t>Line 36</t>
  </si>
  <si>
    <t>Total Revenue Credits not in divisor</t>
  </si>
  <si>
    <t>Line 37</t>
  </si>
  <si>
    <t>Line 36a</t>
  </si>
  <si>
    <t>Transmission charges for all transactions</t>
  </si>
  <si>
    <t>Transmission charges for all transactions in divisor</t>
  </si>
  <si>
    <t>Transmission charges associated with Sch 26</t>
  </si>
  <si>
    <t>Revenue Credits - MISO Review Copy</t>
  </si>
  <si>
    <t>Account 447 - Sales for Resale (Note Q)</t>
  </si>
  <si>
    <t>a.</t>
  </si>
  <si>
    <t>Bundled Non-RQ Sales for Resale</t>
  </si>
  <si>
    <t>b.</t>
  </si>
  <si>
    <t>Bundled Sales for Resale included in the Divisor</t>
  </si>
  <si>
    <t>Total Account 447</t>
  </si>
  <si>
    <t>Account 454 - Rent From Electric Property</t>
  </si>
  <si>
    <t>Transmission-Related Rent (JDE 801698.517900)</t>
  </si>
  <si>
    <t>Account 456 - Other Electric Revenue</t>
  </si>
  <si>
    <t>Transmission charges for all transmission transactions</t>
  </si>
  <si>
    <t>Transmission charges for al transmission transactions</t>
  </si>
  <si>
    <t>c.</t>
  </si>
  <si>
    <t>Transmission charges associated with Schedule 26</t>
  </si>
  <si>
    <t>Total Account 456</t>
  </si>
  <si>
    <t>Note Q:</t>
  </si>
  <si>
    <t>Revenue  Credits</t>
  </si>
  <si>
    <t>in Account No. 456.1 and all other uses are to be included in the divisor.</t>
  </si>
  <si>
    <t>Line 33 must equal zero since all short-term power sales must be unbundled and the transmission component reflected</t>
  </si>
  <si>
    <t xml:space="preserve">   Included in the Divisor </t>
  </si>
  <si>
    <t>Net Volume Change Under Recovery</t>
  </si>
  <si>
    <t>50% NSP Pricing Zone Share</t>
  </si>
  <si>
    <t>Shared Cost</t>
  </si>
  <si>
    <t>Yankee (Colvill) Gen Station</t>
  </si>
  <si>
    <t>Cannon Falls</t>
  </si>
  <si>
    <t>Nobles Gen Station</t>
  </si>
  <si>
    <t>St. Cloud / Sauk River</t>
  </si>
  <si>
    <t>Attachment GG Projects</t>
  </si>
  <si>
    <t>GRE Load</t>
  </si>
  <si>
    <t xml:space="preserve">Less: </t>
  </si>
  <si>
    <t xml:space="preserve">          TOTAL ADMINISTRATIVE AND GENERAL</t>
  </si>
  <si>
    <t>Less:  FERC Annual Charges</t>
  </si>
  <si>
    <t xml:space="preserve">Less:  EPRI Dues Charged to A&amp;G </t>
  </si>
  <si>
    <t>Less:  Regulatory Commission Expense (excluding FERC Annual)</t>
  </si>
  <si>
    <t>Less:  Non-Safety Advertising Expense</t>
  </si>
  <si>
    <t>Refund Obligation</t>
  </si>
  <si>
    <t>Less Exclusions</t>
  </si>
  <si>
    <t>Contracts - WPPI</t>
  </si>
  <si>
    <t>Contracts - UPA</t>
  </si>
  <si>
    <t>Contracts - UND</t>
  </si>
  <si>
    <t>Contracts - Granite Falls</t>
  </si>
  <si>
    <t>Contracts - EGF</t>
  </si>
  <si>
    <t>*</t>
  </si>
  <si>
    <t xml:space="preserve">* These revenues are not credited back as the costs associated with them is not included in the Revenue Requirement calculation. </t>
  </si>
  <si>
    <t>Plus Trans Related Reg. Comm. Exp.</t>
  </si>
  <si>
    <t>Less:  SFAS 109 Deferred Taxes (budget #'s exclude 109)</t>
  </si>
  <si>
    <t>G349  37774-01 Upgrades for G349</t>
  </si>
  <si>
    <t>Ulik Wind Farm (G185)</t>
  </si>
  <si>
    <t>Prefunded Amortization at Total Company level, reported herein on NSP Mn section</t>
  </si>
  <si>
    <t>Total Sch 26 includes true-up</t>
  </si>
  <si>
    <t>Attachment GG</t>
  </si>
  <si>
    <t>MISO Schedule 10 Passthrough</t>
  </si>
  <si>
    <t>Network - Whls</t>
  </si>
  <si>
    <t>Sch 1 - Sch, Sys Ctrl &amp; D</t>
  </si>
  <si>
    <t>Sch 1 - Sch, Sys Ctrl &amp; D - Whls</t>
  </si>
  <si>
    <t>Sch 2 - Reactive Supply - Whls</t>
  </si>
  <si>
    <t>Sch 24 - Bal Auth</t>
  </si>
  <si>
    <t>Other RTO GFA Revenue</t>
  </si>
  <si>
    <t>Joint Pricing Zone - GRE</t>
  </si>
  <si>
    <t>Joint Pricing Zone - SMMPA</t>
  </si>
  <si>
    <t>Facilities</t>
  </si>
  <si>
    <t>GRE Cr Lk Facilities</t>
  </si>
  <si>
    <t>GRE 500kV tsmn O&amp;M</t>
  </si>
  <si>
    <t>JPZ</t>
  </si>
  <si>
    <t>Done</t>
  </si>
  <si>
    <t>The LaCrosse project within the CapX 2020 series of projects is managed by NSP Mn and therefore all cost information is included in NSP Mn section above</t>
  </si>
  <si>
    <t>Various</t>
  </si>
  <si>
    <t>Total Project Cost</t>
  </si>
  <si>
    <t>Attachment GG Revenue Requirement</t>
  </si>
  <si>
    <t>Attachment MM Revenue Requirement</t>
  </si>
  <si>
    <t>Trans Expansion Plan Att GG</t>
  </si>
  <si>
    <t>Transmission charges associated with Sch 26a</t>
  </si>
  <si>
    <t>Brookings CWIP</t>
  </si>
  <si>
    <t>Attachment MM Projects</t>
  </si>
  <si>
    <t>Line 36b</t>
  </si>
  <si>
    <t>Attachment MM</t>
  </si>
  <si>
    <t>G809 Network Upgrades</t>
  </si>
  <si>
    <t>G417 Network Upgrades</t>
  </si>
  <si>
    <t>G362 Pleasant Valley - Byron</t>
  </si>
  <si>
    <t>Glenco - West Waconia</t>
  </si>
  <si>
    <t>Net Revenue Requirement Under Recovery</t>
  </si>
  <si>
    <t>PIS Only</t>
  </si>
  <si>
    <t>December 2014</t>
  </si>
  <si>
    <t>January 2014</t>
  </si>
  <si>
    <t>July 2013</t>
  </si>
  <si>
    <t>1st Qtr 2013</t>
  </si>
  <si>
    <t>2nd Qtr 2013</t>
  </si>
  <si>
    <t>3rd Qtr 2013</t>
  </si>
  <si>
    <t>4th Qtr 2013</t>
  </si>
  <si>
    <t>FERC Rate</t>
  </si>
  <si>
    <t>Interest Rate (@ FERC Refund Rate)</t>
  </si>
  <si>
    <t>Attachment GG Actual Revenue Requirement 2014</t>
  </si>
  <si>
    <t>Attachment MM Actual Revenue Requirement 2014</t>
  </si>
  <si>
    <t>Total Sch 26A includes true-up</t>
  </si>
  <si>
    <t>Trans Expansion Plan Att MM Brookings</t>
  </si>
  <si>
    <t>Marshall TOPS</t>
  </si>
  <si>
    <t>historic 2012 FF1 M&amp;S and Prepayments</t>
  </si>
  <si>
    <t>Est. Trans Plant Pg 227, ln 8-c</t>
  </si>
  <si>
    <t>Total 154 Pg 227, ln 12-c</t>
  </si>
  <si>
    <t>Electric Pg 200, ln 15-c</t>
  </si>
  <si>
    <t>Gas Pg 201, ln 15-d</t>
  </si>
  <si>
    <t xml:space="preserve"> Elec % of total</t>
  </si>
  <si>
    <t>1366</t>
  </si>
  <si>
    <t>1456</t>
  </si>
  <si>
    <t>1457</t>
  </si>
  <si>
    <t>1953</t>
  </si>
  <si>
    <t>279</t>
  </si>
  <si>
    <t>1458</t>
  </si>
  <si>
    <t>2765</t>
  </si>
  <si>
    <t>2109</t>
  </si>
  <si>
    <t>2119</t>
  </si>
  <si>
    <t>2178</t>
  </si>
  <si>
    <t>1285</t>
  </si>
  <si>
    <t>3312</t>
  </si>
  <si>
    <t>3317</t>
  </si>
  <si>
    <t xml:space="preserve">Bemidji </t>
  </si>
  <si>
    <t xml:space="preserve">Twin Cities - Fargo </t>
  </si>
  <si>
    <t xml:space="preserve">Twin Cities - Rochester </t>
  </si>
  <si>
    <t>Mn Valley Kerkhoven</t>
  </si>
  <si>
    <t>Kohlman Lake Goose Lake</t>
  </si>
  <si>
    <t>1203</t>
  </si>
  <si>
    <t>Brookings PIS</t>
  </si>
  <si>
    <t>from 2014 GG</t>
  </si>
  <si>
    <t>from 2014 MM</t>
  </si>
  <si>
    <t>3104</t>
  </si>
  <si>
    <t>Wilmarth Sub</t>
  </si>
  <si>
    <t>FY 2014</t>
  </si>
  <si>
    <t>CAPX2020 - Bemidji - GG</t>
  </si>
  <si>
    <t>Rate Base</t>
  </si>
  <si>
    <t>Plus CWIP Ending Balance</t>
  </si>
  <si>
    <t>Plus Plant In-Service</t>
  </si>
  <si>
    <t>Less Book Depreciation Reserve</t>
  </si>
  <si>
    <t>Plus Book Depreciation</t>
  </si>
  <si>
    <t>CAPX2020 - La Crosse MISO WI GG</t>
  </si>
  <si>
    <t>Lax Tot Dep</t>
  </si>
  <si>
    <t>CAPX2020 - La Crosse MISO GG</t>
  </si>
  <si>
    <t>CAPX2020 - Fargo - GG</t>
  </si>
  <si>
    <t xml:space="preserve">CAPX2020 - Brookings - MM </t>
  </si>
  <si>
    <t>Report Groupings</t>
  </si>
  <si>
    <t>13 Mo Ave</t>
  </si>
  <si>
    <t xml:space="preserve">          Bemidji         MISO Project 279     CWIP</t>
  </si>
  <si>
    <t xml:space="preserve">          Bemidji         MISO Project 279     PIS</t>
  </si>
  <si>
    <t xml:space="preserve">          Bemidji         MISO Project 279     Tot Plant</t>
  </si>
  <si>
    <t xml:space="preserve">          Bemidji         MISO Project 279     Net Plant</t>
  </si>
  <si>
    <t xml:space="preserve">          Fargo           MISO Project 286     CWIP</t>
  </si>
  <si>
    <t xml:space="preserve">          Fargo           MISO Project 286     PIS</t>
  </si>
  <si>
    <t xml:space="preserve">          Fargo           MISO Project 286     Plant</t>
  </si>
  <si>
    <t xml:space="preserve">          Fargo           MISO Project 286     Net PIS </t>
  </si>
  <si>
    <t xml:space="preserve">          Lacrosse       MISO Project 1024    CWIP</t>
  </si>
  <si>
    <t xml:space="preserve">          Lacrosse       MISO Project 1024    PIS</t>
  </si>
  <si>
    <t xml:space="preserve">          Lacrosse       MISO Project 1024    Tot Plant</t>
  </si>
  <si>
    <t xml:space="preserve">          Lacrosse       MISO Project 1024    Net Plant</t>
  </si>
  <si>
    <t xml:space="preserve">          Brookings     CWIP</t>
  </si>
  <si>
    <t xml:space="preserve">          Brookings     PIS</t>
  </si>
  <si>
    <t xml:space="preserve">          Brookings     Gross Plant</t>
  </si>
  <si>
    <t xml:space="preserve">          Brookings     Accum Res</t>
  </si>
  <si>
    <t>CAPX2020 - La Crosse Local</t>
  </si>
  <si>
    <t>Attachment O CWIP Report Summary</t>
  </si>
  <si>
    <t xml:space="preserve">     Bemidji</t>
  </si>
  <si>
    <t xml:space="preserve">     Lacrosse</t>
  </si>
  <si>
    <t xml:space="preserve">     Fargo</t>
  </si>
  <si>
    <t xml:space="preserve">     Brookings</t>
  </si>
  <si>
    <t xml:space="preserve">          CapX 2020</t>
  </si>
  <si>
    <t>Total GG &amp; MM PIS</t>
  </si>
  <si>
    <t>*  Includes 13-Mo Avg CWIP is provided for these projects.</t>
  </si>
  <si>
    <t>286 *</t>
  </si>
  <si>
    <t>1024 *</t>
  </si>
  <si>
    <t>Source Input File:</t>
  </si>
  <si>
    <t xml:space="preserve">Trans Expansion Plan </t>
  </si>
  <si>
    <t>Budgeted 12 Months Ended December 31, 2015</t>
  </si>
  <si>
    <t>2015 Workpapers</t>
  </si>
  <si>
    <t>December 2015</t>
  </si>
  <si>
    <t>January 2015</t>
  </si>
  <si>
    <t xml:space="preserve">August </t>
  </si>
  <si>
    <t xml:space="preserve">September </t>
  </si>
  <si>
    <t xml:space="preserve">October </t>
  </si>
  <si>
    <t xml:space="preserve">November </t>
  </si>
  <si>
    <t xml:space="preserve">December </t>
  </si>
  <si>
    <t xml:space="preserve">February </t>
  </si>
  <si>
    <t xml:space="preserve">March </t>
  </si>
  <si>
    <t xml:space="preserve">April </t>
  </si>
  <si>
    <t xml:space="preserve">May </t>
  </si>
  <si>
    <t xml:space="preserve">June </t>
  </si>
  <si>
    <t>July 2014</t>
  </si>
  <si>
    <t>historic 2013 FF1 M&amp;S and Prepayments</t>
  </si>
  <si>
    <t xml:space="preserve">NSP Mn 2013 FF1 </t>
  </si>
  <si>
    <t xml:space="preserve">NSP Wi 2013 FF1 </t>
  </si>
  <si>
    <t>Actual 2013</t>
  </si>
  <si>
    <t>Budget 2013</t>
  </si>
  <si>
    <t>1st Qtr 2014</t>
  </si>
  <si>
    <t>2nd Qtr 2014</t>
  </si>
  <si>
    <t>3rd Qtr 2014</t>
  </si>
  <si>
    <t>4th Qtr 2014</t>
  </si>
  <si>
    <t>Interest form Jan 1, 2012 the Dec 31, 2013</t>
  </si>
  <si>
    <t>FY 2015</t>
  </si>
  <si>
    <t>Total 2015</t>
  </si>
  <si>
    <t>MN TCR RR Calculations - 2015-2019 Budget_071114.xls</t>
  </si>
  <si>
    <t xml:space="preserve">Source Input File: </t>
  </si>
  <si>
    <t>A</t>
  </si>
  <si>
    <t>B</t>
  </si>
  <si>
    <t>A-B</t>
  </si>
  <si>
    <t>Prefunded Balance</t>
  </si>
  <si>
    <t xml:space="preserve">Total Amount Booked </t>
  </si>
  <si>
    <t>Less Prefunded on CWIP</t>
  </si>
  <si>
    <t>Prefunded included in Attachment O</t>
  </si>
  <si>
    <t>The CWIP cost information included in the Attachment is based upon expenditures and</t>
  </si>
  <si>
    <t>does not include AFUDC or Prefunded AFUDC. Therefor the CWIP related Pre-funded AFUDC</t>
  </si>
  <si>
    <t xml:space="preserve">is not included in the Adjustment to Rate Base. </t>
  </si>
  <si>
    <t>3375</t>
  </si>
  <si>
    <t>Courdry Osprey</t>
  </si>
  <si>
    <t>CWIP Only</t>
  </si>
  <si>
    <t>Attachment O-NSP</t>
  </si>
  <si>
    <t>Page 1 of 5</t>
  </si>
  <si>
    <t xml:space="preserve">Formula Rate - Non-Levelized </t>
  </si>
  <si>
    <t xml:space="preserve">     Rate Formula Template</t>
  </si>
  <si>
    <t>For the 12 months ended 12/31/2015</t>
  </si>
  <si>
    <t xml:space="preserve"> Utilizing FERC Form 1 Data</t>
  </si>
  <si>
    <t>Northern States Power Companies</t>
  </si>
  <si>
    <t>Allocated</t>
  </si>
  <si>
    <t>Amount</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</si>
  <si>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</si>
  <si>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</si>
  <si>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</si>
  <si>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</si>
  <si>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</si>
  <si>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</si>
  <si>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</si>
  <si>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</si>
  <si>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</si>
  <si>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</si>
  <si>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Gross Plant</t>
  </si>
  <si>
    <t xml:space="preserve">  Revenues from service provided by the ISO at a discount</t>
  </si>
  <si>
    <t>In-Service</t>
  </si>
  <si>
    <t xml:space="preserve">Requirement </t>
  </si>
  <si>
    <t>TOTAL REVENUE CREDITS  (sum lines 2-5)</t>
  </si>
  <si>
    <t>Control Area</t>
  </si>
  <si>
    <t>Attach GG/MM</t>
  </si>
  <si>
    <t>Attach O</t>
  </si>
  <si>
    <t>Allocation</t>
  </si>
  <si>
    <t>GRE-NSP</t>
  </si>
  <si>
    <t>6a</t>
  </si>
  <si>
    <t>Historic Year Actual ATRR</t>
  </si>
  <si>
    <t>NSP-NSP</t>
  </si>
  <si>
    <t>6b</t>
  </si>
  <si>
    <t>Projected ATRR from Prior Year</t>
  </si>
  <si>
    <t>Input from Prior Year</t>
  </si>
  <si>
    <t>6c</t>
  </si>
  <si>
    <t>Prior Year ATRR True-Up</t>
  </si>
  <si>
    <t>(line 6a - line 6b)</t>
  </si>
  <si>
    <t>6d</t>
  </si>
  <si>
    <t>Prior Year Divisor True-Up</t>
  </si>
  <si>
    <t>(Note Z)</t>
  </si>
  <si>
    <t>6e</t>
  </si>
  <si>
    <t>Interest on Prior Year True-Up</t>
  </si>
  <si>
    <t>(line 1 - line 6 + line 6c through 6e)</t>
  </si>
  <si>
    <t xml:space="preserve">DIVISOR </t>
  </si>
  <si>
    <t>Net plant in GRE</t>
  </si>
  <si>
    <t>gross plant in GRE</t>
  </si>
  <si>
    <t xml:space="preserve">  Average of 12 coincident system peaks for requirements (RQ) service</t>
  </si>
  <si>
    <t>(Note A)</t>
  </si>
  <si>
    <t>% of net plant in GRE</t>
  </si>
  <si>
    <t>% of gross plant in GRE</t>
  </si>
  <si>
    <t xml:space="preserve">  Plus 12 CP of firm bundled sales over one year not in line 8</t>
  </si>
  <si>
    <t>(Note B)</t>
  </si>
  <si>
    <t>GRE load in Divisor</t>
  </si>
  <si>
    <t>(Note C)</t>
  </si>
  <si>
    <t>RR</t>
  </si>
  <si>
    <t xml:space="preserve">  Less 12 CP of firm P-T-P over one year (enter negative)</t>
  </si>
  <si>
    <t>(Note D)</t>
  </si>
  <si>
    <t xml:space="preserve">  Less Contract Demand from Grandfathered Interzonal Transactions over one year (enter negative)  (Note S)</t>
  </si>
  <si>
    <t xml:space="preserve">  Less Contract Demands from service over one year provided by ISO at a discount (enter negative)</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</si>
  <si>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</si>
  <si>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</si>
  <si>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</si>
  <si>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</si>
  <si>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</si>
  <si>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</si>
  <si>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</si>
  <si>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</si>
  <si>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</si>
  <si>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</si>
  <si>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</si>
  <si>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</si>
  <si>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</si>
  <si>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</si>
  <si>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 xml:space="preserve"> and daily rates</t>
  </si>
  <si>
    <t>FERC Annual Charge ($/MWh)</t>
  </si>
  <si>
    <t>(Note E)</t>
  </si>
  <si>
    <t>Short Term</t>
  </si>
  <si>
    <t>Long Term</t>
  </si>
  <si>
    <t>Page 2 of 5</t>
  </si>
  <si>
    <t>(1)</t>
  </si>
  <si>
    <t>(2)</t>
  </si>
  <si>
    <t>(3)</t>
  </si>
  <si>
    <t>(4)</t>
  </si>
  <si>
    <t>(5)</t>
  </si>
  <si>
    <t>Form No. 1</t>
  </si>
  <si>
    <t>Minnesota</t>
  </si>
  <si>
    <t>Wisconsin</t>
  </si>
  <si>
    <t>Page, Line, Col.</t>
  </si>
  <si>
    <t>Company Total</t>
  </si>
  <si>
    <t xml:space="preserve">                  Allocator</t>
  </si>
  <si>
    <t>(Col 3 times Col 4)</t>
  </si>
  <si>
    <t>RATE BASE:</t>
  </si>
  <si>
    <t>GROSS PLANT IN SERVICE  (Note X, Note EE)</t>
  </si>
  <si>
    <t xml:space="preserve">  Production</t>
  </si>
  <si>
    <t>205.46.g</t>
  </si>
  <si>
    <t>NA</t>
  </si>
  <si>
    <t xml:space="preserve">  Transmission</t>
  </si>
  <si>
    <t>207.58.g</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</si>
  <si>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</si>
  <si>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</si>
  <si>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</si>
  <si>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</si>
  <si>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</si>
  <si>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</si>
  <si>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</si>
  <si>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</si>
  <si>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</si>
  <si>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</si>
  <si>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X, Note EE)</t>
  </si>
  <si>
    <t>219.20-24.c</t>
  </si>
  <si>
    <t>219.25.c</t>
  </si>
  <si>
    <t>219.26.c</t>
  </si>
  <si>
    <t>219.28.c &amp; 200.21.c</t>
  </si>
  <si>
    <t>TOTAL ACCUM. DEPRECIATION  (sum lines 7-11)</t>
  </si>
  <si>
    <t>NET PLANT IN SERVICE  (Note X)</t>
  </si>
  <si>
    <t>(line 1- line 7)</t>
  </si>
  <si>
    <t>(line 2 - line 8)</t>
  </si>
  <si>
    <t>(line 3 - line 9)</t>
  </si>
  <si>
    <t>(line 4 - line 10)</t>
  </si>
  <si>
    <t>(line 5 - line 11)</t>
  </si>
  <si>
    <t>TOTAL NET PLANT  (sum lines 13-17)</t>
  </si>
  <si>
    <t>NP=</t>
  </si>
  <si>
    <t>18a</t>
  </si>
  <si>
    <t>CWIP for Certificate of Need Projects   (Note X)</t>
  </si>
  <si>
    <t>216.b</t>
  </si>
  <si>
    <t xml:space="preserve">ADJUSTMENTS TO RATE BASE       </t>
  </si>
  <si>
    <t xml:space="preserve">  Account No. 281 (enter negative)  (Note F,  Note Y)</t>
  </si>
  <si>
    <t>273.8.k</t>
  </si>
  <si>
    <t>zero</t>
  </si>
  <si>
    <t xml:space="preserve">  Account No. 282 (enter negative)  (Note F,  Note Y)</t>
  </si>
  <si>
    <t>275.2.k</t>
  </si>
  <si>
    <t>NP</t>
  </si>
  <si>
    <t xml:space="preserve">  Account No. 283 (enter negative)  (Note F,  Note Y)</t>
  </si>
  <si>
    <t>277.9.k</t>
  </si>
  <si>
    <t xml:space="preserve">  Account No. 190                            (Note F,  Note Y) </t>
  </si>
  <si>
    <t>234.8.c</t>
  </si>
  <si>
    <t xml:space="preserve">  Account No. 255 (enter negative)  (Note F,  Note Y)</t>
  </si>
  <si>
    <t>267.8.h</t>
  </si>
  <si>
    <t>23a</t>
  </si>
  <si>
    <t xml:space="preserve">  Net Prefunded AFUDC on CWIP Included in Rate Base</t>
  </si>
  <si>
    <t>(Note W, Note X)</t>
  </si>
  <si>
    <t>23b</t>
  </si>
  <si>
    <t xml:space="preserve">  Unamortized Balance of Abandoned Plant</t>
  </si>
  <si>
    <t>TOTAL ADJUSTMENTS  (sum lines 19- 23b)</t>
  </si>
  <si>
    <t xml:space="preserve">LAND HELD FOR FUTURE USE  (Note Y)         </t>
  </si>
  <si>
    <t>214.x.d  (Note G)</t>
  </si>
  <si>
    <t>WORKING CAPITAL  (Note H)</t>
  </si>
  <si>
    <t xml:space="preserve">  CWC  </t>
  </si>
  <si>
    <t>calculated</t>
  </si>
  <si>
    <t xml:space="preserve">  Materials &amp; Supplies  (Note G, Note Y)               </t>
  </si>
  <si>
    <t>227.8.c &amp; .16.c</t>
  </si>
  <si>
    <t>TE</t>
  </si>
  <si>
    <t xml:space="preserve">  Prepayments  (Account 165, Note Y)                  </t>
  </si>
  <si>
    <t>111.57.c</t>
  </si>
  <si>
    <t>GP</t>
  </si>
  <si>
    <t>TOTAL WORKING CAPITAL  (sum lines 26 - 28)</t>
  </si>
  <si>
    <t>RATE BASE  (sum lines 18, 18a, 24, 25, &amp; 29)</t>
  </si>
  <si>
    <t>Page 3 of 5</t>
  </si>
  <si>
    <t>O&amp;M  (Note FF)</t>
  </si>
  <si>
    <t xml:space="preserve">  Transmission </t>
  </si>
  <si>
    <t>321.112.b</t>
  </si>
  <si>
    <t>Interchange</t>
  </si>
  <si>
    <t>1a</t>
  </si>
  <si>
    <t xml:space="preserve">     Less LSE Expenses included in Transmission O&amp;M Accounts  (Note V)</t>
  </si>
  <si>
    <t>(this may be in 565)</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</si>
  <si>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</si>
  <si>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</si>
  <si>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</si>
  <si>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</si>
  <si>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</si>
  <si>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</si>
  <si>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</si>
  <si>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</si>
  <si>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Based off historic</t>
  </si>
  <si>
    <t xml:space="preserve">  Transmission Lease Payments</t>
  </si>
  <si>
    <t>TOTAL O&amp;M  (sum lines 1, 3, 5a, 6, 7 less lines 1a, 2, 4, 5)</t>
  </si>
  <si>
    <t>DEPRECIATION AND AMORTIZATION EXPENSE (Note EE)</t>
  </si>
  <si>
    <t>336.7.b</t>
  </si>
  <si>
    <t>9a</t>
  </si>
  <si>
    <t xml:space="preserve">  Prefunded AFUDC Amortization</t>
  </si>
  <si>
    <t>(Note W)</t>
  </si>
  <si>
    <t>9b</t>
  </si>
  <si>
    <t xml:space="preserve">  Abandoned Plant Amortization</t>
  </si>
  <si>
    <t>336.10.f &amp; 336.1.f</t>
  </si>
  <si>
    <t xml:space="preserve">  Common &amp; Intangible</t>
  </si>
  <si>
    <t>336.11.b &amp; 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</si>
  <si>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</si>
  <si>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</si>
  <si>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</si>
  <si>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</si>
  <si>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</si>
  <si>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</si>
  <si>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</si>
  <si>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</si>
  <si>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</si>
  <si>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</si>
  <si>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</si>
  <si>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</si>
  <si>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</si>
  <si>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</si>
  <si>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</si>
  <si>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</si>
  <si>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</si>
  <si>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</si>
  <si>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</si>
  <si>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</si>
  <si>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</si>
  <si>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</si>
  <si>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</si>
  <si>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</si>
  <si>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</si>
  <si>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</si>
  <si>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</si>
  <si>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AA)</t>
  </si>
  <si>
    <t xml:space="preserve">[revenue requirement for facilities included on page 2, line 2, and also included </t>
  </si>
  <si>
    <t>in Attachment GG]</t>
  </si>
  <si>
    <t>30a</t>
  </si>
  <si>
    <t>LESS ATTACHMENT MM ADJUSTMENT [Attachment MM, page 2, line 3, column 14]  (Note CC)</t>
  </si>
  <si>
    <t>in Attachment MM]</t>
  </si>
  <si>
    <t>REV. REQUIREMENT TO BE COLLECTED UNDER ATTACHMENT O</t>
  </si>
  <si>
    <t>(line 29 - line 30 - line 30a)</t>
  </si>
  <si>
    <t>Page 4 of 5</t>
  </si>
  <si>
    <t xml:space="preserve">                SUPPORTING CALCULATIONS AND NOTES</t>
  </si>
  <si>
    <t>TRANSMISSION PLANT INCLUDED IN ISO RATES</t>
  </si>
  <si>
    <t>Total transmission plant  (page 2, line 2 -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</si>
  <si>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</si>
  <si>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</si>
  <si>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</si>
  <si>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</si>
  <si>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</si>
  <si>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</si>
  <si>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Schedule 1 Recoverable Expenses</t>
  </si>
  <si>
    <t>Total transmission expenses  (page 3, line 1, column 3)</t>
  </si>
  <si>
    <t>Less transmission expenses included in OATT Ancillary Services  (Note L)</t>
  </si>
  <si>
    <t>Acct 561 included in Line 7</t>
  </si>
  <si>
    <t>Included transmission expenses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</si>
  <si>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</si>
  <si>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</si>
  <si>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</si>
  <si>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</si>
  <si>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</si>
  <si>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</si>
  <si>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</si>
  <si>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</si>
  <si>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</si>
  <si>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</si>
  <si>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</si>
  <si>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</si>
  <si>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</si>
  <si>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</si>
  <si>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Net Schedule 1 Expenses (Acct 561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</si>
  <si>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</si>
  <si>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</si>
  <si>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</si>
  <si>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</si>
  <si>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</si>
  <si>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</si>
  <si>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</si>
  <si>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</si>
  <si>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</si>
  <si>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</si>
  <si>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</si>
  <si>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</si>
  <si>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</si>
  <si>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</si>
  <si>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</si>
  <si>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</si>
  <si>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</si>
  <si>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</si>
  <si>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</si>
  <si>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</si>
  <si>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</si>
  <si>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</si>
  <si>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</si>
  <si>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</si>
  <si>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</si>
  <si>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Proprietary Capital  (112.16.c)</t>
  </si>
  <si>
    <t xml:space="preserve">Less Preferred Stock (line 28) </t>
  </si>
  <si>
    <t>Less Account 216.1 (112.12.c)  (enter negative)</t>
  </si>
  <si>
    <t>(sum lines 23-25)</t>
  </si>
  <si>
    <t>%</t>
  </si>
  <si>
    <t>(Note P)</t>
  </si>
  <si>
    <t xml:space="preserve">  Long Term Debt  (112, sum of  18.c through 21.c)</t>
  </si>
  <si>
    <t>=WCLTD</t>
  </si>
  <si>
    <t xml:space="preserve">  Preferred Stock  (112.3.c)</t>
  </si>
  <si>
    <t xml:space="preserve">  Common Stock  (line 26)</t>
  </si>
  <si>
    <t>Total  (sum lines 27-29)</t>
  </si>
  <si>
    <t>=R</t>
  </si>
  <si>
    <t>REVENUE CREDITS</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</si>
  <si>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</si>
  <si>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</si>
  <si>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</si>
  <si>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</si>
  <si>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</si>
  <si>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</si>
  <si>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</si>
  <si>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</si>
  <si>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</si>
  <si>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</si>
  <si>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</si>
  <si>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</si>
  <si>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BB)</t>
  </si>
  <si>
    <t>36b</t>
  </si>
  <si>
    <t xml:space="preserve">  d. Transmission charges from Schedules associated with Attachment MM  (Note DD)</t>
  </si>
  <si>
    <t>Total of (a)-(b)-(c)-(d)</t>
  </si>
  <si>
    <t>Page 5 of 5</t>
  </si>
  <si>
    <t>General Note:  References to pages in this formulary rate are indicated as:  (page#, line#, col.#)</t>
  </si>
  <si>
    <t>References to data from FERC Form 1 are indicated as:   #.y.x  (page, line, column)</t>
  </si>
  <si>
    <t>Note</t>
  </si>
  <si>
    <t>Letter</t>
  </si>
  <si>
    <t>As reported on page 400, column e of Form 1.</t>
  </si>
  <si>
    <t>Labeled LF, LU, IF, IU on pages 310-311 of Form 1.</t>
  </si>
  <si>
    <t>C</t>
  </si>
  <si>
    <t>As reported on page 400, column f of Form 1.</t>
  </si>
  <si>
    <t>D</t>
  </si>
  <si>
    <t>Labeled LF on page 328 of Form 1.</t>
  </si>
  <si>
    <t>E</t>
  </si>
  <si>
    <t xml:space="preserve">The FERC's annual charges for the year assessed the Transmission Owner for service under this tariff. </t>
  </si>
  <si>
    <t>F</t>
  </si>
  <si>
    <t xml:space="preserve">The balances in Accounts 190, 281, 282 and 283, as adjusted by any amounts in contra accounts identified as regulatory assets or liabilities related to FASB 106 or 109.  </t>
  </si>
  <si>
    <t xml:space="preserve">Balance of Account 255 is reduced by prior flow throughs and excluded if the utility chose to utilize amortization of tax credits against taxable income as discussed in Note K. </t>
  </si>
  <si>
    <t>Account 281 is not allocated.</t>
  </si>
  <si>
    <t>G</t>
  </si>
  <si>
    <t>Identified in Form 1 as being only transmission related.</t>
  </si>
  <si>
    <t>H</t>
  </si>
  <si>
    <t xml:space="preserve">Cash Working Capital assigned to transmission is one-eighth of O&amp;M allocated to transmission at page 3, line 8, column 5.  Prepayments are the electric related </t>
  </si>
  <si>
    <t>prepayments booked to Account No. 165 and reported on Page 111, line 57 in the Form 1.</t>
  </si>
  <si>
    <t>I</t>
  </si>
  <si>
    <t xml:space="preserve">Line 5 - EPRI Annual Membership Dues listed in Form 1 at 353.f, all Regulatory Commission Expenses itemized at 351.h, and non-safety related advertising included in </t>
  </si>
  <si>
    <t xml:space="preserve">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</si>
  <si>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</si>
  <si>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t>
  </si>
  <si>
    <t>receipts taxes are not included in transmission revenue requirement in the Rate Formula Template, since they are recovered elsewhere.</t>
  </si>
  <si>
    <t>K</t>
  </si>
  <si>
    <t xml:space="preserve">The currently effective income tax rate,  where FIT is the Federal income tax rate; SIT is the State income tax rate, and p = "the percentage of federal income tax </t>
  </si>
  <si>
    <t xml:space="preserve">deductible for state income taxes".  If the utility is taxed in more than one state it must attach a work paper showing the name of each state and how the blended or </t>
  </si>
  <si>
    <t xml:space="preserve">composite SIT was developed.  Furthermore, a utility that elected to utilize amortization of tax credits against taxable income, rather than book tax credits to Account No. 255 </t>
  </si>
  <si>
    <t>and reduce rate base, must reduce its income tax expense by the amount of the Amortized Investment Tax Credit (Form 1, 266.8.f) multiplied by (1/1-T) (page 3, line 26).</t>
  </si>
  <si>
    <t xml:space="preserve">         Inputs Required:</t>
  </si>
  <si>
    <t>FIT =</t>
  </si>
  <si>
    <t>SIT=</t>
  </si>
  <si>
    <t xml:space="preserve">  (State Income Tax Rate or Composite SIT)</t>
  </si>
  <si>
    <t>p =</t>
  </si>
  <si>
    <t xml:space="preserve">  (percent of federal income tax deductible for state purposes)</t>
  </si>
  <si>
    <t>L</t>
  </si>
  <si>
    <r>
      <t>Removes dollar amount of transmission expenses included in the OATT ancillary services rates, including Account Nos. 561.1, 561.2,</t>
    </r>
    <r>
      <rPr>
        <b/>
        <sz val="12"/>
        <rFont val="Times New Roman"/>
        <family val="1"/>
      </rPr>
      <t xml:space="preserve"> </t>
    </r>
    <r>
      <rPr>
        <sz val="12"/>
        <rFont val="Times New Roman"/>
        <family val="1"/>
      </rPr>
      <t xml:space="preserve"> 561.3, and 561.BA.</t>
    </r>
  </si>
  <si>
    <t>M</t>
  </si>
  <si>
    <t>Removes transmission plant determined by Commission order to be state-jurisdictional according to the seven-factor test (until Form 1 balances are adjusted to reflect</t>
  </si>
  <si>
    <t>application of seven-factor test).</t>
  </si>
  <si>
    <t>N</t>
  </si>
  <si>
    <r>
      <t xml:space="preserve">Removes dollar amount of transmission plant included in the development of OATT ancillary services rates and generation step-up facilities, which are deemed </t>
    </r>
    <r>
      <rPr>
        <sz val="12"/>
        <rFont val="Times New Roman"/>
        <family val="1"/>
      </rPr>
      <t>included</t>
    </r>
  </si>
  <si>
    <t xml:space="preserve">in OATT ancillary services.  For these purposes, generation step-up facilities are those facilities at a generator substation on which there is no through-flow when the </t>
  </si>
  <si>
    <t>generator is shut down.</t>
  </si>
  <si>
    <t>O</t>
  </si>
  <si>
    <t>Enter dollar amounts</t>
  </si>
  <si>
    <t>P</t>
  </si>
  <si>
    <t xml:space="preserve">Debt cost rate = long-term interest (line 21) / long term debt (line 27).  Preferred cost rate = preferred dividends (line 22) / preferred outstanding (line 28).  ROE will </t>
  </si>
  <si>
    <t>be supported in the original filing and no change in ROE may be made absent a filing with FERC.</t>
  </si>
  <si>
    <t>Q</t>
  </si>
  <si>
    <t>Line 33 must equal zero since all short-term power sales must be unbundled and the transmission component reflected in Account No. 456.1 and all other uses are to be</t>
  </si>
  <si>
    <t>included in the divisor.</t>
  </si>
  <si>
    <t>R</t>
  </si>
  <si>
    <t>Includes income related only to transmission facilities, such as pole attachments, rentals and special use.</t>
  </si>
  <si>
    <t>S</t>
  </si>
  <si>
    <t xml:space="preserve">Grandfathered agreements whose rates have been changed to eliminate or mitigate pancaking - the revenues are included in line 4, page 1 and the loads are included </t>
  </si>
  <si>
    <r>
      <t xml:space="preserve">in line 13, page 1.  Grandfathered agreements whose rates have </t>
    </r>
    <r>
      <rPr>
        <u/>
        <sz val="12"/>
        <rFont val="Times New Roman"/>
        <family val="1"/>
      </rPr>
      <t>not</t>
    </r>
    <r>
      <rPr>
        <sz val="12"/>
        <rFont val="Times New Roman"/>
        <family val="1"/>
      </rPr>
      <t xml:space="preserve"> been changed to eliminate or mitigate pancaking - the revenues are not included in line 4, page 1 nor</t>
    </r>
  </si>
  <si>
    <t>are the loads included in line 13, page 1.</t>
  </si>
  <si>
    <t>T</t>
  </si>
  <si>
    <t xml:space="preserve">The revenues credited on page 1, lines 2-5 shall include only the amounts received directly (in the case of grandfathered agreements) or from the ISO (for service </t>
  </si>
  <si>
    <t>under this tariff) reflecting the Transmission Owner's integrated transmission facilities.  They do not include revenues associated with FERC annual charges, gross receipts</t>
  </si>
  <si>
    <t>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</si>
  <si>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</si>
  <si>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</si>
  <si>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</si>
  <si>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Account Nos. 561.4 and 561.8 consist of RTO expenses billed to load-serving entities and are not included in Transmission Owner revenue requirements.</t>
  </si>
  <si>
    <t>W</t>
  </si>
  <si>
    <t>Page 2, Line 23a includes the net pre-funded AFUDC amount associated with the CWIP projects included in rate base. The net pre-funded AFUDC amount is a total</t>
  </si>
  <si>
    <t xml:space="preserve">NSP System number (not jurisdictionalized), and is a reduction to rate base.  Page 3, line 9a includes that annual ammortization of the pre-funded AFUDC amounts for  </t>
  </si>
  <si>
    <t>the total NSP System (also not jurisdictionalized) and is a reduction to standard depreciation.</t>
  </si>
  <si>
    <t>Page 2, line 23b incudes any unamortized balances related to the recovery of abandoned plant costs approved by FERC under a separate docket.</t>
  </si>
  <si>
    <t>Page 3, line 9b includes the amoritization expense of abandonment costs included in transmission depreciation expense.</t>
  </si>
  <si>
    <t>These amounts are shown in the workpapers required pursuant to the Annual Rate Calculation and True-Up Procedures.</t>
  </si>
  <si>
    <t>X</t>
  </si>
  <si>
    <t>Calculate using 13 month average balance, reconciling to FERC Form No. 1 by page, line and column as shown in Column 2.</t>
  </si>
  <si>
    <t>Y</t>
  </si>
  <si>
    <t>Calculate using 13 month average balances for plant related and average of beginning of year and end of year for non-plant related adjustments to rate base, reconciling</t>
  </si>
  <si>
    <t>to FERC Form No. 1 by page, line and column as shown in Column 2.</t>
  </si>
  <si>
    <t>Z</t>
  </si>
  <si>
    <t>Calculation of Prior Year Divisor True-Up:</t>
  </si>
  <si>
    <t>Pg 1, Line 15</t>
  </si>
  <si>
    <t>Pg 1, Line 16</t>
  </si>
  <si>
    <t>AA</t>
  </si>
  <si>
    <t>Pursuant to Attachment GG of the Midwest ISO Tariff, removes dollar amount of revenue requirements calculated pursuant to Attachment GG.</t>
  </si>
  <si>
    <t>BB</t>
  </si>
  <si>
    <t xml:space="preserve">Removes from revenue credits revenues that are distributed pursuant to Schedules associated with Attachment GG of the Midwest ISO Tariff, since the </t>
  </si>
  <si>
    <t>Transmission Owner's Attachment O revenue requirements have already been reduced by the Attachment GG revenue requirements.</t>
  </si>
  <si>
    <t>CC</t>
  </si>
  <si>
    <t>Pursuant to Attachment MM of the Midwest ISO Tariff, removes dollar amount of revenue requirements calculated pursuant to Attachment MM.</t>
  </si>
  <si>
    <t>DD</t>
  </si>
  <si>
    <t xml:space="preserve">Removes from revenue credits revenues that are distributed pursuant to Schedules associated with Attachment MM of the Midwest ISO Tariff, since the </t>
  </si>
  <si>
    <t>Transmission Owner's Attachment O revenue requirements have already been reduced by the Attachment MM revenue requirements.</t>
  </si>
  <si>
    <t>EE</t>
  </si>
  <si>
    <t>Plant in Service, Accumulated Depreciation, and Depreciation Expense amounts exclude Asset Retirement Obligation amounts unless authorized by FERC.</t>
  </si>
  <si>
    <t>FF</t>
  </si>
  <si>
    <t>Schedule 10-FERC charges should not be included in O&amp;M recovered under this Attachment O.</t>
  </si>
  <si>
    <t>Attachment GG - Generic Company</t>
  </si>
  <si>
    <t>Formula Rate calculation</t>
  </si>
  <si>
    <t>For  the 12 months ended 12/31/2015</t>
  </si>
  <si>
    <t xml:space="preserve"> Utilizing Attachment O Data</t>
  </si>
  <si>
    <t>Page 1 of 2</t>
  </si>
  <si>
    <t>To be completed in conjunction with Attachment O.</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</si>
  <si>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</si>
  <si>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</si>
  <si>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</si>
  <si>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</si>
  <si>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</si>
  <si>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</si>
  <si>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</si>
  <si>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</si>
  <si>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</si>
  <si>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</si>
  <si>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</si>
  <si>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</si>
  <si>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</si>
  <si>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</si>
  <si>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</si>
  <si>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</si>
  <si>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</si>
  <si>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</si>
  <si>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</si>
  <si>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</si>
  <si>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</si>
  <si>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</si>
  <si>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</si>
  <si>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</si>
  <si>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</si>
  <si>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</si>
  <si>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</si>
  <si>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</si>
  <si>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</si>
  <si>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</si>
  <si>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</si>
  <si>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</si>
  <si>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</si>
  <si>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</si>
  <si>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</si>
  <si>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</si>
  <si>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</si>
  <si>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</si>
  <si>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</si>
  <si>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</si>
  <si>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</si>
  <si>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</si>
  <si>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</si>
  <si>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</si>
  <si>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</si>
  <si>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</si>
  <si>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</si>
  <si>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</si>
  <si>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</si>
  <si>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</si>
  <si>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</si>
  <si>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</si>
  <si>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</si>
  <si>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</si>
  <si>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</si>
  <si>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</si>
  <si>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</si>
  <si>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</si>
  <si>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</si>
  <si>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</si>
  <si>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1b</t>
  </si>
  <si>
    <t>1c</t>
  </si>
  <si>
    <t>1d</t>
  </si>
  <si>
    <t>1e</t>
  </si>
  <si>
    <t>Bemidji</t>
  </si>
  <si>
    <t>1f</t>
  </si>
  <si>
    <t>Twin Cities - Fargo</t>
  </si>
  <si>
    <t>286</t>
  </si>
  <si>
    <t>1g</t>
  </si>
  <si>
    <t>Twin Cities - Rochester</t>
  </si>
  <si>
    <t>1024</t>
  </si>
  <si>
    <t>1h</t>
  </si>
  <si>
    <t>1i</t>
  </si>
  <si>
    <t>1j</t>
  </si>
  <si>
    <t>1k</t>
  </si>
  <si>
    <t>1l</t>
  </si>
  <si>
    <t>Pleasant Valley</t>
  </si>
  <si>
    <t>1m</t>
  </si>
  <si>
    <t>Glenco Waconia</t>
  </si>
  <si>
    <t>1n</t>
  </si>
  <si>
    <t>1o</t>
  </si>
  <si>
    <t xml:space="preserve">Minnesota Valley Kerkhoven </t>
  </si>
  <si>
    <t>1p</t>
  </si>
  <si>
    <t>Kohlman Lake</t>
  </si>
  <si>
    <t>1q</t>
  </si>
  <si>
    <t>1r</t>
  </si>
  <si>
    <t>St Cloud Loop</t>
  </si>
  <si>
    <t>2307</t>
  </si>
  <si>
    <t>2</t>
  </si>
  <si>
    <t>Annual Totals</t>
  </si>
  <si>
    <t>Rev. Req. Adj For Attachment O</t>
  </si>
  <si>
    <t>Gross Transmission Plant is that identified on page 2 line 2 of Attachment O and includes any sub lines 2a or 2b etc. and is inclusive of any CWIP included in rate base when authorized by FERC order less any prefunded AFUDC, if applicable.</t>
  </si>
  <si>
    <t>Net Transmission Plant is that identified on page 2 line 14 of Attachment O and includes any sub lines 14a or 14b etc. and is inclusive of any CWIP included in rate base when authorized by FERC order less any prefunded AFUDC,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</si>
  <si>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</si>
  <si>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</si>
  <si>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</si>
  <si>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</si>
  <si>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</si>
  <si>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</si>
  <si>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Attachment GG - Supporting Data for Network Upgrade Charge Calculation - Forward Looking Rate Transmission Owner</t>
  </si>
  <si>
    <t xml:space="preserve">Rate Year </t>
  </si>
  <si>
    <t>2015</t>
  </si>
  <si>
    <t>Reporting Company</t>
  </si>
  <si>
    <t>Reliability</t>
  </si>
  <si>
    <t>MTEP Project ID</t>
  </si>
  <si>
    <t>3775</t>
  </si>
  <si>
    <t>GIP</t>
  </si>
  <si>
    <t>Pricing Zone</t>
  </si>
  <si>
    <t>Allocation Type Per Attachment FF</t>
  </si>
  <si>
    <t>Column (3)</t>
  </si>
  <si>
    <t>Depreciation</t>
  </si>
  <si>
    <t>Net Plant</t>
  </si>
  <si>
    <t>Column (6)</t>
  </si>
  <si>
    <t>Depreciation Expense</t>
  </si>
  <si>
    <t>Column (9)</t>
  </si>
  <si>
    <t>Project Amortization Expense</t>
  </si>
  <si>
    <t>Depreciation Expense Total</t>
  </si>
  <si>
    <t>Attachment GG - Description of Facilities Included in Network Upgrade Charge</t>
  </si>
  <si>
    <t>Facility ID</t>
  </si>
  <si>
    <t>Record Date</t>
  </si>
  <si>
    <t>Description of Facilities Included in Network Upgrade Charge as of Record Date</t>
  </si>
  <si>
    <t>New sub with transformer relocated from Cannon Falls substation. Facility #2277</t>
  </si>
  <si>
    <t>Build in and out of the Colvill generating station from Cannon Falls - Empire 115 kV line. Facility #2280</t>
  </si>
  <si>
    <t>Build in and out of the Covill generating station from Cannon Falls - Spring Creek line/ Facility #2281</t>
  </si>
  <si>
    <t>A new 120 MVA, 118-36.2 kV transformer, a 115 kV breaker, switches, and 34.5 kV breakers and switches and all other associated equipment. Facilicy #2491</t>
  </si>
  <si>
    <t>New 115 kV line plus permitting and ROW. Facilicty # 2303</t>
  </si>
  <si>
    <t>Substation upgrades. Facility # 2550</t>
  </si>
  <si>
    <t>Substation upgrades Facility # 2552</t>
  </si>
  <si>
    <t>345 kV substation upgrades. Facility # 2565</t>
  </si>
  <si>
    <t>Reconductor St. Cloud - Sauk River 115 kV line to 795 ACSS. Facility # 3834</t>
  </si>
  <si>
    <t>Add a new 230 kV line between Boswell and Wilton with a Cass Lake 230/115 kV Tap approximately 18 miles from Wilton. Facility # 1098</t>
  </si>
  <si>
    <t>Add a new 345 kV line from Alexandria Switching Station to Waite Park and terminal works. Facility # 1104</t>
  </si>
  <si>
    <t>Add a new 345 kV line from Maple River to Alexandria Switching Station substation and terminal works. Facility # 1105</t>
  </si>
  <si>
    <t>New transformer and terminal works. Facility # 2641</t>
  </si>
  <si>
    <t>New transformer and terminal works. Facility # 1675</t>
  </si>
  <si>
    <t>New transformer and terminal works. Facility # 1676</t>
  </si>
  <si>
    <t>New line and termial works. Facility # 1677</t>
  </si>
  <si>
    <t>New line and termial works. Facility # 2647</t>
  </si>
  <si>
    <t>New 115 kV line plus permitting and ROW. Facility # 2299</t>
  </si>
  <si>
    <t>Substation upgrades (new 115/34.5 transformer, 8-115 kV CB, 4 -34.5 kV CB). Facility # 2553</t>
  </si>
  <si>
    <t>Substation upgrades (new 345/115 transformer,  3-115 kV CB, associated equip). Facility # 2554</t>
  </si>
  <si>
    <t>Substation upgrades 4-345 kV CB. Facility # 2566</t>
  </si>
  <si>
    <t>New 4.5 MW wind interconnection. Facility # 4792</t>
  </si>
  <si>
    <t>Interconnect existing hydro generators at Flambeau Hydro Paper Mill to Xcel's 34.5 kV system, requires switch poles and gang operated air break switch. Facility #2825</t>
  </si>
  <si>
    <t>A 69 kV switch structure (3-steel poles) on line 0716 with a 3-way manually operated disconnect switch and a 400' two-span tap transmission line to the customer’s proposed substation. Facility #2851</t>
  </si>
  <si>
    <t>new 161 kV line from PV to Byron. Facility # 4021</t>
  </si>
  <si>
    <t>Build 18 miles 115 kV line from Glencoe - West Waconia. Facility # 2114</t>
  </si>
  <si>
    <t>Replace 345kV Breakers 8S23&amp; 8S25 with 3000 Amp Gas Breakers Amp Gas Breakers</t>
  </si>
  <si>
    <t>upgrade existing 115 kV line to higher capacity</t>
  </si>
  <si>
    <t>Build 2nd Goose Lake - Kohlman Lake circuit by rebuilding the existing line to double circuit.</t>
  </si>
  <si>
    <t>Install breakers to accommodate 2nd line to Kohlman Lake</t>
  </si>
  <si>
    <t>Install breakers to accommodate 2nd line to Goose Lake</t>
  </si>
  <si>
    <t>A double circuit 161/69 kV line will be constructed between Couderay and Osprey.  All existing 69 kV subs will remain on the 69 kV circuit.  The 161 kV conductor is proposed as 795 ACSS and the 69 kV conductor is proposed as 477 acsr</t>
  </si>
  <si>
    <t>A double circuit 161/69 kV line will be constructed between Couderay and Osprey.  All existing 69 kV subs will remain on the 69 kV circuit.  The 161 kV conductor is proposed as 795 ACSS and the 69 kV conductor is proposed as 477 acsr, Radisson sub work</t>
  </si>
  <si>
    <t>A 161/115 kV transformer will be added at Osprey and a termiation in the current 115 kV yard</t>
  </si>
  <si>
    <t>Attachment MM - Generic Company</t>
  </si>
  <si>
    <t>(inputs from Attachment O are rounded to whole dollars)</t>
  </si>
  <si>
    <t>Transmission Accumulated Depreciation</t>
  </si>
  <si>
    <t>Attach O, p 2, line 8 col 5</t>
  </si>
  <si>
    <t>Line 1 minus Line 1a (Note B)</t>
  </si>
  <si>
    <t>O&amp;M TRANSMISSION EXPENSE</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</si>
  <si>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</si>
  <si>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</si>
  <si>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</si>
  <si>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</si>
  <si>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</si>
  <si>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</si>
  <si>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</si>
  <si>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</si>
  <si>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</si>
  <si>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</si>
  <si>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</si>
  <si>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</si>
  <si>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</si>
  <si>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</si>
  <si>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</si>
  <si>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</si>
  <si>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</si>
  <si>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</si>
  <si>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</si>
  <si>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</si>
  <si>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</si>
  <si>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</si>
  <si>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</si>
  <si>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</si>
  <si>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</si>
  <si>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</si>
  <si>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</si>
  <si>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</si>
  <si>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</si>
  <si>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</si>
  <si>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</si>
  <si>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</si>
  <si>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</si>
  <si>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</si>
  <si>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</si>
  <si>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</si>
  <si>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</si>
  <si>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</si>
  <si>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</si>
  <si>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</si>
  <si>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</si>
  <si>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</si>
  <si>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</si>
  <si>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</si>
  <si>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</si>
  <si>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</si>
  <si>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</si>
  <si>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</si>
  <si>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(Col 10 * Col 11)</t>
  </si>
  <si>
    <t>(Sum Col. 9, 12 &amp; 13)</t>
  </si>
  <si>
    <t>Sum Col. 14 &amp; 15
(Note G)</t>
  </si>
  <si>
    <t>Multi-Value Projects (MVP)</t>
  </si>
  <si>
    <t xml:space="preserve">Brookings In Service </t>
  </si>
  <si>
    <t>MVP Total Annual Revenue Requirements</t>
  </si>
  <si>
    <t>References to Attachment O "Column 5" throughout this template is an illustrative column designation intended to reference the appropriate right-most column in Attachment O which position may vary by company.</t>
  </si>
  <si>
    <r>
      <t>Net Transmission Plant is that identified on page 2 line 14 of Attachment O and includes any sub lines 14a or 14b etc. and is inclusive of any CWIP included in rate base when authorized by FERC order</t>
    </r>
    <r>
      <rPr>
        <sz val="12"/>
        <rFont val="Arial"/>
        <family val="2"/>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</si>
  <si>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</si>
  <si>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</si>
  <si>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</si>
  <si>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The MVP Annual Revenue Requirement is the value to be used in Schedules 26-A and 39.</t>
  </si>
  <si>
    <t>The Total General and Common Depreciation Expense excludes any depreciation expense directly associated with a project and thereby included in page 2 column 13.</t>
  </si>
  <si>
    <t>Attachment MM - Supporting Data for Network Upgrade Charge Calculation - Forward Looking Rate Transmission Owner</t>
  </si>
  <si>
    <t>Column (4)</t>
  </si>
  <si>
    <t>Column (10)</t>
  </si>
  <si>
    <t>Column (13)</t>
  </si>
  <si>
    <t>Attachment MM - Description of Facilities Included in Network Upgrade Charge</t>
  </si>
  <si>
    <t>Upgrade 47 MVA to 70 MVA</t>
  </si>
  <si>
    <t>Upgrade to 2-795 ACSR</t>
  </si>
  <si>
    <t>Upgrade to 477 ACSR</t>
  </si>
  <si>
    <t>Combined Brookings</t>
  </si>
  <si>
    <t>Structures</t>
  </si>
  <si>
    <t>Preferred Stock</t>
  </si>
  <si>
    <t>Overhead Lines</t>
  </si>
  <si>
    <t>Rents</t>
  </si>
  <si>
    <t>Underground Lines</t>
  </si>
  <si>
    <t>Working Capital</t>
  </si>
  <si>
    <t xml:space="preserve">     TRANSMISSION EXPENSES</t>
  </si>
  <si>
    <t>Plant Related</t>
  </si>
  <si>
    <t>Northern States Power Company</t>
  </si>
  <si>
    <t>Total Northern States Power Company</t>
  </si>
  <si>
    <t>Common</t>
  </si>
  <si>
    <t>Northern States Power Company-MN</t>
  </si>
  <si>
    <t>Northern States Power Company - WI</t>
  </si>
  <si>
    <t>Accumulated Depreciation and Amorization</t>
  </si>
  <si>
    <t>Accumulated</t>
  </si>
  <si>
    <t>Adjustments to Rate Base</t>
  </si>
  <si>
    <t>Accumulated Deferred Income Taxes</t>
  </si>
  <si>
    <t>Other Rate Base Adjustments</t>
  </si>
  <si>
    <t>to Rate Base</t>
  </si>
  <si>
    <t>Unamortized</t>
  </si>
  <si>
    <t>Abandon Plant</t>
  </si>
  <si>
    <t>Account 253</t>
  </si>
  <si>
    <t>Pre-Funded AFUDC</t>
  </si>
  <si>
    <t>Land Held for Future Use - Transmission Only</t>
  </si>
  <si>
    <t>Materials &amp;</t>
  </si>
  <si>
    <t>Supplies</t>
  </si>
  <si>
    <t>Account 165</t>
  </si>
  <si>
    <t>Less:  SFAS 106 Deferred Taxes</t>
  </si>
  <si>
    <t>Less:  SFAS 109 Deferred Taxes</t>
  </si>
  <si>
    <t>NSP-MN</t>
  </si>
  <si>
    <t>NSP-WI</t>
  </si>
  <si>
    <t>NSP</t>
  </si>
  <si>
    <t>561.0</t>
  </si>
  <si>
    <t>561.1</t>
  </si>
  <si>
    <t>561.2</t>
  </si>
  <si>
    <t>561.3</t>
  </si>
  <si>
    <t>561.5</t>
  </si>
  <si>
    <t>561.6</t>
  </si>
  <si>
    <t>561.8</t>
  </si>
  <si>
    <t>Load Dispatching - Reliability</t>
  </si>
  <si>
    <t>Load Dispatching - Monitor &amp; Operate Transmission System</t>
  </si>
  <si>
    <t>Load Dispatching - Transmission Service &amp; Scheduling</t>
  </si>
  <si>
    <t>Scheduling, System Control &amp; Dispatch Services</t>
  </si>
  <si>
    <t>561.4</t>
  </si>
  <si>
    <t>Reliability, Planning and Standards Development</t>
  </si>
  <si>
    <t>Transmission Service Studies</t>
  </si>
  <si>
    <t>Generation Interconnection Studies</t>
  </si>
  <si>
    <t>Reliability, Planning &amp; Standards Development Services</t>
  </si>
  <si>
    <t>564</t>
  </si>
  <si>
    <t>Underground Lines Expense</t>
  </si>
  <si>
    <t>569.1</t>
  </si>
  <si>
    <t>Computer Hardware</t>
  </si>
  <si>
    <t>569.2</t>
  </si>
  <si>
    <t>569.3</t>
  </si>
  <si>
    <t>569.4</t>
  </si>
  <si>
    <t>Miscellaneous Regional Transmission Plant</t>
  </si>
  <si>
    <t>Less:  Load Serving Entity Expenses Incl. In Transmission O&amp;M</t>
  </si>
  <si>
    <t>Less:  Account 565 - Transmission of Electricity by Others</t>
  </si>
  <si>
    <t xml:space="preserve">          TOTAL NET TRANSMISSION EXPENSE</t>
  </si>
  <si>
    <t xml:space="preserve">           Account 561.4 - Scheduling, system Control &amp; Dispatch</t>
  </si>
  <si>
    <t xml:space="preserve">           Account 561.8 - Reliability, Planning &amp; Standards Dev</t>
  </si>
  <si>
    <t>Regulatory Commission Expenses -  Retail Related</t>
  </si>
  <si>
    <t>Regulatory Commission Expenses -  Transmission Related</t>
  </si>
  <si>
    <t>General Advertising Expenses</t>
  </si>
  <si>
    <t>Miscellaneous General Expense - Other</t>
  </si>
  <si>
    <t xml:space="preserve">          NET ADMINISTRATIVE AND GENERAL EXPENSE</t>
  </si>
  <si>
    <t xml:space="preserve">         TOTAL O&amp;M EXPENSE</t>
  </si>
  <si>
    <t>Total Northern States Power</t>
  </si>
  <si>
    <t>Amortization Exp</t>
  </si>
  <si>
    <t>Abandon</t>
  </si>
  <si>
    <t>Plant Amort.</t>
  </si>
  <si>
    <t>Payroll Taxes</t>
  </si>
  <si>
    <t>Highway and Vehicle</t>
  </si>
  <si>
    <t>Property Taxes</t>
  </si>
  <si>
    <t>Payments in Lieu of Taxes</t>
  </si>
  <si>
    <t>Taxes Other Than Income Taxes and Investment Tax Credit</t>
  </si>
  <si>
    <t>Investment Tax Credit Amortized</t>
  </si>
  <si>
    <t>Supporting Calculations for Allocation Factors</t>
  </si>
  <si>
    <t>Transmission Expenses included in OATT Ancillary Services</t>
  </si>
  <si>
    <t xml:space="preserve">     Account 561.1 - Load Dispatch-Reliability</t>
  </si>
  <si>
    <t xml:space="preserve">     Account 561.2 - Load Dispatch-Monitor &amp; Operate Transmission System</t>
  </si>
  <si>
    <t xml:space="preserve">     Account 561.3 - Load Dispatch-Transmission Service &amp; Scheduling</t>
  </si>
  <si>
    <t>Total Transmission Expenses included in OATT Ancillary Services</t>
  </si>
  <si>
    <t>Total Wages &amp; Salaries</t>
  </si>
  <si>
    <t>Water</t>
  </si>
  <si>
    <t>Total Plant</t>
  </si>
  <si>
    <t>Long-Term Debt</t>
  </si>
  <si>
    <t>Long-Term Debt Balance</t>
  </si>
  <si>
    <t>Long-Term Debt Interest</t>
  </si>
  <si>
    <t>Cost of Long-Term Debt</t>
  </si>
  <si>
    <t>Proprietary Capital</t>
  </si>
  <si>
    <t>Less:  Preferred Stock</t>
  </si>
  <si>
    <t>Less:  Account 216.1 - Unappropriated Undistribution Subs Earnings</t>
  </si>
  <si>
    <t>Total Common Stock</t>
  </si>
  <si>
    <t>Capital Structure</t>
  </si>
  <si>
    <t>Common Stock</t>
  </si>
  <si>
    <t>TOTAL</t>
  </si>
  <si>
    <t>Gas</t>
  </si>
  <si>
    <t>Computer Software</t>
  </si>
  <si>
    <t>Miscellaneous Transmission Expenses</t>
  </si>
  <si>
    <t>Miscellaneous Transmission Plant</t>
  </si>
  <si>
    <t>Updated Divisor</t>
  </si>
  <si>
    <t>Updated 2013 True-Up Calculation</t>
  </si>
  <si>
    <t>Updated 2015 Attachment GG Project Cost information</t>
  </si>
  <si>
    <t>Updated 2015 Attachment MM Project Cost information</t>
  </si>
  <si>
    <t>Updated 2015 Attachment O revenue credits for GG &amp; MM</t>
  </si>
  <si>
    <t>Prefunded</t>
  </si>
  <si>
    <t>Prefunded Res</t>
  </si>
  <si>
    <t>Net Accum Depre</t>
  </si>
  <si>
    <t>CAPX2020 - La Crosse MISO GG Prefunded</t>
  </si>
  <si>
    <t>Net Lax Depreciation Expense</t>
  </si>
  <si>
    <t>Net Book Depre Reserve</t>
  </si>
  <si>
    <t>Update tabs suffixed with "Rev 1"</t>
  </si>
  <si>
    <t>Updated 2013 True-Up Interest Calculation</t>
  </si>
  <si>
    <t>Updated 2015 Attachment GG Project True Up information</t>
  </si>
  <si>
    <t>Updated 2015 Attachment MM Project True Up information</t>
  </si>
  <si>
    <t>Update tabs suffixed with "Rev 2"</t>
  </si>
  <si>
    <t>NSP Companies 2015 Projected Net Revenue Requirement Compliance Matrix</t>
  </si>
  <si>
    <t>Item II.F. Number</t>
  </si>
  <si>
    <t>Information Required by Tariff Protocol</t>
  </si>
  <si>
    <t>Compliance Information or Reference</t>
  </si>
  <si>
    <t>1.</t>
  </si>
  <si>
    <t>Include a workable data-populated Formula Rate Template and underlying work papers in native format with all formulas and links intact;</t>
  </si>
  <si>
    <t>2.</t>
  </si>
  <si>
    <t>Provide the formula rate calculations and all inputs thereto, as well as supporting documentation and workpapers for data that are used in the projected net revenue requirement;</t>
  </si>
  <si>
    <t>3.</t>
  </si>
  <si>
    <t>Provide sufficient information to enable Interested Parties (as that term is defined in Section II.G. of these protocols) to replicate the calculation of the projected net revenue requirement;</t>
  </si>
  <si>
    <t>With respect to any change in accounting that affects inputs to the formula rate or the resulting charges billed under the formula rate (“Accounting Change”):</t>
  </si>
  <si>
    <t>4. a.</t>
  </si>
  <si>
    <t>Identify any Accounting Changes, including</t>
  </si>
  <si>
    <t>4. a. i.</t>
  </si>
  <si>
    <t>The initial implementation of an accounting standard or policy;</t>
  </si>
  <si>
    <t>4. a. ii.</t>
  </si>
  <si>
    <t>the initial implementation of accounting practices for unusual or unconventional items where FERC has not provided specific accounting direction;</t>
  </si>
  <si>
    <t>4. a. iii.</t>
  </si>
  <si>
    <t>correction of errors and prior period adjustments that impact the projected net revenue calculation;</t>
  </si>
  <si>
    <t>4. a. iv.</t>
  </si>
  <si>
    <t>the implementation of new estimation methods or policies that change prior estimates; and</t>
  </si>
  <si>
    <t>4. a.v.</t>
  </si>
  <si>
    <t>changes to income tax elections;</t>
  </si>
  <si>
    <t>4. b.</t>
  </si>
  <si>
    <t>Identify items included in the projected net revenue requirement at an amount other than on a historic cost basis (e.g., fair value adjustments);</t>
  </si>
  <si>
    <t>4. c.</t>
  </si>
  <si>
    <t>Identify any reorganization or merger transaction during the previous year and explain the effect of the accounting for such transaction(s) on inputs to the projected net revenue requirement;</t>
  </si>
  <si>
    <t>No reorganization or merger transaction took place during the previous year.</t>
  </si>
  <si>
    <t>4. d.</t>
  </si>
  <si>
    <t>See NSP Companies Attachment O, GG and MM Effective Jan 1 2015 and Supporting Work Papers tabs</t>
  </si>
  <si>
    <t>Provide, for each item identified pursuant to items II.F.4.a - II.F.4.c of these protocols, a narrative explanation of the individual impact of such changes on the projected net revenue requirement.</t>
  </si>
  <si>
    <t>This Revision 2 replaces the Revision 1submitted file titled "NSP Companies Attachment O, GG and MM Effective Jan 1 2015 and Supporting Work Papers Rev 1" on September 29, 2014.</t>
  </si>
  <si>
    <t>This Revision 1 replaces the original submitted file titled "NSP Companies Attachment O, GG and MM Effective Jan 1 2015 and Supporting Work Papers" on August 29, 2014.</t>
  </si>
  <si>
    <t xml:space="preserve">See Items Identified below. The 2015 revenue requirements are based upon budgeted cost projections. Accounting changes, if any, implemented during 2015 could impact the actual results.  </t>
  </si>
  <si>
    <t xml:space="preserve">The 2015 revenue requirements are based upon budgeted cost projections. Accounting changes, if any, implemented during 2015 could impact the actual results.  </t>
  </si>
  <si>
    <t>None at the time of the 2015 Rate Calculation</t>
  </si>
  <si>
    <t>Updated 2015 Attachment GG project cost for MTEP 3375</t>
  </si>
  <si>
    <t xml:space="preserve">Add Back Prefunded </t>
  </si>
  <si>
    <t>Gross GG &amp; MM PIS</t>
  </si>
  <si>
    <t>Updated to include Protocol Matrix, inaddvertently omitted in prior submissions</t>
  </si>
  <si>
    <t>NSP files using a future test period. Therefore cost information included in the calculation of the projected net revenue requirement is based on budgeted cost information for 2015.</t>
  </si>
  <si>
    <t>Updated 2015 Attachment MM project cost information</t>
  </si>
  <si>
    <t>January 16, 2015 Rev 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</si>
</sst>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quot; $&quot;;\-#,##0.00&quot; $&quot;"/>
    <numFmt numFmtId="167" formatCode="_-* #,##0.0_-;\-* #,##0.0_-;_-* &quot;-&quot;??_-;_-@_-"/>
    <numFmt numFmtId="168" formatCode="m\-d\-yy"/>
    <numFmt numFmtId="169" formatCode="0.0000%"/>
    <numFmt numFmtId="170" formatCode="_(* #,##0_);_(* \(#,##0\);_(* &quot;-&quot;??_);_(@_)"/>
    <numFmt numFmtId="171" formatCode="0.0000"/>
    <numFmt numFmtId="172" formatCode="mmmm\ d\ h:mm\ AM/PM"/>
    <numFmt numFmtId="173" formatCode="#,##0.000"/>
    <numFmt numFmtId="174" formatCode="0.000"/>
    <numFmt numFmtId="175" formatCode="_(&quot;$&quot;* #,##0_);_(&quot;$&quot;* \(#,##0\);_(&quot;$&quot;* &quot;-&quot;??_);_(@_)"/>
    <numFmt numFmtId="176" formatCode="_(* #,##0.000_);_(* \(#,##0.000\);_(* &quot;-&quot;??_);_(@_)"/>
    <numFmt numFmtId="177" formatCode="0.000%"/>
    <numFmt numFmtId="178" formatCode="&quot;$&quot;#,##0"/>
    <numFmt numFmtId="179" formatCode="_(&quot;$&quot;* #,##0.000_);_(&quot;$&quot;* \(#,##0.000\);_(&quot;$&quot;* &quot;-&quot;??_);_(@_)"/>
    <numFmt numFmtId="180" formatCode="&quot;$&quot;#,##0.00"/>
    <numFmt numFmtId="181" formatCode="0.00000"/>
    <numFmt numFmtId="182" formatCode="0.00000%"/>
    <numFmt numFmtId="183" formatCode="0.000000%"/>
    <numFmt numFmtId="184" formatCode="&quot;$&quot;#,##0.000"/>
    <numFmt numFmtId="185" formatCode="#,##0.00000"/>
    <numFmt numFmtId="186" formatCode="#,##0.0"/>
    <numFmt numFmtId="187" formatCode="#,##0.0000"/>
    <numFmt numFmtId="188" formatCode="0_);\(0\)"/>
    <numFmt numFmtId="189" formatCode="m/d/yyyy;@"/>
  </numFmts>
  <fonts count="106">
    <font>
      <sz val="12"/>
      <name val="Arial"/>
    </font>
    <font>
      <sz val="12"/>
      <name val="Arial"/>
      <family val="2"/>
    </font>
    <font>
      <b/>
      <sz val="10"/>
      <name val="Arial"/>
      <family val="2"/>
    </font>
    <font>
      <sz val="11"/>
      <name val="??"/>
      <family val="3"/>
      <charset val="129"/>
    </font>
    <font>
      <sz val="10"/>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10"/>
      <color indexed="12"/>
      <name val="MS Sans Serif"/>
      <family val="2"/>
    </font>
    <font>
      <b/>
      <sz val="10"/>
      <color indexed="12"/>
      <name val="MS Sans Serif"/>
      <family val="2"/>
    </font>
    <font>
      <sz val="8"/>
      <name val="Arial"/>
      <family val="2"/>
    </font>
    <font>
      <sz val="8"/>
      <color indexed="12"/>
      <name val="Arial"/>
      <family val="2"/>
    </font>
    <font>
      <sz val="12"/>
      <name val="Garamond"/>
      <family val="1"/>
    </font>
    <font>
      <b/>
      <sz val="9"/>
      <name val="Arial"/>
      <family val="2"/>
    </font>
    <font>
      <sz val="9"/>
      <color indexed="8"/>
      <name val="Arial"/>
      <family val="2"/>
    </font>
    <font>
      <b/>
      <sz val="9"/>
      <color indexed="8"/>
      <name val="Arial"/>
      <family val="2"/>
    </font>
    <font>
      <b/>
      <i/>
      <sz val="9"/>
      <color indexed="8"/>
      <name val="Arial"/>
      <family val="2"/>
    </font>
    <font>
      <sz val="9"/>
      <name val="Arial"/>
      <family val="2"/>
    </font>
    <font>
      <sz val="9"/>
      <color indexed="12"/>
      <name val="Arial"/>
      <family val="2"/>
    </font>
    <font>
      <i/>
      <sz val="9"/>
      <color indexed="8"/>
      <name val="Arial"/>
      <family val="2"/>
    </font>
    <font>
      <sz val="9"/>
      <color indexed="9"/>
      <name val="Arial"/>
      <family val="2"/>
    </font>
    <font>
      <sz val="9"/>
      <color indexed="18"/>
      <name val="Arial"/>
      <family val="2"/>
    </font>
    <font>
      <b/>
      <sz val="18"/>
      <name val="Arial"/>
      <family val="2"/>
    </font>
    <font>
      <b/>
      <sz val="12"/>
      <name val="Arial"/>
      <family val="2"/>
    </font>
    <font>
      <sz val="8"/>
      <color indexed="81"/>
      <name val="Tahoma"/>
      <family val="2"/>
    </font>
    <font>
      <b/>
      <sz val="8"/>
      <color indexed="81"/>
      <name val="Tahoma"/>
      <family val="2"/>
    </font>
    <font>
      <b/>
      <sz val="9"/>
      <color indexed="10"/>
      <name val="Arial"/>
      <family val="2"/>
    </font>
    <font>
      <sz val="10"/>
      <color indexed="8"/>
      <name val="Arial"/>
      <family val="2"/>
    </font>
    <font>
      <sz val="12"/>
      <name val="Garamond"/>
      <family val="1"/>
    </font>
    <font>
      <b/>
      <sz val="10"/>
      <name val="Arial"/>
      <family val="2"/>
    </font>
    <font>
      <sz val="10"/>
      <name val="Arial"/>
      <family val="2"/>
    </font>
    <font>
      <b/>
      <sz val="10"/>
      <color indexed="8"/>
      <name val="Arial"/>
      <family val="2"/>
    </font>
    <font>
      <b/>
      <i/>
      <sz val="10"/>
      <color indexed="8"/>
      <name val="Arial"/>
      <family val="2"/>
    </font>
    <font>
      <sz val="11"/>
      <name val="Times New Roman"/>
      <family val="1"/>
    </font>
    <font>
      <sz val="9"/>
      <name val="Arial"/>
      <family val="2"/>
    </font>
    <font>
      <b/>
      <u/>
      <sz val="10"/>
      <color indexed="8"/>
      <name val="Arial"/>
      <family val="2"/>
    </font>
    <font>
      <i/>
      <sz val="10"/>
      <color indexed="8"/>
      <name val="Arial"/>
      <family val="2"/>
    </font>
    <font>
      <b/>
      <sz val="9"/>
      <color indexed="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sz val="18"/>
      <color indexed="56"/>
      <name val="Cambria"/>
      <family val="2"/>
    </font>
    <font>
      <sz val="11"/>
      <color indexed="10"/>
      <name val="Calibri"/>
      <family val="2"/>
    </font>
    <font>
      <b/>
      <sz val="10"/>
      <color indexed="10"/>
      <name val="Arial"/>
      <family val="2"/>
    </font>
    <font>
      <u/>
      <sz val="12"/>
      <name val="Garamond"/>
      <family val="1"/>
    </font>
    <font>
      <sz val="8"/>
      <name val="Garamond"/>
      <family val="1"/>
    </font>
    <font>
      <sz val="10"/>
      <color indexed="8"/>
      <name val="Arial"/>
      <family val="2"/>
    </font>
    <font>
      <b/>
      <sz val="8"/>
      <name val="Arial"/>
      <family val="2"/>
    </font>
    <font>
      <u/>
      <sz val="10"/>
      <name val="Arial"/>
      <family val="2"/>
    </font>
    <font>
      <sz val="12"/>
      <name val="Times New Roman"/>
      <family val="1"/>
    </font>
    <font>
      <b/>
      <sz val="12"/>
      <color indexed="10"/>
      <name val="Times New Roman"/>
      <family val="1"/>
    </font>
    <font>
      <sz val="12"/>
      <color indexed="12"/>
      <name val="Times New Roman"/>
      <family val="1"/>
    </font>
    <font>
      <sz val="12"/>
      <color indexed="12"/>
      <name val="Arial MT"/>
    </font>
    <font>
      <b/>
      <sz val="12"/>
      <name val="Times New Roman"/>
      <family val="1"/>
    </font>
    <font>
      <strike/>
      <sz val="12"/>
      <color indexed="10"/>
      <name val="Times New Roman"/>
      <family val="1"/>
    </font>
    <font>
      <sz val="12"/>
      <color indexed="17"/>
      <name val="Times New Roman"/>
      <family val="1"/>
    </font>
    <font>
      <sz val="12"/>
      <color indexed="9"/>
      <name val="Times New Roman"/>
      <family val="1"/>
    </font>
    <font>
      <strike/>
      <sz val="12"/>
      <name val="Times New Roman"/>
      <family val="1"/>
    </font>
    <font>
      <sz val="12"/>
      <color indexed="10"/>
      <name val="Times New Roman"/>
      <family val="1"/>
    </font>
    <font>
      <u/>
      <sz val="12"/>
      <color indexed="17"/>
      <name val="Times New Roman"/>
      <family val="1"/>
    </font>
    <font>
      <sz val="12"/>
      <color indexed="8"/>
      <name val="Times New Roman"/>
      <family val="1"/>
    </font>
    <font>
      <u/>
      <sz val="12"/>
      <name val="Times New Roman"/>
      <family val="1"/>
    </font>
    <font>
      <sz val="12"/>
      <color indexed="17"/>
      <name val="Arial"/>
      <family val="2"/>
    </font>
    <font>
      <i/>
      <sz val="12"/>
      <name val="Arial"/>
      <family val="2"/>
    </font>
    <font>
      <b/>
      <u/>
      <sz val="12"/>
      <name val="Arial"/>
      <family val="2"/>
    </font>
    <font>
      <sz val="12"/>
      <color indexed="10"/>
      <name val="Arial"/>
      <family val="2"/>
    </font>
    <font>
      <b/>
      <sz val="14"/>
      <name val="Arial"/>
      <family val="2"/>
    </font>
    <font>
      <sz val="10"/>
      <name val="Arial Narrow"/>
      <family val="2"/>
    </font>
    <font>
      <b/>
      <sz val="10"/>
      <color indexed="9"/>
      <name val="Arial"/>
      <family val="2"/>
    </font>
    <font>
      <b/>
      <sz val="10"/>
      <color indexed="9"/>
      <name val="Arial MT"/>
    </font>
    <font>
      <sz val="12"/>
      <name val="Arial MT"/>
    </font>
    <font>
      <sz val="10"/>
      <name val="Arial MT"/>
    </font>
    <font>
      <sz val="12"/>
      <color indexed="17"/>
      <name val="Arial MT"/>
    </font>
    <font>
      <b/>
      <sz val="12"/>
      <name val="Arial MT"/>
    </font>
    <font>
      <b/>
      <u/>
      <sz val="12"/>
      <name val="Arial MT"/>
    </font>
    <font>
      <u/>
      <sz val="12"/>
      <name val="Arial"/>
      <family val="2"/>
    </font>
    <font>
      <sz val="12"/>
      <color indexed="10"/>
      <name val="Arial MT"/>
    </font>
    <font>
      <sz val="12"/>
      <color indexed="9"/>
      <name val="Arial MT"/>
    </font>
    <font>
      <b/>
      <sz val="10"/>
      <name val="Arial MT"/>
    </font>
    <font>
      <sz val="10"/>
      <color indexed="9"/>
      <name val="Arial"/>
      <family val="2"/>
    </font>
    <font>
      <sz val="10"/>
      <color indexed="49"/>
      <name val="Arial"/>
      <family val="2"/>
    </font>
    <font>
      <sz val="10"/>
      <color indexed="9"/>
      <name val="Arial"/>
      <family val="2"/>
    </font>
    <font>
      <sz val="12"/>
      <color indexed="8"/>
      <name val="Arial"/>
      <family val="2"/>
    </font>
    <font>
      <sz val="12"/>
      <color indexed="8"/>
      <name val="Arial"/>
      <family val="2"/>
    </font>
    <font>
      <sz val="10"/>
      <name val="Times New Roman"/>
      <family val="1"/>
    </font>
    <font>
      <sz val="12"/>
      <color indexed="12"/>
      <name val="Arial"/>
      <family val="2"/>
    </font>
    <font>
      <sz val="14"/>
      <color indexed="8"/>
      <name val="Arial"/>
      <family val="2"/>
    </font>
    <font>
      <u/>
      <sz val="10"/>
      <color indexed="8"/>
      <name val="Arial"/>
      <family val="2"/>
    </font>
    <font>
      <sz val="14"/>
      <name val="Times New Roman"/>
      <family val="1"/>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mediumGray"/>
    </fill>
    <fill>
      <patternFill patternType="solid">
        <fgColor indexed="47"/>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14"/>
        <bgColor indexed="64"/>
      </patternFill>
    </fill>
    <fill>
      <patternFill patternType="solid">
        <fgColor indexed="40"/>
        <bgColor indexed="64"/>
      </patternFill>
    </fill>
    <fill>
      <patternFill patternType="solid">
        <fgColor indexed="8"/>
        <bgColor indexed="64"/>
      </patternFill>
    </fill>
    <fill>
      <patternFill patternType="solid">
        <fgColor theme="0"/>
        <bgColor indexed="64"/>
      </patternFill>
    </fill>
  </fills>
  <borders count="37">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right/>
      <top style="thin">
        <color indexed="64"/>
      </top>
      <bottom style="double">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right/>
      <top/>
      <bottom style="double">
        <color indexed="64"/>
      </bottom>
      <diagonal/>
    </border>
    <border>
      <left/>
      <right/>
      <top/>
      <bottom style="double">
        <color indexed="8"/>
      </bottom>
      <diagonal/>
    </border>
    <border>
      <left/>
      <right/>
      <top style="double">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style="thin">
        <color indexed="64"/>
      </left>
      <right/>
      <top style="thin">
        <color indexed="64"/>
      </top>
      <bottom/>
      <diagonal/>
    </border>
  </borders>
  <cellStyleXfs count="84">
    <xf numFmtId="0" fontId="0" fillId="0" borderId="0">
      <alignment vertical="top"/>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42" fillId="11" borderId="0" applyNumberFormat="0" applyBorder="0" applyAlignment="0" applyProtection="0"/>
    <xf numFmtId="0" fontId="43" fillId="12"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9" borderId="0" applyNumberFormat="0" applyBorder="0" applyAlignment="0" applyProtection="0"/>
    <xf numFmtId="168" fontId="2" fillId="20" borderId="1">
      <alignment horizontal="center" vertical="center"/>
    </xf>
    <xf numFmtId="0" fontId="44" fillId="3" borderId="0" applyNumberFormat="0" applyBorder="0" applyAlignment="0" applyProtection="0"/>
    <xf numFmtId="0" fontId="45" fillId="21" borderId="2" applyNumberFormat="0" applyAlignment="0" applyProtection="0"/>
    <xf numFmtId="0" fontId="46" fillId="22" borderId="3" applyNumberFormat="0" applyAlignment="0" applyProtection="0"/>
    <xf numFmtId="43" fontId="1" fillId="0" borderId="0" applyFont="0" applyFill="0" applyBorder="0" applyAlignment="0" applyProtection="0"/>
    <xf numFmtId="43" fontId="33" fillId="0" borderId="0" applyFont="0" applyFill="0" applyBorder="0" applyAlignment="0" applyProtection="0"/>
    <xf numFmtId="44" fontId="1" fillId="0" borderId="0" applyFont="0" applyFill="0" applyBorder="0" applyAlignment="0" applyProtection="0"/>
    <xf numFmtId="44" fontId="33" fillId="0" borderId="0" applyFont="0" applyFill="0" applyBorder="0" applyAlignment="0" applyProtection="0"/>
    <xf numFmtId="6" fontId="3" fillId="0" borderId="0">
      <protection locked="0"/>
    </xf>
    <xf numFmtId="0" fontId="48" fillId="0" borderId="0" applyNumberFormat="0" applyFill="0" applyBorder="0" applyAlignment="0" applyProtection="0"/>
    <xf numFmtId="167" fontId="4" fillId="0" borderId="0">
      <protection locked="0"/>
    </xf>
    <xf numFmtId="0" fontId="49" fillId="4" borderId="0" applyNumberFormat="0" applyBorder="0" applyAlignment="0" applyProtection="0"/>
    <xf numFmtId="38" fontId="5" fillId="23" borderId="0" applyNumberFormat="0" applyBorder="0" applyAlignment="0" applyProtection="0"/>
    <xf numFmtId="0" fontId="6"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166" fontId="4" fillId="0" borderId="0">
      <protection locked="0"/>
    </xf>
    <xf numFmtId="166" fontId="4" fillId="0" borderId="0">
      <protection locked="0"/>
    </xf>
    <xf numFmtId="0" fontId="7" fillId="0" borderId="7" applyNumberFormat="0" applyFill="0" applyAlignment="0" applyProtection="0"/>
    <xf numFmtId="0" fontId="53" fillId="7" borderId="2" applyNumberFormat="0" applyAlignment="0" applyProtection="0"/>
    <xf numFmtId="10" fontId="5" fillId="24" borderId="8" applyNumberFormat="0" applyBorder="0" applyAlignment="0" applyProtection="0"/>
    <xf numFmtId="0" fontId="54" fillId="0" borderId="9" applyNumberFormat="0" applyFill="0" applyAlignment="0" applyProtection="0"/>
    <xf numFmtId="0" fontId="55" fillId="25" borderId="0" applyNumberFormat="0" applyBorder="0" applyAlignment="0" applyProtection="0"/>
    <xf numFmtId="37" fontId="8" fillId="0" borderId="0"/>
    <xf numFmtId="165" fontId="9" fillId="0" borderId="0"/>
    <xf numFmtId="0" fontId="33" fillId="0" borderId="0"/>
    <xf numFmtId="0" fontId="15" fillId="0" borderId="0"/>
    <xf numFmtId="38" fontId="10" fillId="0" borderId="0"/>
    <xf numFmtId="0" fontId="33" fillId="0" borderId="0"/>
    <xf numFmtId="180" fontId="87" fillId="0" borderId="0" applyProtection="0"/>
    <xf numFmtId="38" fontId="10" fillId="0" borderId="0"/>
    <xf numFmtId="0" fontId="1" fillId="0" borderId="0"/>
    <xf numFmtId="38" fontId="10" fillId="0" borderId="0"/>
    <xf numFmtId="38" fontId="10" fillId="0" borderId="0"/>
    <xf numFmtId="0" fontId="15" fillId="0" borderId="0"/>
    <xf numFmtId="0" fontId="4" fillId="0" borderId="0"/>
    <xf numFmtId="0" fontId="4" fillId="0" borderId="0"/>
    <xf numFmtId="0" fontId="84" fillId="0" borderId="0">
      <alignment vertical="top"/>
    </xf>
    <xf numFmtId="0" fontId="84" fillId="0" borderId="0">
      <alignment vertical="top"/>
    </xf>
    <xf numFmtId="0" fontId="15" fillId="0" borderId="0"/>
    <xf numFmtId="0" fontId="30" fillId="26" borderId="10" applyNumberFormat="0" applyFont="0" applyAlignment="0" applyProtection="0"/>
    <xf numFmtId="0" fontId="56" fillId="21" borderId="11" applyNumberFormat="0" applyAlignment="0" applyProtection="0"/>
    <xf numFmtId="9" fontId="1" fillId="0" borderId="0" applyFont="0" applyFill="0" applyBorder="0" applyAlignment="0" applyProtection="0"/>
    <xf numFmtId="10" fontId="4" fillId="0" borderId="0" applyFont="0" applyFill="0" applyBorder="0" applyAlignment="0" applyProtection="0"/>
    <xf numFmtId="9" fontId="33" fillId="0" borderId="0" applyFont="0" applyFill="0" applyBorder="0" applyAlignment="0" applyProtection="0"/>
    <xf numFmtId="0" fontId="47" fillId="0" borderId="0" applyNumberFormat="0" applyFont="0" applyFill="0" applyBorder="0" applyAlignment="0" applyProtection="0">
      <alignment horizontal="left"/>
    </xf>
    <xf numFmtId="15" fontId="47" fillId="0" borderId="0" applyFont="0" applyFill="0" applyBorder="0" applyAlignment="0" applyProtection="0"/>
    <xf numFmtId="0" fontId="57" fillId="0" borderId="12">
      <alignment horizontal="center"/>
    </xf>
    <xf numFmtId="0" fontId="11" fillId="0" borderId="13"/>
    <xf numFmtId="0" fontId="12" fillId="0" borderId="14"/>
    <xf numFmtId="0" fontId="4" fillId="0" borderId="0"/>
    <xf numFmtId="0" fontId="58" fillId="0" borderId="0" applyNumberFormat="0" applyFill="0" applyBorder="0" applyAlignment="0" applyProtection="0"/>
    <xf numFmtId="166" fontId="4" fillId="0" borderId="15">
      <protection locked="0"/>
    </xf>
    <xf numFmtId="37" fontId="5" fillId="27" borderId="0" applyNumberFormat="0" applyBorder="0" applyAlignment="0" applyProtection="0"/>
    <xf numFmtId="37" fontId="13" fillId="0" borderId="0"/>
    <xf numFmtId="3" fontId="14" fillId="0" borderId="7" applyProtection="0"/>
    <xf numFmtId="0" fontId="59" fillId="0" borderId="0" applyNumberFormat="0" applyFill="0" applyBorder="0" applyAlignment="0" applyProtection="0"/>
  </cellStyleXfs>
  <cellXfs count="1026">
    <xf numFmtId="0" fontId="0" fillId="0" borderId="0" xfId="0" applyAlignment="1"/>
    <xf numFmtId="0" fontId="16" fillId="0" borderId="0" xfId="58" applyFont="1" applyAlignment="1">
      <alignment horizontal="left" vertical="center"/>
    </xf>
    <xf numFmtId="0" fontId="17" fillId="0" borderId="0" xfId="53" applyFont="1"/>
    <xf numFmtId="0" fontId="17" fillId="0" borderId="0" xfId="53" applyFont="1" applyAlignment="1">
      <alignment horizontal="right"/>
    </xf>
    <xf numFmtId="0" fontId="18" fillId="0" borderId="0" xfId="53" applyFont="1" applyAlignment="1">
      <alignment horizontal="right"/>
    </xf>
    <xf numFmtId="0" fontId="18" fillId="0" borderId="0" xfId="53" applyFont="1" applyAlignment="1">
      <alignment horizontal="left"/>
    </xf>
    <xf numFmtId="164" fontId="18" fillId="0" borderId="0" xfId="59" applyNumberFormat="1" applyFont="1" applyAlignment="1" applyProtection="1"/>
    <xf numFmtId="0" fontId="18" fillId="0" borderId="0" xfId="53" applyFont="1" applyAlignment="1" applyProtection="1">
      <alignment horizontal="right"/>
      <protection locked="0"/>
    </xf>
    <xf numFmtId="0" fontId="17" fillId="0" borderId="0" xfId="53" applyFont="1" applyAlignment="1">
      <alignment horizontal="left"/>
    </xf>
    <xf numFmtId="0" fontId="19" fillId="0" borderId="0" xfId="53" applyFont="1"/>
    <xf numFmtId="0" fontId="18" fillId="0" borderId="0" xfId="53" applyFont="1" applyAlignment="1">
      <alignment horizontal="center"/>
    </xf>
    <xf numFmtId="0" fontId="18" fillId="0" borderId="0" xfId="53" applyFont="1" applyBorder="1" applyAlignment="1">
      <alignment horizontal="center"/>
    </xf>
    <xf numFmtId="0" fontId="18" fillId="0" borderId="16" xfId="53" applyFont="1" applyBorder="1" applyAlignment="1">
      <alignment horizontal="left"/>
    </xf>
    <xf numFmtId="0" fontId="17" fillId="0" borderId="16" xfId="53" applyFont="1" applyBorder="1"/>
    <xf numFmtId="0" fontId="18" fillId="0" borderId="16" xfId="53" applyFont="1" applyBorder="1" applyAlignment="1">
      <alignment horizontal="center"/>
    </xf>
    <xf numFmtId="0" fontId="18" fillId="0" borderId="17" xfId="53" applyFont="1" applyBorder="1" applyAlignment="1">
      <alignment horizontal="center"/>
    </xf>
    <xf numFmtId="0" fontId="17" fillId="0" borderId="18" xfId="53" applyFont="1" applyBorder="1" applyAlignment="1">
      <alignment horizontal="right"/>
    </xf>
    <xf numFmtId="0" fontId="16" fillId="0" borderId="17" xfId="0" applyFont="1" applyBorder="1" applyAlignment="1"/>
    <xf numFmtId="0" fontId="17" fillId="0" borderId="0" xfId="53" applyFont="1" applyBorder="1" applyAlignment="1">
      <alignment horizontal="right"/>
    </xf>
    <xf numFmtId="0" fontId="20" fillId="0" borderId="0" xfId="0" applyFont="1" applyAlignment="1"/>
    <xf numFmtId="37" fontId="17" fillId="0" borderId="0" xfId="53" applyNumberFormat="1" applyFont="1"/>
    <xf numFmtId="5" fontId="20" fillId="0" borderId="0" xfId="53" applyNumberFormat="1" applyFont="1" applyAlignment="1">
      <alignment horizontal="right"/>
    </xf>
    <xf numFmtId="37" fontId="20" fillId="0" borderId="0" xfId="53" applyNumberFormat="1" applyFont="1" applyAlignment="1">
      <alignment horizontal="right"/>
    </xf>
    <xf numFmtId="169" fontId="17" fillId="0" borderId="0" xfId="53" applyNumberFormat="1" applyFont="1"/>
    <xf numFmtId="37" fontId="17" fillId="0" borderId="0" xfId="53" applyNumberFormat="1" applyFont="1" applyAlignment="1" applyProtection="1">
      <alignment horizontal="right"/>
    </xf>
    <xf numFmtId="37" fontId="20" fillId="0" borderId="0" xfId="53" applyNumberFormat="1" applyFont="1" applyAlignment="1" applyProtection="1">
      <alignment horizontal="right"/>
    </xf>
    <xf numFmtId="37" fontId="17" fillId="0" borderId="0" xfId="53" applyNumberFormat="1" applyFont="1" applyAlignment="1">
      <alignment horizontal="right"/>
    </xf>
    <xf numFmtId="5" fontId="17" fillId="0" borderId="0" xfId="53" applyNumberFormat="1" applyFont="1"/>
    <xf numFmtId="37" fontId="20" fillId="0" borderId="17" xfId="53" applyNumberFormat="1" applyFont="1" applyBorder="1" applyAlignment="1">
      <alignment horizontal="right"/>
    </xf>
    <xf numFmtId="5" fontId="20" fillId="0" borderId="19" xfId="0" applyNumberFormat="1" applyFont="1" applyBorder="1" applyAlignment="1"/>
    <xf numFmtId="0" fontId="16" fillId="0" borderId="17" xfId="0" applyFont="1" applyBorder="1" applyAlignment="1">
      <alignment horizontal="center"/>
    </xf>
    <xf numFmtId="0" fontId="16" fillId="0" borderId="0" xfId="0" applyFont="1" applyAlignment="1">
      <alignment horizontal="center"/>
    </xf>
    <xf numFmtId="5" fontId="20" fillId="0" borderId="0" xfId="0" applyNumberFormat="1" applyFont="1" applyAlignment="1"/>
    <xf numFmtId="9" fontId="20" fillId="0" borderId="0" xfId="0" applyNumberFormat="1" applyFont="1" applyAlignment="1"/>
    <xf numFmtId="10" fontId="20" fillId="0" borderId="0" xfId="0" applyNumberFormat="1" applyFont="1" applyAlignment="1"/>
    <xf numFmtId="10" fontId="17" fillId="0" borderId="0" xfId="53" applyNumberFormat="1" applyFont="1"/>
    <xf numFmtId="169" fontId="20" fillId="0" borderId="0" xfId="0" applyNumberFormat="1" applyFont="1" applyAlignment="1"/>
    <xf numFmtId="37" fontId="20" fillId="0" borderId="0" xfId="0" applyNumberFormat="1" applyFont="1" applyAlignment="1"/>
    <xf numFmtId="37" fontId="20" fillId="0" borderId="17" xfId="0" applyNumberFormat="1" applyFont="1" applyBorder="1" applyAlignment="1"/>
    <xf numFmtId="9" fontId="20" fillId="0" borderId="17" xfId="0" applyNumberFormat="1" applyFont="1" applyBorder="1" applyAlignment="1"/>
    <xf numFmtId="10" fontId="17" fillId="0" borderId="17" xfId="53" applyNumberFormat="1" applyFont="1" applyBorder="1"/>
    <xf numFmtId="10" fontId="17" fillId="0" borderId="19" xfId="53" applyNumberFormat="1" applyFont="1" applyBorder="1"/>
    <xf numFmtId="0" fontId="18" fillId="0" borderId="17" xfId="53" applyFont="1" applyBorder="1"/>
    <xf numFmtId="0" fontId="22" fillId="0" borderId="0" xfId="53" applyFont="1" applyAlignment="1">
      <alignment horizontal="left"/>
    </xf>
    <xf numFmtId="38" fontId="17" fillId="0" borderId="0" xfId="54" applyFont="1"/>
    <xf numFmtId="0" fontId="22" fillId="0" borderId="0" xfId="53" applyFont="1"/>
    <xf numFmtId="5" fontId="17" fillId="0" borderId="19" xfId="53" applyNumberFormat="1" applyFont="1" applyBorder="1"/>
    <xf numFmtId="38" fontId="18" fillId="0" borderId="0" xfId="59" applyFont="1"/>
    <xf numFmtId="164" fontId="18" fillId="0" borderId="0" xfId="59" applyNumberFormat="1" applyFont="1" applyAlignment="1" applyProtection="1">
      <alignment horizontal="right"/>
    </xf>
    <xf numFmtId="38" fontId="17" fillId="0" borderId="0" xfId="59" applyFont="1"/>
    <xf numFmtId="164" fontId="18" fillId="0" borderId="0" xfId="59" applyNumberFormat="1" applyFont="1" applyAlignment="1" applyProtection="1">
      <alignment horizontal="right"/>
      <protection locked="0"/>
    </xf>
    <xf numFmtId="38" fontId="17" fillId="0" borderId="0" xfId="59" applyFont="1" applyAlignment="1"/>
    <xf numFmtId="38" fontId="17" fillId="0" borderId="0" xfId="60" applyFont="1"/>
    <xf numFmtId="38" fontId="17" fillId="0" borderId="0" xfId="59" applyFont="1" applyBorder="1"/>
    <xf numFmtId="164" fontId="18" fillId="0" borderId="0" xfId="59" applyNumberFormat="1" applyFont="1" applyAlignment="1" applyProtection="1">
      <alignment horizontal="center"/>
    </xf>
    <xf numFmtId="164" fontId="18" fillId="0" borderId="0" xfId="59" applyNumberFormat="1" applyFont="1" applyBorder="1" applyAlignment="1" applyProtection="1">
      <alignment horizontal="center"/>
    </xf>
    <xf numFmtId="164" fontId="17" fillId="0" borderId="0" xfId="59" applyNumberFormat="1" applyFont="1" applyAlignment="1" applyProtection="1">
      <alignment horizontal="center"/>
    </xf>
    <xf numFmtId="38" fontId="18" fillId="0" borderId="0" xfId="59" applyFont="1" applyAlignment="1">
      <alignment horizontal="center"/>
    </xf>
    <xf numFmtId="38" fontId="17" fillId="0" borderId="16" xfId="59" applyFont="1" applyBorder="1" applyAlignment="1"/>
    <xf numFmtId="164" fontId="18" fillId="0" borderId="16" xfId="59" applyNumberFormat="1" applyFont="1" applyBorder="1" applyAlignment="1" applyProtection="1">
      <alignment horizontal="center"/>
    </xf>
    <xf numFmtId="38" fontId="17" fillId="0" borderId="0" xfId="59" quotePrefix="1" applyFont="1" applyAlignment="1"/>
    <xf numFmtId="164" fontId="18" fillId="0" borderId="17" xfId="59" applyNumberFormat="1" applyFont="1" applyBorder="1" applyAlignment="1" applyProtection="1">
      <alignment horizontal="left"/>
    </xf>
    <xf numFmtId="38" fontId="18" fillId="0" borderId="17" xfId="59" applyFont="1" applyBorder="1"/>
    <xf numFmtId="38" fontId="17" fillId="0" borderId="18" xfId="59" applyFont="1" applyBorder="1"/>
    <xf numFmtId="38" fontId="17" fillId="0" borderId="0" xfId="59" quotePrefix="1" applyFont="1" applyAlignment="1">
      <alignment horizontal="left"/>
    </xf>
    <xf numFmtId="49" fontId="17" fillId="0" borderId="0" xfId="59" applyNumberFormat="1" applyFont="1" applyAlignment="1" applyProtection="1">
      <alignment horizontal="left"/>
    </xf>
    <xf numFmtId="5" fontId="20" fillId="0" borderId="0" xfId="59" applyNumberFormat="1" applyFont="1" applyProtection="1"/>
    <xf numFmtId="38" fontId="21" fillId="0" borderId="0" xfId="59" applyFont="1" applyBorder="1"/>
    <xf numFmtId="5" fontId="21" fillId="0" borderId="0" xfId="59" applyNumberFormat="1" applyFont="1" applyProtection="1"/>
    <xf numFmtId="38" fontId="20" fillId="0" borderId="0" xfId="59" applyFont="1" applyBorder="1"/>
    <xf numFmtId="37" fontId="21" fillId="0" borderId="0" xfId="59" applyNumberFormat="1" applyFont="1" applyBorder="1" applyAlignment="1">
      <alignment horizontal="right"/>
    </xf>
    <xf numFmtId="37" fontId="20" fillId="0" borderId="0" xfId="59" applyNumberFormat="1" applyFont="1" applyProtection="1"/>
    <xf numFmtId="37" fontId="17" fillId="0" borderId="18" xfId="59" applyNumberFormat="1" applyFont="1" applyBorder="1" applyProtection="1"/>
    <xf numFmtId="37" fontId="17" fillId="0" borderId="0" xfId="59" applyNumberFormat="1" applyFont="1" applyProtection="1"/>
    <xf numFmtId="37" fontId="17" fillId="0" borderId="18" xfId="59" applyNumberFormat="1" applyFont="1" applyBorder="1" applyAlignment="1">
      <alignment horizontal="right"/>
    </xf>
    <xf numFmtId="37" fontId="17" fillId="0" borderId="0" xfId="59" applyNumberFormat="1" applyFont="1" applyBorder="1" applyAlignment="1">
      <alignment horizontal="right"/>
    </xf>
    <xf numFmtId="37" fontId="20" fillId="0" borderId="18" xfId="59" applyNumberFormat="1" applyFont="1" applyBorder="1" applyProtection="1"/>
    <xf numFmtId="164" fontId="18" fillId="0" borderId="0" xfId="59" quotePrefix="1" applyNumberFormat="1" applyFont="1" applyAlignment="1" applyProtection="1">
      <alignment horizontal="left"/>
    </xf>
    <xf numFmtId="5" fontId="18" fillId="0" borderId="19" xfId="59" applyNumberFormat="1" applyFont="1" applyBorder="1" applyProtection="1"/>
    <xf numFmtId="37" fontId="18" fillId="0" borderId="0" xfId="59" applyNumberFormat="1" applyFont="1" applyProtection="1"/>
    <xf numFmtId="5" fontId="17" fillId="0" borderId="0" xfId="59" applyNumberFormat="1" applyFont="1" applyProtection="1"/>
    <xf numFmtId="37" fontId="18" fillId="0" borderId="0" xfId="59" applyNumberFormat="1" applyFont="1" applyBorder="1" applyAlignment="1">
      <alignment horizontal="right"/>
    </xf>
    <xf numFmtId="5" fontId="16" fillId="0" borderId="19" xfId="59" applyNumberFormat="1" applyFont="1" applyBorder="1" applyProtection="1"/>
    <xf numFmtId="38" fontId="20" fillId="0" borderId="18" xfId="59" applyFont="1" applyBorder="1"/>
    <xf numFmtId="37" fontId="21" fillId="0" borderId="0" xfId="59" applyNumberFormat="1" applyFont="1" applyProtection="1"/>
    <xf numFmtId="38" fontId="20" fillId="0" borderId="0" xfId="59" applyFont="1"/>
    <xf numFmtId="5" fontId="18" fillId="0" borderId="19" xfId="59" applyNumberFormat="1" applyFont="1" applyFill="1" applyBorder="1" applyProtection="1"/>
    <xf numFmtId="38" fontId="17" fillId="0" borderId="0" xfId="59" applyFont="1" applyFill="1"/>
    <xf numFmtId="37" fontId="17" fillId="0" borderId="18" xfId="53" applyNumberFormat="1" applyFont="1" applyBorder="1" applyAlignment="1">
      <alignment horizontal="right"/>
    </xf>
    <xf numFmtId="37" fontId="20" fillId="0" borderId="18" xfId="53" applyNumberFormat="1" applyFont="1" applyBorder="1" applyAlignment="1">
      <alignment horizontal="right"/>
    </xf>
    <xf numFmtId="5" fontId="17" fillId="0" borderId="20" xfId="53" applyNumberFormat="1" applyFont="1" applyBorder="1" applyAlignment="1" applyProtection="1">
      <alignment horizontal="right"/>
    </xf>
    <xf numFmtId="0" fontId="17" fillId="0" borderId="21" xfId="53" applyFont="1" applyBorder="1" applyAlignment="1">
      <alignment horizontal="right"/>
    </xf>
    <xf numFmtId="0" fontId="18" fillId="0" borderId="0" xfId="53" applyFont="1" applyBorder="1"/>
    <xf numFmtId="5" fontId="20" fillId="0" borderId="19" xfId="53" applyNumberFormat="1" applyFont="1" applyBorder="1" applyAlignment="1">
      <alignment horizontal="right"/>
    </xf>
    <xf numFmtId="9" fontId="18" fillId="0" borderId="0" xfId="69" applyFont="1" applyAlignment="1">
      <alignment horizontal="left"/>
    </xf>
    <xf numFmtId="0" fontId="17" fillId="0" borderId="0" xfId="53" applyFont="1" applyBorder="1"/>
    <xf numFmtId="0" fontId="18" fillId="0" borderId="0" xfId="53" applyFont="1"/>
    <xf numFmtId="0" fontId="18" fillId="0" borderId="0" xfId="53" applyFont="1" applyBorder="1" applyAlignment="1">
      <alignment horizontal="centerContinuous"/>
    </xf>
    <xf numFmtId="38" fontId="18" fillId="0" borderId="0" xfId="57" applyFont="1" applyAlignment="1">
      <alignment horizontal="left"/>
    </xf>
    <xf numFmtId="0" fontId="17" fillId="0" borderId="0" xfId="53" applyFont="1" applyAlignment="1">
      <alignment horizontal="center"/>
    </xf>
    <xf numFmtId="38" fontId="18" fillId="0" borderId="16" xfId="57" applyFont="1" applyBorder="1" applyAlignment="1">
      <alignment horizontal="left"/>
    </xf>
    <xf numFmtId="0" fontId="17" fillId="0" borderId="0" xfId="53" applyFont="1" applyBorder="1" applyAlignment="1">
      <alignment horizontal="center"/>
    </xf>
    <xf numFmtId="0" fontId="20" fillId="0" borderId="0" xfId="0" applyFont="1" applyBorder="1" applyAlignment="1"/>
    <xf numFmtId="49" fontId="17" fillId="0" borderId="0" xfId="57" applyNumberFormat="1" applyFont="1" applyAlignment="1" applyProtection="1">
      <alignment horizontal="left"/>
    </xf>
    <xf numFmtId="5" fontId="20" fillId="0" borderId="0" xfId="53" applyNumberFormat="1" applyFont="1" applyBorder="1" applyProtection="1"/>
    <xf numFmtId="37" fontId="17" fillId="0" borderId="0" xfId="53" applyNumberFormat="1" applyFont="1" applyBorder="1" applyProtection="1"/>
    <xf numFmtId="37" fontId="17" fillId="0" borderId="0" xfId="53" applyNumberFormat="1" applyFont="1" applyBorder="1" applyAlignment="1">
      <alignment horizontal="right"/>
    </xf>
    <xf numFmtId="37" fontId="17" fillId="0" borderId="0" xfId="53" applyNumberFormat="1" applyFont="1" applyProtection="1"/>
    <xf numFmtId="37" fontId="17" fillId="0" borderId="18" xfId="53" applyNumberFormat="1" applyFont="1" applyBorder="1" applyProtection="1"/>
    <xf numFmtId="5" fontId="18" fillId="0" borderId="19" xfId="53" applyNumberFormat="1" applyFont="1" applyBorder="1" applyProtection="1"/>
    <xf numFmtId="5" fontId="18" fillId="0" borderId="19" xfId="53" applyNumberFormat="1" applyFont="1" applyBorder="1" applyAlignment="1" applyProtection="1">
      <alignment horizontal="right"/>
    </xf>
    <xf numFmtId="5" fontId="18" fillId="0" borderId="0" xfId="53" applyNumberFormat="1" applyFont="1" applyBorder="1" applyProtection="1"/>
    <xf numFmtId="5" fontId="18" fillId="0" borderId="0" xfId="53" applyNumberFormat="1" applyFont="1" applyBorder="1" applyAlignment="1" applyProtection="1">
      <alignment horizontal="right"/>
    </xf>
    <xf numFmtId="5" fontId="21" fillId="0" borderId="0" xfId="53" applyNumberFormat="1" applyFont="1" applyBorder="1" applyProtection="1"/>
    <xf numFmtId="5" fontId="17" fillId="0" borderId="0" xfId="53" applyNumberFormat="1" applyFont="1" applyBorder="1" applyAlignment="1">
      <alignment horizontal="right"/>
    </xf>
    <xf numFmtId="37" fontId="21" fillId="0" borderId="0" xfId="53" applyNumberFormat="1" applyFont="1" applyProtection="1"/>
    <xf numFmtId="38" fontId="20" fillId="0" borderId="17" xfId="59" applyFont="1" applyBorder="1"/>
    <xf numFmtId="37" fontId="17" fillId="0" borderId="17" xfId="59" applyNumberFormat="1" applyFont="1" applyBorder="1" applyProtection="1"/>
    <xf numFmtId="37" fontId="17" fillId="0" borderId="0" xfId="59" applyNumberFormat="1" applyFont="1" applyBorder="1" applyProtection="1"/>
    <xf numFmtId="164" fontId="17" fillId="0" borderId="0" xfId="59" applyNumberFormat="1" applyFont="1" applyAlignment="1" applyProtection="1">
      <alignment horizontal="left"/>
    </xf>
    <xf numFmtId="5" fontId="18" fillId="0" borderId="0" xfId="59" applyNumberFormat="1" applyFont="1" applyBorder="1" applyProtection="1"/>
    <xf numFmtId="164" fontId="18" fillId="0" borderId="0" xfId="59" applyNumberFormat="1" applyFont="1" applyAlignment="1" applyProtection="1">
      <alignment horizontal="left"/>
    </xf>
    <xf numFmtId="0" fontId="16" fillId="0" borderId="0" xfId="0" applyFont="1" applyAlignment="1"/>
    <xf numFmtId="5" fontId="21" fillId="0" borderId="0" xfId="59" applyNumberFormat="1" applyFont="1" applyBorder="1" applyProtection="1"/>
    <xf numFmtId="38" fontId="21" fillId="0" borderId="17" xfId="59" applyFont="1" applyBorder="1"/>
    <xf numFmtId="5" fontId="17" fillId="0" borderId="0" xfId="59" applyNumberFormat="1" applyFont="1" applyBorder="1" applyProtection="1"/>
    <xf numFmtId="38" fontId="18" fillId="0" borderId="0" xfId="59" applyFont="1" applyBorder="1"/>
    <xf numFmtId="37" fontId="18" fillId="0" borderId="0" xfId="59" applyNumberFormat="1" applyFont="1" applyBorder="1" applyProtection="1"/>
    <xf numFmtId="5" fontId="16" fillId="0" borderId="0" xfId="59" applyNumberFormat="1" applyFont="1" applyBorder="1" applyProtection="1"/>
    <xf numFmtId="7" fontId="20" fillId="0" borderId="0" xfId="0" applyNumberFormat="1" applyFont="1" applyAlignment="1"/>
    <xf numFmtId="5" fontId="20" fillId="0" borderId="17" xfId="59" applyNumberFormat="1" applyFont="1" applyBorder="1" applyProtection="1"/>
    <xf numFmtId="38" fontId="18" fillId="0" borderId="17" xfId="60" applyFont="1" applyBorder="1"/>
    <xf numFmtId="38" fontId="18" fillId="0" borderId="0" xfId="60" applyFont="1" applyBorder="1" applyAlignment="1">
      <alignment horizontal="center"/>
    </xf>
    <xf numFmtId="38" fontId="17" fillId="0" borderId="0" xfId="59" applyFont="1" applyAlignment="1">
      <alignment horizontal="left"/>
    </xf>
    <xf numFmtId="38" fontId="18" fillId="0" borderId="0" xfId="60" applyFont="1" applyBorder="1"/>
    <xf numFmtId="164" fontId="18" fillId="0" borderId="17" xfId="59" applyNumberFormat="1" applyFont="1" applyBorder="1" applyAlignment="1" applyProtection="1">
      <alignment horizontal="center"/>
    </xf>
    <xf numFmtId="0" fontId="17" fillId="0" borderId="0" xfId="59" applyNumberFormat="1" applyFont="1" applyAlignment="1">
      <alignment horizontal="right"/>
    </xf>
    <xf numFmtId="38" fontId="17" fillId="28" borderId="0" xfId="59" applyFont="1" applyFill="1"/>
    <xf numFmtId="37" fontId="20" fillId="0" borderId="0" xfId="53" applyNumberFormat="1" applyFont="1" applyFill="1" applyAlignment="1">
      <alignment horizontal="right"/>
    </xf>
    <xf numFmtId="0" fontId="20" fillId="0" borderId="0" xfId="53" applyFont="1" applyFill="1"/>
    <xf numFmtId="0" fontId="23" fillId="0" borderId="0" xfId="53" applyFont="1"/>
    <xf numFmtId="38" fontId="18" fillId="0" borderId="0" xfId="59" applyFont="1" applyFill="1"/>
    <xf numFmtId="38" fontId="21" fillId="0" borderId="0" xfId="59" applyFont="1" applyFill="1" applyBorder="1"/>
    <xf numFmtId="37" fontId="17" fillId="0" borderId="0" xfId="59" applyNumberFormat="1" applyFont="1" applyFill="1" applyProtection="1"/>
    <xf numFmtId="37" fontId="17" fillId="0" borderId="0" xfId="59" applyNumberFormat="1" applyFont="1" applyFill="1" applyBorder="1" applyProtection="1"/>
    <xf numFmtId="0" fontId="20" fillId="0" borderId="0" xfId="0" applyFont="1" applyFill="1" applyAlignment="1"/>
    <xf numFmtId="0" fontId="16" fillId="0" borderId="0" xfId="0" applyFont="1" applyFill="1" applyAlignment="1"/>
    <xf numFmtId="37" fontId="21" fillId="0" borderId="0" xfId="53" applyNumberFormat="1" applyFont="1" applyFill="1" applyAlignment="1">
      <alignment horizontal="right"/>
    </xf>
    <xf numFmtId="37" fontId="17" fillId="0" borderId="0" xfId="53" applyNumberFormat="1" applyFont="1" applyFill="1" applyAlignment="1" applyProtection="1">
      <alignment horizontal="right"/>
    </xf>
    <xf numFmtId="37" fontId="17" fillId="0" borderId="0" xfId="53" applyNumberFormat="1" applyFont="1" applyFill="1" applyAlignment="1">
      <alignment horizontal="right"/>
    </xf>
    <xf numFmtId="0" fontId="24" fillId="0" borderId="0" xfId="53" applyFont="1" applyFill="1" applyAlignment="1">
      <alignment horizontal="right"/>
    </xf>
    <xf numFmtId="5" fontId="21" fillId="0" borderId="0" xfId="59" applyNumberFormat="1" applyFont="1" applyFill="1" applyProtection="1"/>
    <xf numFmtId="37" fontId="21" fillId="0" borderId="0" xfId="59" applyNumberFormat="1" applyFont="1" applyFill="1" applyProtection="1"/>
    <xf numFmtId="37" fontId="21" fillId="0" borderId="0" xfId="59" applyNumberFormat="1" applyFont="1" applyFill="1" applyBorder="1"/>
    <xf numFmtId="38" fontId="18" fillId="0" borderId="0" xfId="59" applyFont="1" applyFill="1" applyBorder="1"/>
    <xf numFmtId="37" fontId="18" fillId="0" borderId="0" xfId="59" applyNumberFormat="1" applyFont="1" applyFill="1" applyBorder="1" applyProtection="1"/>
    <xf numFmtId="5" fontId="17" fillId="0" borderId="0" xfId="59" applyNumberFormat="1" applyFont="1" applyFill="1" applyBorder="1" applyProtection="1"/>
    <xf numFmtId="38" fontId="21" fillId="0" borderId="17" xfId="59" applyFont="1" applyFill="1" applyBorder="1"/>
    <xf numFmtId="37" fontId="18" fillId="0" borderId="0" xfId="59" applyNumberFormat="1" applyFont="1" applyFill="1" applyProtection="1"/>
    <xf numFmtId="5" fontId="17" fillId="0" borderId="0" xfId="59" applyNumberFormat="1" applyFont="1" applyFill="1" applyProtection="1"/>
    <xf numFmtId="37" fontId="17" fillId="0" borderId="18" xfId="59" applyNumberFormat="1" applyFont="1" applyFill="1" applyBorder="1" applyProtection="1"/>
    <xf numFmtId="37" fontId="21" fillId="0" borderId="0" xfId="53" applyNumberFormat="1" applyFont="1" applyFill="1" applyProtection="1"/>
    <xf numFmtId="5" fontId="21" fillId="0" borderId="0" xfId="53" applyNumberFormat="1" applyFont="1" applyFill="1" applyBorder="1" applyProtection="1"/>
    <xf numFmtId="5" fontId="21" fillId="0" borderId="0" xfId="53" applyNumberFormat="1" applyFont="1" applyFill="1" applyAlignment="1">
      <alignment horizontal="right"/>
    </xf>
    <xf numFmtId="5" fontId="21" fillId="0" borderId="19" xfId="53" applyNumberFormat="1" applyFont="1" applyFill="1" applyBorder="1" applyAlignment="1">
      <alignment horizontal="right"/>
    </xf>
    <xf numFmtId="37" fontId="21" fillId="0" borderId="17" xfId="53" applyNumberFormat="1" applyFont="1" applyFill="1" applyBorder="1" applyAlignment="1">
      <alignment horizontal="right"/>
    </xf>
    <xf numFmtId="5" fontId="20" fillId="0" borderId="0" xfId="59" applyNumberFormat="1" applyFont="1" applyFill="1" applyProtection="1"/>
    <xf numFmtId="37" fontId="20" fillId="0" borderId="0" xfId="59" applyNumberFormat="1" applyFont="1" applyFill="1" applyProtection="1"/>
    <xf numFmtId="0" fontId="25" fillId="0" borderId="0" xfId="0" applyFont="1" applyAlignment="1"/>
    <xf numFmtId="0" fontId="0" fillId="0" borderId="0" xfId="0" applyFill="1" applyBorder="1" applyAlignment="1"/>
    <xf numFmtId="0" fontId="26" fillId="0" borderId="0" xfId="0" applyFont="1" applyAlignment="1">
      <alignment horizontal="right"/>
    </xf>
    <xf numFmtId="171" fontId="20" fillId="0" borderId="0" xfId="0" applyNumberFormat="1" applyFont="1" applyAlignment="1">
      <alignment horizontal="center"/>
    </xf>
    <xf numFmtId="37" fontId="17" fillId="0" borderId="0" xfId="59" applyNumberFormat="1" applyFont="1" applyAlignment="1" applyProtection="1">
      <alignment horizontal="center"/>
    </xf>
    <xf numFmtId="5" fontId="17" fillId="0" borderId="0" xfId="53" applyNumberFormat="1" applyFont="1" applyFill="1"/>
    <xf numFmtId="37" fontId="17" fillId="0" borderId="0" xfId="53" applyNumberFormat="1" applyFont="1" applyFill="1"/>
    <xf numFmtId="5" fontId="18" fillId="0" borderId="12" xfId="59" applyNumberFormat="1" applyFont="1" applyBorder="1" applyProtection="1"/>
    <xf numFmtId="38" fontId="29" fillId="0" borderId="0" xfId="59" applyFont="1" applyFill="1"/>
    <xf numFmtId="164" fontId="18" fillId="0" borderId="0" xfId="59" applyNumberFormat="1" applyFont="1" applyFill="1" applyAlignment="1" applyProtection="1">
      <alignment horizontal="left"/>
    </xf>
    <xf numFmtId="37" fontId="18" fillId="0" borderId="0" xfId="59" applyNumberFormat="1" applyFont="1" applyFill="1" applyBorder="1" applyAlignment="1">
      <alignment horizontal="right"/>
    </xf>
    <xf numFmtId="5" fontId="18" fillId="0" borderId="0" xfId="59" applyNumberFormat="1" applyFont="1" applyFill="1" applyBorder="1" applyAlignment="1" applyProtection="1">
      <alignment horizontal="center"/>
    </xf>
    <xf numFmtId="5" fontId="18" fillId="0" borderId="22" xfId="59" applyNumberFormat="1" applyFont="1" applyFill="1" applyBorder="1" applyProtection="1"/>
    <xf numFmtId="5" fontId="18" fillId="0" borderId="15" xfId="59" applyNumberFormat="1" applyFont="1" applyFill="1" applyBorder="1" applyProtection="1"/>
    <xf numFmtId="37" fontId="30" fillId="0" borderId="0" xfId="59" applyNumberFormat="1" applyFont="1" applyAlignment="1"/>
    <xf numFmtId="164" fontId="18" fillId="29" borderId="17" xfId="59" applyNumberFormat="1" applyFont="1" applyFill="1" applyBorder="1" applyAlignment="1" applyProtection="1">
      <alignment horizontal="left"/>
    </xf>
    <xf numFmtId="38" fontId="18" fillId="29" borderId="17" xfId="59" applyFont="1" applyFill="1" applyBorder="1"/>
    <xf numFmtId="38" fontId="29" fillId="0" borderId="0" xfId="59" applyFont="1"/>
    <xf numFmtId="0" fontId="18" fillId="29" borderId="17" xfId="53" applyFont="1" applyFill="1" applyBorder="1"/>
    <xf numFmtId="0" fontId="17" fillId="29" borderId="17" xfId="53" applyFont="1" applyFill="1" applyBorder="1"/>
    <xf numFmtId="0" fontId="18" fillId="29" borderId="17" xfId="53" applyFont="1" applyFill="1" applyBorder="1" applyAlignment="1">
      <alignment horizontal="left"/>
    </xf>
    <xf numFmtId="0" fontId="16" fillId="29" borderId="17" xfId="0" applyFont="1" applyFill="1" applyBorder="1" applyAlignment="1"/>
    <xf numFmtId="38" fontId="23" fillId="0" borderId="0" xfId="59" applyFont="1" applyAlignment="1"/>
    <xf numFmtId="37" fontId="20" fillId="0" borderId="0" xfId="59" applyNumberFormat="1" applyFont="1" applyBorder="1"/>
    <xf numFmtId="0" fontId="20" fillId="0" borderId="0" xfId="0" applyNumberFormat="1" applyFont="1" applyFill="1" applyAlignment="1"/>
    <xf numFmtId="42" fontId="20" fillId="0" borderId="0" xfId="0" applyNumberFormat="1" applyFont="1" applyAlignment="1"/>
    <xf numFmtId="10" fontId="20" fillId="0" borderId="0" xfId="69" applyNumberFormat="1" applyFont="1"/>
    <xf numFmtId="0" fontId="20" fillId="0" borderId="0" xfId="0" applyFont="1" applyAlignment="1">
      <alignment horizontal="center"/>
    </xf>
    <xf numFmtId="170" fontId="20" fillId="0" borderId="0" xfId="29" applyNumberFormat="1" applyFont="1"/>
    <xf numFmtId="170" fontId="20" fillId="0" borderId="0" xfId="0" applyNumberFormat="1" applyFont="1" applyAlignment="1"/>
    <xf numFmtId="170" fontId="20" fillId="0" borderId="8" xfId="0" applyNumberFormat="1" applyFont="1" applyBorder="1" applyAlignment="1"/>
    <xf numFmtId="0" fontId="20" fillId="0" borderId="0" xfId="0" applyFont="1" applyAlignment="1">
      <alignment horizontal="right"/>
    </xf>
    <xf numFmtId="43" fontId="20" fillId="0" borderId="0" xfId="29" applyFont="1"/>
    <xf numFmtId="17" fontId="20" fillId="0" borderId="0" xfId="0" applyNumberFormat="1" applyFont="1" applyAlignment="1"/>
    <xf numFmtId="43" fontId="20" fillId="0" borderId="0" xfId="0" applyNumberFormat="1" applyFont="1" applyAlignment="1"/>
    <xf numFmtId="0" fontId="33" fillId="0" borderId="0" xfId="0" applyFont="1" applyFill="1" applyAlignment="1"/>
    <xf numFmtId="0" fontId="33" fillId="0" borderId="0" xfId="0" applyFont="1" applyAlignment="1"/>
    <xf numFmtId="0" fontId="32" fillId="0" borderId="0" xfId="0" applyFont="1" applyAlignment="1">
      <alignment horizontal="center"/>
    </xf>
    <xf numFmtId="178" fontId="33" fillId="0" borderId="0" xfId="0" applyNumberFormat="1" applyFont="1" applyAlignment="1">
      <alignment horizontal="center"/>
    </xf>
    <xf numFmtId="0" fontId="32" fillId="0" borderId="0" xfId="58" applyFont="1" applyAlignment="1">
      <alignment horizontal="left" vertical="center"/>
    </xf>
    <xf numFmtId="164" fontId="34" fillId="0" borderId="0" xfId="59" applyNumberFormat="1" applyFont="1" applyAlignment="1" applyProtection="1">
      <alignment horizontal="right"/>
    </xf>
    <xf numFmtId="0" fontId="34" fillId="0" borderId="0" xfId="53" applyFont="1" applyAlignment="1">
      <alignment horizontal="left"/>
    </xf>
    <xf numFmtId="17" fontId="33" fillId="0" borderId="0" xfId="0" applyNumberFormat="1" applyFont="1" applyAlignment="1"/>
    <xf numFmtId="17" fontId="32" fillId="0" borderId="0" xfId="0" applyNumberFormat="1" applyFont="1" applyAlignment="1">
      <alignment horizontal="center" wrapText="1"/>
    </xf>
    <xf numFmtId="37" fontId="33" fillId="0" borderId="0" xfId="0" applyNumberFormat="1" applyFont="1" applyAlignment="1"/>
    <xf numFmtId="37" fontId="33" fillId="0" borderId="17" xfId="0" applyNumberFormat="1" applyFont="1" applyBorder="1" applyAlignment="1"/>
    <xf numFmtId="5" fontId="33" fillId="0" borderId="0" xfId="0" applyNumberFormat="1" applyFont="1" applyAlignment="1"/>
    <xf numFmtId="0" fontId="33" fillId="0" borderId="0" xfId="0" applyFont="1" applyBorder="1" applyAlignment="1"/>
    <xf numFmtId="5" fontId="33" fillId="0" borderId="0" xfId="0" applyNumberFormat="1" applyFont="1" applyBorder="1" applyAlignment="1"/>
    <xf numFmtId="37" fontId="33" fillId="0" borderId="0" xfId="0" applyNumberFormat="1" applyFont="1" applyBorder="1" applyAlignment="1"/>
    <xf numFmtId="37" fontId="33" fillId="0" borderId="23" xfId="0" applyNumberFormat="1" applyFont="1" applyBorder="1" applyAlignment="1"/>
    <xf numFmtId="37" fontId="34" fillId="0" borderId="0" xfId="59" applyNumberFormat="1" applyFont="1" applyAlignment="1" applyProtection="1"/>
    <xf numFmtId="37" fontId="34" fillId="0" borderId="0" xfId="59" applyNumberFormat="1" applyFont="1"/>
    <xf numFmtId="37" fontId="30" fillId="0" borderId="0" xfId="59" applyNumberFormat="1" applyFont="1"/>
    <xf numFmtId="37" fontId="34" fillId="0" borderId="0" xfId="59" applyNumberFormat="1" applyFont="1" applyAlignment="1" applyProtection="1">
      <alignment horizontal="right"/>
      <protection locked="0"/>
    </xf>
    <xf numFmtId="37" fontId="30" fillId="0" borderId="0" xfId="60" applyNumberFormat="1" applyFont="1"/>
    <xf numFmtId="37" fontId="33" fillId="0" borderId="0" xfId="59" applyNumberFormat="1" applyFont="1" applyFill="1"/>
    <xf numFmtId="37" fontId="34" fillId="0" borderId="0" xfId="59" applyNumberFormat="1" applyFont="1" applyAlignment="1">
      <alignment horizontal="center"/>
    </xf>
    <xf numFmtId="37" fontId="34" fillId="0" borderId="0" xfId="59" applyNumberFormat="1" applyFont="1" applyAlignment="1" applyProtection="1">
      <alignment horizontal="center"/>
    </xf>
    <xf numFmtId="37" fontId="32" fillId="0" borderId="0" xfId="0" applyNumberFormat="1" applyFont="1" applyAlignment="1">
      <alignment horizontal="center"/>
    </xf>
    <xf numFmtId="37" fontId="34" fillId="0" borderId="0" xfId="59" applyNumberFormat="1" applyFont="1" applyBorder="1" applyAlignment="1" applyProtection="1">
      <alignment horizontal="center"/>
    </xf>
    <xf numFmtId="37" fontId="30" fillId="0" borderId="16" xfId="59" applyNumberFormat="1" applyFont="1" applyBorder="1" applyAlignment="1"/>
    <xf numFmtId="37" fontId="34" fillId="0" borderId="16" xfId="59" applyNumberFormat="1" applyFont="1" applyBorder="1" applyAlignment="1" applyProtection="1">
      <alignment horizontal="center"/>
    </xf>
    <xf numFmtId="37" fontId="30" fillId="0" borderId="0" xfId="59" quotePrefix="1" applyNumberFormat="1" applyFont="1" applyAlignment="1"/>
    <xf numFmtId="37" fontId="34" fillId="0" borderId="17" xfId="59" applyNumberFormat="1" applyFont="1" applyBorder="1" applyAlignment="1" applyProtection="1">
      <alignment horizontal="left"/>
    </xf>
    <xf numFmtId="37" fontId="34" fillId="0" borderId="17" xfId="59" applyNumberFormat="1" applyFont="1" applyBorder="1"/>
    <xf numFmtId="37" fontId="30" fillId="0" borderId="18" xfId="59" applyNumberFormat="1" applyFont="1" applyBorder="1"/>
    <xf numFmtId="37" fontId="30" fillId="0" borderId="0" xfId="59" quotePrefix="1" applyNumberFormat="1" applyFont="1" applyAlignment="1">
      <alignment horizontal="left"/>
    </xf>
    <xf numFmtId="37" fontId="30" fillId="0" borderId="0" xfId="59" quotePrefix="1" applyNumberFormat="1" applyFont="1" applyAlignment="1" applyProtection="1">
      <alignment horizontal="left"/>
    </xf>
    <xf numFmtId="37" fontId="33" fillId="0" borderId="0" xfId="59" applyNumberFormat="1" applyFont="1" applyBorder="1"/>
    <xf numFmtId="37" fontId="7" fillId="0" borderId="0" xfId="59" applyNumberFormat="1" applyFont="1" applyBorder="1"/>
    <xf numFmtId="37" fontId="33" fillId="0" borderId="0" xfId="59" applyNumberFormat="1" applyFont="1" applyProtection="1"/>
    <xf numFmtId="37" fontId="30" fillId="0" borderId="0" xfId="59" applyNumberFormat="1" applyFont="1" applyAlignment="1" applyProtection="1">
      <alignment horizontal="left"/>
    </xf>
    <xf numFmtId="37" fontId="30" fillId="0" borderId="18" xfId="59" applyNumberFormat="1" applyFont="1" applyBorder="1" applyProtection="1"/>
    <xf numFmtId="37" fontId="30" fillId="0" borderId="0" xfId="59" applyNumberFormat="1" applyFont="1" applyProtection="1"/>
    <xf numFmtId="37" fontId="30" fillId="0" borderId="0" xfId="59" applyNumberFormat="1" applyFont="1" applyBorder="1" applyAlignment="1">
      <alignment horizontal="right"/>
    </xf>
    <xf numFmtId="37" fontId="33" fillId="0" borderId="18" xfId="59" applyNumberFormat="1" applyFont="1" applyBorder="1" applyProtection="1"/>
    <xf numFmtId="37" fontId="34" fillId="0" borderId="0" xfId="59" quotePrefix="1" applyNumberFormat="1" applyFont="1" applyAlignment="1" applyProtection="1">
      <alignment horizontal="left"/>
    </xf>
    <xf numFmtId="37" fontId="34" fillId="0" borderId="19" xfId="59" applyNumberFormat="1" applyFont="1" applyBorder="1" applyProtection="1"/>
    <xf numFmtId="37" fontId="34" fillId="0" borderId="0" xfId="59" applyNumberFormat="1" applyFont="1" applyBorder="1" applyAlignment="1">
      <alignment horizontal="right"/>
    </xf>
    <xf numFmtId="37" fontId="33" fillId="0" borderId="0" xfId="59" applyNumberFormat="1" applyFont="1"/>
    <xf numFmtId="17" fontId="32" fillId="0" borderId="0" xfId="0" applyNumberFormat="1" applyFont="1" applyBorder="1" applyAlignment="1">
      <alignment horizontal="center" wrapText="1"/>
    </xf>
    <xf numFmtId="0" fontId="30" fillId="0" borderId="0" xfId="53" applyFont="1"/>
    <xf numFmtId="0" fontId="30" fillId="0" borderId="0" xfId="53" applyFont="1" applyAlignment="1">
      <alignment horizontal="right"/>
    </xf>
    <xf numFmtId="0" fontId="34" fillId="0" borderId="0" xfId="53" applyFont="1" applyAlignment="1">
      <alignment horizontal="right"/>
    </xf>
    <xf numFmtId="0" fontId="34" fillId="0" borderId="0" xfId="53" applyFont="1" applyAlignment="1" applyProtection="1">
      <alignment horizontal="right"/>
      <protection locked="0"/>
    </xf>
    <xf numFmtId="0" fontId="30" fillId="0" borderId="0" xfId="53" applyFont="1" applyAlignment="1">
      <alignment horizontal="left"/>
    </xf>
    <xf numFmtId="0" fontId="35" fillId="0" borderId="0" xfId="53" applyFont="1"/>
    <xf numFmtId="0" fontId="34" fillId="0" borderId="0" xfId="53" applyFont="1" applyAlignment="1">
      <alignment horizontal="center"/>
    </xf>
    <xf numFmtId="0" fontId="34" fillId="0" borderId="0" xfId="53" applyFont="1" applyBorder="1" applyAlignment="1">
      <alignment horizontal="center"/>
    </xf>
    <xf numFmtId="0" fontId="34" fillId="0" borderId="16" xfId="53" applyFont="1" applyBorder="1" applyAlignment="1">
      <alignment horizontal="left"/>
    </xf>
    <xf numFmtId="0" fontId="30" fillId="0" borderId="16" xfId="53" applyFont="1" applyBorder="1"/>
    <xf numFmtId="0" fontId="34" fillId="0" borderId="16" xfId="53" applyFont="1" applyBorder="1" applyAlignment="1">
      <alignment horizontal="center"/>
    </xf>
    <xf numFmtId="0" fontId="34" fillId="0" borderId="17" xfId="53" applyFont="1" applyBorder="1" applyAlignment="1">
      <alignment horizontal="center"/>
    </xf>
    <xf numFmtId="0" fontId="30" fillId="0" borderId="18" xfId="53" applyFont="1" applyBorder="1" applyAlignment="1">
      <alignment horizontal="right"/>
    </xf>
    <xf numFmtId="0" fontId="34" fillId="0" borderId="17" xfId="53" applyFont="1" applyBorder="1"/>
    <xf numFmtId="0" fontId="30" fillId="0" borderId="17" xfId="53" applyFont="1" applyBorder="1"/>
    <xf numFmtId="0" fontId="30" fillId="0" borderId="0" xfId="53" applyFont="1" applyBorder="1" applyAlignment="1">
      <alignment horizontal="right"/>
    </xf>
    <xf numFmtId="37" fontId="30" fillId="0" borderId="0" xfId="53" applyNumberFormat="1" applyFont="1"/>
    <xf numFmtId="38" fontId="30" fillId="0" borderId="0" xfId="54" applyFont="1"/>
    <xf numFmtId="37" fontId="7" fillId="0" borderId="0" xfId="53" applyNumberFormat="1" applyFont="1" applyAlignment="1">
      <alignment horizontal="right"/>
    </xf>
    <xf numFmtId="5" fontId="30" fillId="0" borderId="0" xfId="53" applyNumberFormat="1" applyFont="1" applyAlignment="1" applyProtection="1">
      <alignment horizontal="right"/>
    </xf>
    <xf numFmtId="37" fontId="30" fillId="0" borderId="0" xfId="53" applyNumberFormat="1" applyFont="1" applyAlignment="1">
      <alignment horizontal="right"/>
    </xf>
    <xf numFmtId="0" fontId="35" fillId="0" borderId="17" xfId="53" applyFont="1" applyBorder="1"/>
    <xf numFmtId="5" fontId="30" fillId="0" borderId="0" xfId="53" applyNumberFormat="1" applyFont="1"/>
    <xf numFmtId="37" fontId="30" fillId="0" borderId="0" xfId="53" applyNumberFormat="1" applyFont="1" applyBorder="1"/>
    <xf numFmtId="0" fontId="36" fillId="0" borderId="0" xfId="0" applyNumberFormat="1" applyFont="1" applyFill="1" applyAlignment="1">
      <alignment horizontal="right"/>
    </xf>
    <xf numFmtId="0" fontId="36" fillId="0" borderId="0" xfId="0" applyNumberFormat="1" applyFont="1" applyFill="1" applyAlignment="1"/>
    <xf numFmtId="0" fontId="36" fillId="0" borderId="0" xfId="0" applyNumberFormat="1" applyFont="1" applyFill="1" applyAlignment="1">
      <alignment horizontal="center"/>
    </xf>
    <xf numFmtId="5" fontId="18" fillId="0" borderId="0" xfId="59" applyNumberFormat="1" applyFont="1" applyFill="1" applyBorder="1" applyProtection="1"/>
    <xf numFmtId="5" fontId="18" fillId="0" borderId="8" xfId="59" applyNumberFormat="1" applyFont="1" applyFill="1" applyBorder="1" applyProtection="1"/>
    <xf numFmtId="0" fontId="37" fillId="0" borderId="0" xfId="0" applyFont="1" applyAlignment="1"/>
    <xf numFmtId="43" fontId="37" fillId="0" borderId="0" xfId="29" applyFont="1"/>
    <xf numFmtId="0" fontId="37" fillId="0" borderId="0" xfId="0" applyFont="1" applyAlignment="1">
      <alignment horizontal="center" wrapText="1"/>
    </xf>
    <xf numFmtId="43" fontId="37" fillId="0" borderId="0" xfId="29" applyFont="1" applyAlignment="1">
      <alignment horizontal="center" wrapText="1"/>
    </xf>
    <xf numFmtId="170" fontId="37" fillId="0" borderId="0" xfId="29" applyNumberFormat="1" applyFont="1"/>
    <xf numFmtId="0" fontId="37" fillId="0" borderId="0" xfId="0" applyFont="1" applyFill="1" applyAlignment="1"/>
    <xf numFmtId="170" fontId="37" fillId="0" borderId="23" xfId="29" applyNumberFormat="1" applyFont="1" applyBorder="1"/>
    <xf numFmtId="5" fontId="17" fillId="0" borderId="17" xfId="59" applyNumberFormat="1" applyFont="1" applyBorder="1" applyProtection="1"/>
    <xf numFmtId="37" fontId="30" fillId="0" borderId="17" xfId="59" applyNumberFormat="1" applyFont="1" applyBorder="1" applyAlignment="1">
      <alignment horizontal="center"/>
    </xf>
    <xf numFmtId="164" fontId="34" fillId="0" borderId="0" xfId="57" applyNumberFormat="1" applyFont="1" applyAlignment="1" applyProtection="1">
      <alignment horizontal="left"/>
    </xf>
    <xf numFmtId="0" fontId="30" fillId="0" borderId="0" xfId="53" applyFont="1" applyBorder="1"/>
    <xf numFmtId="164" fontId="34" fillId="0" borderId="0" xfId="59" applyNumberFormat="1" applyFont="1" applyAlignment="1" applyProtection="1">
      <alignment horizontal="right"/>
      <protection locked="0"/>
    </xf>
    <xf numFmtId="0" fontId="34" fillId="0" borderId="0" xfId="53" applyFont="1"/>
    <xf numFmtId="0" fontId="34" fillId="0" borderId="0" xfId="53" applyFont="1" applyAlignment="1" applyProtection="1">
      <alignment horizontal="left"/>
      <protection locked="0"/>
    </xf>
    <xf numFmtId="0" fontId="30" fillId="0" borderId="0" xfId="53" applyFont="1" applyAlignment="1">
      <alignment horizontal="center"/>
    </xf>
    <xf numFmtId="0" fontId="34" fillId="0" borderId="0" xfId="53" applyFont="1" applyBorder="1"/>
    <xf numFmtId="0" fontId="38" fillId="0" borderId="0" xfId="53" applyFont="1" applyAlignment="1">
      <alignment horizontal="left"/>
    </xf>
    <xf numFmtId="0" fontId="39" fillId="0" borderId="0" xfId="53" applyFont="1" applyAlignment="1">
      <alignment horizontal="left"/>
    </xf>
    <xf numFmtId="5" fontId="7" fillId="0" borderId="0" xfId="53" applyNumberFormat="1" applyFont="1" applyFill="1" applyBorder="1"/>
    <xf numFmtId="5" fontId="30" fillId="0" borderId="0" xfId="53" applyNumberFormat="1" applyFont="1" applyProtection="1"/>
    <xf numFmtId="0" fontId="30" fillId="0" borderId="0" xfId="53" quotePrefix="1" applyFont="1" applyAlignment="1">
      <alignment horizontal="left"/>
    </xf>
    <xf numFmtId="37" fontId="7" fillId="0" borderId="0" xfId="53" applyNumberFormat="1" applyFont="1" applyFill="1" applyProtection="1"/>
    <xf numFmtId="37" fontId="7" fillId="0" borderId="0" xfId="53" applyNumberFormat="1" applyFont="1" applyFill="1" applyBorder="1"/>
    <xf numFmtId="37" fontId="30" fillId="0" borderId="0" xfId="53" applyNumberFormat="1" applyFont="1" applyProtection="1"/>
    <xf numFmtId="5" fontId="30" fillId="0" borderId="18" xfId="53" applyNumberFormat="1" applyFont="1" applyBorder="1" applyProtection="1"/>
    <xf numFmtId="37" fontId="30" fillId="0" borderId="0" xfId="53" applyNumberFormat="1" applyFont="1" applyBorder="1" applyProtection="1"/>
    <xf numFmtId="37" fontId="30" fillId="0" borderId="17" xfId="53" applyNumberFormat="1" applyFont="1" applyBorder="1" applyProtection="1"/>
    <xf numFmtId="5" fontId="30" fillId="0" borderId="20" xfId="53" applyNumberFormat="1" applyFont="1" applyBorder="1" applyProtection="1"/>
    <xf numFmtId="5" fontId="30" fillId="0" borderId="0" xfId="53" applyNumberFormat="1" applyFont="1" applyBorder="1" applyProtection="1"/>
    <xf numFmtId="5" fontId="7" fillId="0" borderId="0" xfId="53" applyNumberFormat="1" applyFont="1" applyProtection="1"/>
    <xf numFmtId="5" fontId="7" fillId="0" borderId="19" xfId="53" applyNumberFormat="1" applyFont="1" applyBorder="1" applyProtection="1"/>
    <xf numFmtId="5" fontId="7" fillId="0" borderId="17" xfId="53" applyNumberFormat="1" applyFont="1" applyFill="1" applyBorder="1" applyProtection="1"/>
    <xf numFmtId="37" fontId="7" fillId="27" borderId="17" xfId="53" applyNumberFormat="1" applyFont="1" applyFill="1" applyBorder="1" applyProtection="1"/>
    <xf numFmtId="5" fontId="7" fillId="0" borderId="17" xfId="53" applyNumberFormat="1" applyFont="1" applyBorder="1" applyProtection="1"/>
    <xf numFmtId="5" fontId="30" fillId="0" borderId="19" xfId="53" applyNumberFormat="1" applyFont="1" applyBorder="1" applyProtection="1"/>
    <xf numFmtId="38" fontId="30" fillId="0" borderId="0" xfId="53" applyNumberFormat="1" applyFont="1" applyProtection="1"/>
    <xf numFmtId="37" fontId="30" fillId="0" borderId="0" xfId="53" applyNumberFormat="1" applyFont="1" applyFill="1"/>
    <xf numFmtId="37" fontId="30" fillId="0" borderId="0" xfId="53" applyNumberFormat="1" applyFont="1" applyFill="1" applyProtection="1"/>
    <xf numFmtId="37" fontId="30" fillId="0" borderId="0" xfId="53" applyNumberFormat="1" applyFont="1" applyAlignment="1">
      <alignment horizontal="left"/>
    </xf>
    <xf numFmtId="5" fontId="30" fillId="0" borderId="19" xfId="53" applyNumberFormat="1" applyFont="1" applyBorder="1"/>
    <xf numFmtId="0" fontId="30" fillId="0" borderId="0" xfId="53" applyFont="1" applyFill="1"/>
    <xf numFmtId="5" fontId="30" fillId="0" borderId="19" xfId="53" applyNumberFormat="1" applyFont="1" applyFill="1" applyBorder="1"/>
    <xf numFmtId="170" fontId="30" fillId="0" borderId="0" xfId="29" applyNumberFormat="1" applyFont="1"/>
    <xf numFmtId="37" fontId="7" fillId="27" borderId="0" xfId="53" applyNumberFormat="1" applyFont="1" applyFill="1" applyBorder="1" applyProtection="1"/>
    <xf numFmtId="0" fontId="30" fillId="0" borderId="0" xfId="53" applyFont="1" applyFill="1" applyBorder="1"/>
    <xf numFmtId="0" fontId="30" fillId="0" borderId="0" xfId="53" applyFont="1" applyFill="1" applyBorder="1" applyAlignment="1">
      <alignment horizontal="center"/>
    </xf>
    <xf numFmtId="0" fontId="34" fillId="0" borderId="0" xfId="53" applyFont="1" applyFill="1" applyBorder="1" applyAlignment="1">
      <alignment horizontal="center"/>
    </xf>
    <xf numFmtId="5" fontId="30" fillId="0" borderId="0" xfId="53" applyNumberFormat="1" applyFont="1" applyFill="1" applyBorder="1"/>
    <xf numFmtId="37" fontId="30" fillId="0" borderId="0" xfId="53" applyNumberFormat="1" applyFont="1" applyFill="1" applyBorder="1"/>
    <xf numFmtId="175" fontId="20" fillId="0" borderId="15" xfId="0" applyNumberFormat="1" applyFont="1" applyFill="1" applyBorder="1" applyAlignment="1"/>
    <xf numFmtId="5" fontId="7" fillId="0" borderId="0" xfId="53" applyNumberFormat="1" applyFont="1" applyFill="1" applyProtection="1"/>
    <xf numFmtId="5" fontId="30" fillId="0" borderId="18" xfId="53" applyNumberFormat="1" applyFont="1" applyFill="1" applyBorder="1" applyProtection="1"/>
    <xf numFmtId="37" fontId="7" fillId="0" borderId="0" xfId="53" applyNumberFormat="1" applyFont="1" applyFill="1" applyBorder="1" applyProtection="1"/>
    <xf numFmtId="37" fontId="7" fillId="0" borderId="17" xfId="53" applyNumberFormat="1" applyFont="1" applyFill="1" applyBorder="1" applyProtection="1"/>
    <xf numFmtId="37" fontId="33" fillId="0" borderId="0" xfId="0" applyNumberFormat="1" applyFont="1" applyFill="1" applyAlignment="1"/>
    <xf numFmtId="17" fontId="20" fillId="0" borderId="0" xfId="0" applyNumberFormat="1" applyFont="1" applyFill="1" applyAlignment="1"/>
    <xf numFmtId="10" fontId="20" fillId="0" borderId="0" xfId="69" applyNumberFormat="1" applyFont="1" applyFill="1"/>
    <xf numFmtId="37" fontId="21" fillId="30" borderId="0" xfId="53" applyNumberFormat="1" applyFont="1" applyFill="1" applyAlignment="1">
      <alignment horizontal="right"/>
    </xf>
    <xf numFmtId="0" fontId="17" fillId="30" borderId="0" xfId="53" applyFont="1" applyFill="1"/>
    <xf numFmtId="37" fontId="17" fillId="30" borderId="0" xfId="53" applyNumberFormat="1" applyFont="1" applyFill="1" applyAlignment="1" applyProtection="1">
      <alignment horizontal="right"/>
    </xf>
    <xf numFmtId="37" fontId="17" fillId="30" borderId="0" xfId="53" applyNumberFormat="1" applyFont="1" applyFill="1" applyAlignment="1">
      <alignment horizontal="right"/>
    </xf>
    <xf numFmtId="38" fontId="21" fillId="30" borderId="0" xfId="59" applyFont="1" applyFill="1" applyBorder="1"/>
    <xf numFmtId="5" fontId="21" fillId="30" borderId="0" xfId="59" applyNumberFormat="1" applyFont="1" applyFill="1" applyProtection="1"/>
    <xf numFmtId="0" fontId="20" fillId="30" borderId="0" xfId="0" applyFont="1" applyFill="1" applyAlignment="1"/>
    <xf numFmtId="5" fontId="7" fillId="30" borderId="0" xfId="53" applyNumberFormat="1" applyFont="1" applyFill="1" applyAlignment="1">
      <alignment horizontal="right"/>
    </xf>
    <xf numFmtId="37" fontId="7" fillId="30" borderId="0" xfId="53" applyNumberFormat="1" applyFont="1" applyFill="1" applyBorder="1" applyAlignment="1">
      <alignment horizontal="right"/>
    </xf>
    <xf numFmtId="0" fontId="30" fillId="30" borderId="0" xfId="53" applyFont="1" applyFill="1"/>
    <xf numFmtId="37" fontId="7" fillId="30" borderId="17" xfId="53" applyNumberFormat="1" applyFont="1" applyFill="1" applyBorder="1" applyAlignment="1">
      <alignment horizontal="right"/>
    </xf>
    <xf numFmtId="37" fontId="33" fillId="0" borderId="17" xfId="0" applyNumberFormat="1" applyFont="1" applyFill="1" applyBorder="1" applyAlignment="1"/>
    <xf numFmtId="37" fontId="33" fillId="0" borderId="0" xfId="59" applyNumberFormat="1" applyFont="1" applyFill="1" applyBorder="1"/>
    <xf numFmtId="37" fontId="7" fillId="0" borderId="0" xfId="59" applyNumberFormat="1" applyFont="1" applyFill="1" applyBorder="1"/>
    <xf numFmtId="37" fontId="30" fillId="0" borderId="0" xfId="59" applyNumberFormat="1" applyFont="1" applyFill="1"/>
    <xf numFmtId="170" fontId="37" fillId="0" borderId="0" xfId="29" applyNumberFormat="1" applyFont="1" applyFill="1"/>
    <xf numFmtId="37" fontId="21" fillId="0" borderId="0" xfId="59" applyNumberFormat="1" applyFont="1" applyFill="1" applyBorder="1" applyAlignment="1">
      <alignment horizontal="right"/>
    </xf>
    <xf numFmtId="38" fontId="40" fillId="0" borderId="0" xfId="59" applyFont="1" applyFill="1" applyBorder="1"/>
    <xf numFmtId="38" fontId="21" fillId="0" borderId="0" xfId="59" applyFont="1" applyFill="1"/>
    <xf numFmtId="38" fontId="40" fillId="0" borderId="0" xfId="59" applyFont="1" applyFill="1"/>
    <xf numFmtId="0" fontId="25" fillId="0" borderId="0" xfId="0" applyFont="1" applyAlignment="1">
      <alignment horizontal="center"/>
    </xf>
    <xf numFmtId="37" fontId="33" fillId="0" borderId="17" xfId="53" applyNumberFormat="1" applyFont="1" applyFill="1" applyBorder="1" applyProtection="1"/>
    <xf numFmtId="37" fontId="33" fillId="0" borderId="0" xfId="53" applyNumberFormat="1" applyFont="1" applyFill="1" applyProtection="1"/>
    <xf numFmtId="37" fontId="33" fillId="31" borderId="0" xfId="0" applyNumberFormat="1" applyFont="1" applyFill="1" applyAlignment="1"/>
    <xf numFmtId="17" fontId="17" fillId="0" borderId="0" xfId="59" quotePrefix="1" applyNumberFormat="1" applyFont="1" applyBorder="1" applyAlignment="1">
      <alignment horizontal="right"/>
    </xf>
    <xf numFmtId="0" fontId="17" fillId="0" borderId="0" xfId="59" applyNumberFormat="1" applyFont="1" applyBorder="1" applyAlignment="1">
      <alignment horizontal="right"/>
    </xf>
    <xf numFmtId="0" fontId="17" fillId="0" borderId="0" xfId="59" quotePrefix="1" applyNumberFormat="1" applyFont="1" applyBorder="1" applyAlignment="1">
      <alignment horizontal="right"/>
    </xf>
    <xf numFmtId="17" fontId="17" fillId="0" borderId="0" xfId="59" quotePrefix="1" applyNumberFormat="1" applyFont="1" applyAlignment="1">
      <alignment horizontal="center"/>
    </xf>
    <xf numFmtId="0" fontId="17" fillId="0" borderId="0" xfId="59" quotePrefix="1" applyNumberFormat="1" applyFont="1" applyAlignment="1">
      <alignment horizontal="center"/>
    </xf>
    <xf numFmtId="164" fontId="18" fillId="0" borderId="0" xfId="59" applyNumberFormat="1" applyFont="1" applyFill="1" applyAlignment="1" applyProtection="1">
      <alignment horizontal="center"/>
    </xf>
    <xf numFmtId="164" fontId="18" fillId="0" borderId="17" xfId="59" applyNumberFormat="1" applyFont="1" applyFill="1" applyBorder="1" applyAlignment="1" applyProtection="1">
      <alignment horizontal="center"/>
    </xf>
    <xf numFmtId="38" fontId="20" fillId="0" borderId="0" xfId="59" applyFont="1" applyFill="1" applyBorder="1"/>
    <xf numFmtId="38" fontId="17" fillId="0" borderId="18" xfId="59" applyFont="1" applyFill="1" applyBorder="1"/>
    <xf numFmtId="38" fontId="20" fillId="0" borderId="17" xfId="59" applyFont="1" applyFill="1" applyBorder="1"/>
    <xf numFmtId="5" fontId="30" fillId="0" borderId="23" xfId="53" applyNumberFormat="1" applyFont="1" applyBorder="1" applyAlignment="1" applyProtection="1">
      <alignment horizontal="right"/>
    </xf>
    <xf numFmtId="0" fontId="33" fillId="0" borderId="0" xfId="53" applyFont="1" applyAlignment="1">
      <alignment horizontal="right"/>
    </xf>
    <xf numFmtId="0" fontId="33" fillId="0" borderId="0" xfId="53" applyFont="1"/>
    <xf numFmtId="0" fontId="33" fillId="0" borderId="0" xfId="53" applyFont="1" applyBorder="1" applyAlignment="1">
      <alignment horizontal="right"/>
    </xf>
    <xf numFmtId="37" fontId="33" fillId="0" borderId="0" xfId="53" applyNumberFormat="1" applyFont="1" applyBorder="1"/>
    <xf numFmtId="0" fontId="33" fillId="0" borderId="0" xfId="53" applyFont="1" applyBorder="1"/>
    <xf numFmtId="0" fontId="32" fillId="0" borderId="0" xfId="53" applyFont="1" applyBorder="1" applyAlignment="1">
      <alignment horizontal="center"/>
    </xf>
    <xf numFmtId="5" fontId="33" fillId="0" borderId="0" xfId="53" applyNumberFormat="1" applyFont="1" applyBorder="1"/>
    <xf numFmtId="37" fontId="33" fillId="0" borderId="0" xfId="53" applyNumberFormat="1" applyFont="1" applyFill="1"/>
    <xf numFmtId="5" fontId="33" fillId="0" borderId="0" xfId="53" applyNumberFormat="1" applyFont="1" applyFill="1"/>
    <xf numFmtId="37" fontId="33" fillId="0" borderId="0" xfId="53" applyNumberFormat="1" applyFont="1" applyFill="1" applyBorder="1"/>
    <xf numFmtId="172" fontId="41" fillId="0" borderId="0" xfId="0" quotePrefix="1" applyNumberFormat="1" applyFont="1" applyFill="1" applyBorder="1" applyAlignment="1">
      <alignment horizontal="center"/>
    </xf>
    <xf numFmtId="10" fontId="21" fillId="0" borderId="0" xfId="69" applyNumberFormat="1" applyFont="1" applyFill="1"/>
    <xf numFmtId="37" fontId="17" fillId="0" borderId="0" xfId="0" applyNumberFormat="1" applyFont="1" applyFill="1" applyAlignment="1">
      <alignment horizontal="right"/>
    </xf>
    <xf numFmtId="170" fontId="17" fillId="0" borderId="0" xfId="29" applyNumberFormat="1" applyFont="1"/>
    <xf numFmtId="170" fontId="17" fillId="0" borderId="17" xfId="29" applyNumberFormat="1" applyFont="1" applyBorder="1"/>
    <xf numFmtId="5" fontId="21" fillId="0" borderId="0" xfId="53" applyNumberFormat="1" applyFont="1" applyAlignment="1">
      <alignment horizontal="right"/>
    </xf>
    <xf numFmtId="37" fontId="21" fillId="0" borderId="0" xfId="53" applyNumberFormat="1" applyFont="1" applyAlignment="1">
      <alignment horizontal="right"/>
    </xf>
    <xf numFmtId="37" fontId="21" fillId="0" borderId="17" xfId="53" applyNumberFormat="1" applyFont="1" applyBorder="1" applyAlignment="1">
      <alignment horizontal="right"/>
    </xf>
    <xf numFmtId="0" fontId="60" fillId="0" borderId="0" xfId="0" applyFont="1" applyAlignment="1"/>
    <xf numFmtId="37" fontId="17" fillId="0" borderId="0" xfId="53" applyNumberFormat="1" applyFont="1" applyFill="1" applyBorder="1" applyProtection="1"/>
    <xf numFmtId="37" fontId="17" fillId="0" borderId="0" xfId="53" applyNumberFormat="1" applyFont="1" applyFill="1" applyProtection="1"/>
    <xf numFmtId="0" fontId="17" fillId="0" borderId="0" xfId="53" applyFont="1" applyFill="1" applyAlignment="1">
      <alignment horizontal="right"/>
    </xf>
    <xf numFmtId="5" fontId="33" fillId="27" borderId="19" xfId="53" applyNumberFormat="1" applyFont="1" applyFill="1" applyBorder="1" applyProtection="1"/>
    <xf numFmtId="37" fontId="33" fillId="27" borderId="0" xfId="53" applyNumberFormat="1" applyFont="1" applyFill="1" applyProtection="1"/>
    <xf numFmtId="37" fontId="33" fillId="27" borderId="17" xfId="53" applyNumberFormat="1" applyFont="1" applyFill="1" applyBorder="1" applyProtection="1"/>
    <xf numFmtId="5" fontId="30" fillId="27" borderId="20" xfId="53" applyNumberFormat="1" applyFont="1" applyFill="1" applyBorder="1" applyProtection="1"/>
    <xf numFmtId="37" fontId="30" fillId="27" borderId="0" xfId="53" applyNumberFormat="1" applyFont="1" applyFill="1" applyProtection="1"/>
    <xf numFmtId="37" fontId="33" fillId="27" borderId="0" xfId="0" applyNumberFormat="1" applyFont="1" applyFill="1" applyBorder="1" applyAlignment="1"/>
    <xf numFmtId="5" fontId="30" fillId="27" borderId="19" xfId="53" applyNumberFormat="1" applyFont="1" applyFill="1" applyBorder="1"/>
    <xf numFmtId="5" fontId="7" fillId="0" borderId="0" xfId="53" applyNumberFormat="1" applyFont="1" applyFill="1" applyAlignment="1">
      <alignment horizontal="right"/>
    </xf>
    <xf numFmtId="37" fontId="7" fillId="0" borderId="17" xfId="53" applyNumberFormat="1" applyFont="1" applyFill="1" applyBorder="1" applyAlignment="1">
      <alignment horizontal="right"/>
    </xf>
    <xf numFmtId="37" fontId="7" fillId="0" borderId="0" xfId="53" applyNumberFormat="1" applyFont="1" applyFill="1" applyAlignment="1">
      <alignment horizontal="right"/>
    </xf>
    <xf numFmtId="5" fontId="30" fillId="0" borderId="0" xfId="53" applyNumberFormat="1" applyFont="1" applyFill="1" applyAlignment="1" applyProtection="1">
      <alignment horizontal="right"/>
    </xf>
    <xf numFmtId="37" fontId="30" fillId="0" borderId="0" xfId="53" applyNumberFormat="1" applyFont="1" applyFill="1" applyAlignment="1">
      <alignment horizontal="right"/>
    </xf>
    <xf numFmtId="37" fontId="7" fillId="0" borderId="0" xfId="53" applyNumberFormat="1" applyFont="1" applyFill="1" applyBorder="1" applyAlignment="1">
      <alignment horizontal="right"/>
    </xf>
    <xf numFmtId="5" fontId="30" fillId="0" borderId="19" xfId="53" applyNumberFormat="1" applyFont="1" applyFill="1" applyBorder="1" applyProtection="1"/>
    <xf numFmtId="38" fontId="17" fillId="0" borderId="0" xfId="59" applyFont="1" applyAlignment="1">
      <alignment horizontal="center"/>
    </xf>
    <xf numFmtId="0" fontId="0" fillId="0" borderId="0" xfId="0" applyFill="1" applyBorder="1" applyAlignment="1">
      <alignment horizontal="center"/>
    </xf>
    <xf numFmtId="0" fontId="37" fillId="0" borderId="0" xfId="0" quotePrefix="1" applyFont="1" applyAlignment="1"/>
    <xf numFmtId="37" fontId="33" fillId="32" borderId="0" xfId="0" applyNumberFormat="1" applyFont="1" applyFill="1" applyAlignment="1"/>
    <xf numFmtId="37" fontId="33" fillId="33" borderId="0" xfId="0" applyNumberFormat="1" applyFont="1" applyFill="1" applyAlignment="1"/>
    <xf numFmtId="37" fontId="33" fillId="27" borderId="0" xfId="0" applyNumberFormat="1" applyFont="1" applyFill="1" applyAlignment="1"/>
    <xf numFmtId="37" fontId="33" fillId="20" borderId="0" xfId="0" applyNumberFormat="1" applyFont="1" applyFill="1" applyAlignment="1"/>
    <xf numFmtId="37" fontId="33" fillId="34" borderId="0" xfId="0" applyNumberFormat="1" applyFont="1" applyFill="1" applyAlignment="1"/>
    <xf numFmtId="37" fontId="33" fillId="35" borderId="0" xfId="0" applyNumberFormat="1" applyFont="1" applyFill="1" applyAlignment="1"/>
    <xf numFmtId="37" fontId="33" fillId="29" borderId="0" xfId="0" applyNumberFormat="1" applyFont="1" applyFill="1" applyAlignment="1"/>
    <xf numFmtId="37" fontId="33" fillId="36" borderId="0" xfId="0" applyNumberFormat="1" applyFont="1" applyFill="1" applyAlignment="1"/>
    <xf numFmtId="37" fontId="33" fillId="36" borderId="0" xfId="0" applyNumberFormat="1" applyFont="1" applyFill="1" applyBorder="1" applyAlignment="1"/>
    <xf numFmtId="37" fontId="33" fillId="23" borderId="0" xfId="0" applyNumberFormat="1" applyFont="1" applyFill="1" applyAlignment="1"/>
    <xf numFmtId="0" fontId="31" fillId="0" borderId="0" xfId="66" applyFont="1"/>
    <xf numFmtId="17" fontId="31" fillId="0" borderId="0" xfId="66" applyNumberFormat="1" applyFont="1" applyAlignment="1">
      <alignment horizontal="center"/>
    </xf>
    <xf numFmtId="0" fontId="31" fillId="27" borderId="0" xfId="66" applyFont="1" applyFill="1" applyAlignment="1">
      <alignment horizontal="center" vertical="center"/>
    </xf>
    <xf numFmtId="37" fontId="61" fillId="0" borderId="0" xfId="62" applyNumberFormat="1" applyFont="1"/>
    <xf numFmtId="37" fontId="31" fillId="0" borderId="0" xfId="66" applyNumberFormat="1" applyFont="1" applyFill="1"/>
    <xf numFmtId="37" fontId="31" fillId="0" borderId="0" xfId="61" applyNumberFormat="1" applyFont="1" applyAlignment="1">
      <alignment horizontal="left" indent="1"/>
    </xf>
    <xf numFmtId="37" fontId="31" fillId="27" borderId="0" xfId="66" applyNumberFormat="1" applyFont="1" applyFill="1"/>
    <xf numFmtId="37" fontId="31" fillId="0" borderId="0" xfId="66" applyNumberFormat="1" applyFont="1"/>
    <xf numFmtId="37" fontId="31" fillId="0" borderId="0" xfId="62" applyNumberFormat="1" applyFont="1"/>
    <xf numFmtId="37" fontId="31" fillId="31" borderId="8" xfId="66" applyNumberFormat="1" applyFont="1" applyFill="1" applyBorder="1"/>
    <xf numFmtId="37" fontId="31" fillId="33" borderId="0" xfId="66" applyNumberFormat="1" applyFont="1" applyFill="1" applyAlignment="1">
      <alignment horizontal="center" vertical="center"/>
    </xf>
    <xf numFmtId="37" fontId="31" fillId="33" borderId="0" xfId="66" applyNumberFormat="1" applyFont="1" applyFill="1"/>
    <xf numFmtId="37" fontId="31" fillId="0" borderId="8" xfId="66" applyNumberFormat="1" applyFont="1" applyFill="1" applyBorder="1"/>
    <xf numFmtId="37" fontId="31" fillId="0" borderId="0" xfId="61" applyNumberFormat="1" applyFont="1"/>
    <xf numFmtId="37" fontId="31" fillId="32" borderId="0" xfId="66" applyNumberFormat="1" applyFont="1" applyFill="1" applyAlignment="1">
      <alignment horizontal="center" vertical="center"/>
    </xf>
    <xf numFmtId="37" fontId="31" fillId="32" borderId="0" xfId="66" applyNumberFormat="1" applyFont="1" applyFill="1"/>
    <xf numFmtId="37" fontId="31" fillId="31" borderId="0" xfId="66" applyNumberFormat="1" applyFont="1" applyFill="1" applyAlignment="1">
      <alignment horizontal="center" vertical="center"/>
    </xf>
    <xf numFmtId="37" fontId="31" fillId="31" borderId="0" xfId="66" applyNumberFormat="1" applyFont="1" applyFill="1"/>
    <xf numFmtId="37" fontId="31" fillId="29" borderId="8" xfId="66" applyNumberFormat="1" applyFont="1" applyFill="1" applyBorder="1"/>
    <xf numFmtId="37" fontId="31" fillId="29" borderId="0" xfId="66" applyNumberFormat="1" applyFont="1" applyFill="1" applyAlignment="1">
      <alignment horizontal="center" vertical="center"/>
    </xf>
    <xf numFmtId="37" fontId="31" fillId="29" borderId="0" xfId="66" applyNumberFormat="1" applyFont="1" applyFill="1"/>
    <xf numFmtId="0" fontId="31" fillId="23" borderId="0" xfId="66" applyFont="1" applyFill="1" applyAlignment="1">
      <alignment horizontal="center"/>
    </xf>
    <xf numFmtId="0" fontId="31" fillId="36" borderId="0" xfId="66" applyFont="1" applyFill="1" applyAlignment="1">
      <alignment horizontal="center"/>
    </xf>
    <xf numFmtId="0" fontId="31" fillId="0" borderId="0" xfId="66" applyFont="1" applyFill="1"/>
    <xf numFmtId="37" fontId="31" fillId="0" borderId="0" xfId="66" applyNumberFormat="1" applyFont="1" applyFill="1" applyBorder="1"/>
    <xf numFmtId="0" fontId="31" fillId="29" borderId="0" xfId="66" applyFont="1" applyFill="1" applyAlignment="1">
      <alignment horizontal="center"/>
    </xf>
    <xf numFmtId="0" fontId="31" fillId="20" borderId="0" xfId="66" applyFont="1" applyFill="1" applyAlignment="1">
      <alignment horizontal="center"/>
    </xf>
    <xf numFmtId="37" fontId="31" fillId="0" borderId="23" xfId="66" applyNumberFormat="1" applyFont="1" applyBorder="1"/>
    <xf numFmtId="0" fontId="62" fillId="0" borderId="0" xfId="66" applyFont="1"/>
    <xf numFmtId="5" fontId="17" fillId="0" borderId="0" xfId="69" applyNumberFormat="1" applyFont="1"/>
    <xf numFmtId="10" fontId="17" fillId="0" borderId="0" xfId="69" applyNumberFormat="1" applyFont="1"/>
    <xf numFmtId="10" fontId="18" fillId="0" borderId="0" xfId="69" applyNumberFormat="1" applyFont="1"/>
    <xf numFmtId="170" fontId="30" fillId="0" borderId="0" xfId="29" applyNumberFormat="1" applyFont="1" applyAlignment="1">
      <alignment horizontal="center"/>
    </xf>
    <xf numFmtId="170" fontId="18" fillId="0" borderId="0" xfId="29" applyNumberFormat="1" applyFont="1" applyAlignment="1">
      <alignment horizontal="center"/>
    </xf>
    <xf numFmtId="170" fontId="17" fillId="0" borderId="0" xfId="29" applyNumberFormat="1" applyFont="1" applyAlignment="1">
      <alignment horizontal="center"/>
    </xf>
    <xf numFmtId="0" fontId="16" fillId="32" borderId="0" xfId="53" applyFont="1" applyFill="1" applyAlignment="1">
      <alignment horizontal="left"/>
    </xf>
    <xf numFmtId="0" fontId="29" fillId="0" borderId="0" xfId="53" applyFont="1"/>
    <xf numFmtId="37" fontId="30" fillId="32" borderId="0" xfId="59" applyNumberFormat="1" applyFont="1" applyFill="1" applyAlignment="1"/>
    <xf numFmtId="42" fontId="33" fillId="0" borderId="19" xfId="0" applyNumberFormat="1" applyFont="1" applyFill="1" applyBorder="1" applyAlignment="1">
      <alignment horizontal="right"/>
    </xf>
    <xf numFmtId="3" fontId="33" fillId="0" borderId="0" xfId="0" applyNumberFormat="1" applyFont="1" applyFill="1">
      <alignment vertical="top"/>
    </xf>
    <xf numFmtId="0" fontId="33" fillId="0" borderId="0" xfId="0" applyNumberFormat="1" applyFont="1" applyFill="1">
      <alignment vertical="top"/>
    </xf>
    <xf numFmtId="3" fontId="33" fillId="0" borderId="0" xfId="0" applyNumberFormat="1" applyFont="1" applyFill="1" applyBorder="1">
      <alignment vertical="top"/>
    </xf>
    <xf numFmtId="0" fontId="32" fillId="0" borderId="0" xfId="0" applyFont="1" applyFill="1" applyAlignment="1"/>
    <xf numFmtId="164" fontId="34" fillId="0" borderId="0" xfId="59" applyNumberFormat="1" applyFont="1" applyAlignment="1" applyProtection="1"/>
    <xf numFmtId="0" fontId="33" fillId="0" borderId="0" xfId="0" applyFont="1" applyFill="1" applyAlignment="1">
      <alignment horizontal="center"/>
    </xf>
    <xf numFmtId="0" fontId="33" fillId="0" borderId="0" xfId="0" applyNumberFormat="1" applyFont="1" applyFill="1" applyAlignment="1"/>
    <xf numFmtId="3" fontId="33" fillId="0" borderId="0" xfId="0" applyNumberFormat="1" applyFont="1" applyFill="1" applyAlignment="1"/>
    <xf numFmtId="170" fontId="33" fillId="0" borderId="0" xfId="29" applyNumberFormat="1" applyFont="1" applyFill="1"/>
    <xf numFmtId="3" fontId="33" fillId="0" borderId="0" xfId="0" applyNumberFormat="1" applyFont="1" applyFill="1" applyBorder="1" applyAlignment="1"/>
    <xf numFmtId="3" fontId="33" fillId="0" borderId="23" xfId="0" applyNumberFormat="1" applyFont="1" applyFill="1" applyBorder="1" applyAlignment="1"/>
    <xf numFmtId="170" fontId="33" fillId="0" borderId="23" xfId="29" applyNumberFormat="1" applyFont="1" applyFill="1" applyBorder="1"/>
    <xf numFmtId="173" fontId="33" fillId="0" borderId="0" xfId="0" applyNumberFormat="1" applyFont="1" applyFill="1" applyAlignment="1"/>
    <xf numFmtId="176" fontId="33" fillId="0" borderId="0" xfId="29" applyNumberFormat="1" applyFont="1" applyFill="1" applyBorder="1"/>
    <xf numFmtId="179" fontId="33" fillId="0" borderId="0" xfId="0" applyNumberFormat="1" applyFont="1" applyFill="1" applyAlignment="1"/>
    <xf numFmtId="3" fontId="33" fillId="0" borderId="17" xfId="0" applyNumberFormat="1" applyFont="1" applyFill="1" applyBorder="1" applyAlignment="1"/>
    <xf numFmtId="174" fontId="33" fillId="0" borderId="0" xfId="0" applyNumberFormat="1" applyFont="1" applyFill="1" applyAlignment="1"/>
    <xf numFmtId="175" fontId="33" fillId="0" borderId="19" xfId="31" applyNumberFormat="1" applyFont="1" applyFill="1" applyBorder="1" applyAlignment="1"/>
    <xf numFmtId="42" fontId="33" fillId="0" borderId="0" xfId="0" applyNumberFormat="1" applyFont="1" applyFill="1" applyAlignment="1"/>
    <xf numFmtId="0" fontId="33" fillId="0" borderId="0" xfId="0" applyFont="1" applyFill="1" applyAlignment="1">
      <alignment horizontal="right"/>
    </xf>
    <xf numFmtId="37" fontId="64" fillId="0" borderId="0" xfId="59" applyNumberFormat="1" applyFont="1" applyFill="1" applyAlignment="1">
      <alignment horizontal="center"/>
    </xf>
    <xf numFmtId="37" fontId="5" fillId="0" borderId="0" xfId="59" applyNumberFormat="1" applyFont="1" applyFill="1" applyAlignment="1">
      <alignment horizontal="center"/>
    </xf>
    <xf numFmtId="0" fontId="5" fillId="0" borderId="0" xfId="0" applyFont="1" applyFill="1" applyAlignment="1">
      <alignment horizontal="center"/>
    </xf>
    <xf numFmtId="37" fontId="21" fillId="30" borderId="0" xfId="59" applyNumberFormat="1" applyFont="1" applyFill="1" applyProtection="1"/>
    <xf numFmtId="38" fontId="17" fillId="32" borderId="0" xfId="59" applyFont="1" applyFill="1" applyAlignment="1"/>
    <xf numFmtId="0" fontId="30" fillId="32" borderId="0" xfId="53" applyFont="1" applyFill="1" applyAlignment="1">
      <alignment horizontal="left"/>
    </xf>
    <xf numFmtId="0" fontId="17" fillId="32" borderId="0" xfId="53" applyFont="1" applyFill="1" applyAlignment="1">
      <alignment horizontal="left"/>
    </xf>
    <xf numFmtId="164" fontId="32" fillId="0" borderId="0" xfId="59" applyNumberFormat="1" applyFont="1" applyFill="1" applyAlignment="1" applyProtection="1"/>
    <xf numFmtId="0" fontId="33" fillId="0" borderId="0" xfId="0" applyFont="1">
      <alignment vertical="top"/>
    </xf>
    <xf numFmtId="0" fontId="65" fillId="0" borderId="0" xfId="0" applyFont="1" applyAlignment="1">
      <alignment wrapText="1"/>
    </xf>
    <xf numFmtId="0" fontId="33" fillId="0" borderId="0" xfId="0" applyFont="1" applyAlignment="1">
      <alignment wrapText="1"/>
    </xf>
    <xf numFmtId="0" fontId="33" fillId="0" borderId="0" xfId="0" applyFont="1" applyAlignment="1">
      <alignment horizontal="center" wrapText="1"/>
    </xf>
    <xf numFmtId="0" fontId="33" fillId="0" borderId="0" xfId="0" applyFont="1" applyAlignment="1">
      <alignment horizontal="left" wrapText="1"/>
    </xf>
    <xf numFmtId="49" fontId="33" fillId="0" borderId="0" xfId="59" applyNumberFormat="1" applyFont="1" applyFill="1" applyAlignment="1" applyProtection="1">
      <alignment horizontal="left"/>
    </xf>
    <xf numFmtId="170" fontId="33" fillId="0" borderId="0" xfId="29" applyNumberFormat="1" applyFont="1"/>
    <xf numFmtId="170" fontId="33" fillId="0" borderId="0" xfId="0" applyNumberFormat="1" applyFont="1">
      <alignment vertical="top"/>
    </xf>
    <xf numFmtId="0" fontId="33" fillId="0" borderId="0" xfId="0" applyFont="1" applyAlignment="1">
      <alignment horizontal="left"/>
    </xf>
    <xf numFmtId="170" fontId="33" fillId="0" borderId="8" xfId="0" applyNumberFormat="1" applyFont="1" applyBorder="1">
      <alignment vertical="top"/>
    </xf>
    <xf numFmtId="0" fontId="33" fillId="32" borderId="0" xfId="53" applyFont="1" applyFill="1" applyAlignment="1">
      <alignment horizontal="left"/>
    </xf>
    <xf numFmtId="0" fontId="33" fillId="0" borderId="0" xfId="0" applyFont="1" applyAlignment="1">
      <alignment horizontal="right" vertical="top"/>
    </xf>
    <xf numFmtId="0" fontId="66" fillId="0" borderId="0" xfId="0" applyFont="1" applyAlignment="1"/>
    <xf numFmtId="0" fontId="66" fillId="0" borderId="0" xfId="0" applyFont="1" applyAlignment="1">
      <alignment horizontal="right"/>
    </xf>
    <xf numFmtId="0" fontId="66" fillId="0" borderId="0" xfId="0" applyNumberFormat="1" applyFont="1" applyAlignment="1" applyProtection="1">
      <protection locked="0"/>
    </xf>
    <xf numFmtId="0" fontId="66" fillId="0" borderId="0" xfId="0" applyNumberFormat="1" applyFont="1" applyAlignment="1" applyProtection="1">
      <alignment horizontal="left"/>
      <protection locked="0"/>
    </xf>
    <xf numFmtId="0" fontId="66" fillId="0" borderId="0" xfId="0" applyNumberFormat="1" applyFont="1" applyProtection="1">
      <alignment vertical="top"/>
      <protection locked="0"/>
    </xf>
    <xf numFmtId="0" fontId="66" fillId="0" borderId="0" xfId="0" applyNumberFormat="1" applyFont="1" applyAlignment="1" applyProtection="1">
      <alignment horizontal="right"/>
      <protection locked="0"/>
    </xf>
    <xf numFmtId="0" fontId="66" fillId="0" borderId="0" xfId="0" applyNumberFormat="1" applyFont="1" applyFill="1" applyAlignment="1" applyProtection="1">
      <alignment horizontal="right"/>
      <protection locked="0"/>
    </xf>
    <xf numFmtId="0" fontId="66" fillId="0" borderId="0" xfId="0" applyNumberFormat="1" applyFont="1" applyFill="1">
      <alignment vertical="top"/>
    </xf>
    <xf numFmtId="0" fontId="66" fillId="0" borderId="0" xfId="0" applyFont="1" applyFill="1" applyAlignment="1"/>
    <xf numFmtId="3" fontId="66" fillId="0" borderId="0" xfId="0" applyNumberFormat="1" applyFont="1" applyAlignment="1"/>
    <xf numFmtId="0" fontId="66" fillId="0" borderId="0" xfId="0" applyNumberFormat="1" applyFont="1">
      <alignment vertical="top"/>
    </xf>
    <xf numFmtId="49" fontId="66" fillId="0" borderId="0" xfId="0" applyNumberFormat="1" applyFont="1" applyFill="1" applyAlignment="1">
      <alignment horizontal="center"/>
    </xf>
    <xf numFmtId="0" fontId="67" fillId="0" borderId="0" xfId="0" applyFont="1" applyAlignment="1"/>
    <xf numFmtId="0" fontId="66" fillId="0" borderId="0" xfId="0" applyNumberFormat="1" applyFont="1" applyAlignment="1" applyProtection="1">
      <alignment horizontal="center"/>
      <protection locked="0"/>
    </xf>
    <xf numFmtId="49" fontId="66" fillId="0" borderId="0" xfId="0" applyNumberFormat="1" applyFont="1">
      <alignment vertical="top"/>
    </xf>
    <xf numFmtId="0" fontId="66" fillId="0" borderId="12" xfId="0" applyNumberFormat="1" applyFont="1" applyBorder="1" applyAlignment="1" applyProtection="1">
      <alignment horizontal="center"/>
      <protection locked="0"/>
    </xf>
    <xf numFmtId="0" fontId="66" fillId="0" borderId="0" xfId="0" applyNumberFormat="1" applyFont="1" applyBorder="1" applyAlignment="1" applyProtection="1">
      <alignment horizontal="center"/>
      <protection locked="0"/>
    </xf>
    <xf numFmtId="3" fontId="66" fillId="0" borderId="0" xfId="0" applyNumberFormat="1" applyFont="1">
      <alignment vertical="top"/>
    </xf>
    <xf numFmtId="42" fontId="66" fillId="0" borderId="0" xfId="0" applyNumberFormat="1" applyFont="1">
      <alignment vertical="top"/>
    </xf>
    <xf numFmtId="0" fontId="66" fillId="0" borderId="0" xfId="0" applyNumberFormat="1" applyFont="1" applyAlignment="1"/>
    <xf numFmtId="3" fontId="66" fillId="0" borderId="0" xfId="0" applyNumberFormat="1" applyFont="1" applyFill="1" applyAlignment="1"/>
    <xf numFmtId="0" fontId="66" fillId="0" borderId="12" xfId="0" applyNumberFormat="1" applyFont="1" applyBorder="1" applyAlignment="1" applyProtection="1">
      <alignment horizontal="centerContinuous"/>
      <protection locked="0"/>
    </xf>
    <xf numFmtId="181" fontId="66" fillId="0" borderId="0" xfId="0" applyNumberFormat="1" applyFont="1" applyAlignment="1"/>
    <xf numFmtId="3" fontId="66" fillId="0" borderId="0" xfId="0" applyNumberFormat="1" applyFont="1" applyFill="1" applyBorder="1">
      <alignment vertical="top"/>
    </xf>
    <xf numFmtId="3" fontId="66" fillId="27" borderId="0" xfId="0" applyNumberFormat="1" applyFont="1" applyFill="1" applyAlignment="1"/>
    <xf numFmtId="0" fontId="66" fillId="0" borderId="0" xfId="0" applyFont="1" applyFill="1" applyAlignment="1">
      <alignment horizontal="center"/>
    </xf>
    <xf numFmtId="3" fontId="66" fillId="0" borderId="12" xfId="0" applyNumberFormat="1" applyFont="1" applyBorder="1" applyAlignment="1"/>
    <xf numFmtId="3" fontId="66" fillId="0" borderId="0" xfId="0" applyNumberFormat="1" applyFont="1" applyBorder="1" applyAlignment="1"/>
    <xf numFmtId="3" fontId="66" fillId="0" borderId="0" xfId="0" applyNumberFormat="1" applyFont="1" applyAlignment="1">
      <alignment horizontal="fill"/>
    </xf>
    <xf numFmtId="0" fontId="66" fillId="0" borderId="0" xfId="0" applyNumberFormat="1" applyFont="1" applyFill="1" applyAlignment="1" applyProtection="1">
      <alignment horizontal="center"/>
      <protection locked="0"/>
    </xf>
    <xf numFmtId="181" fontId="66" fillId="0" borderId="0" xfId="0" applyNumberFormat="1" applyFont="1" applyFill="1" applyAlignment="1"/>
    <xf numFmtId="3" fontId="66" fillId="27" borderId="0" xfId="0" applyNumberFormat="1" applyFont="1" applyFill="1" applyBorder="1" applyAlignment="1"/>
    <xf numFmtId="3" fontId="66" fillId="0" borderId="0" xfId="0" applyNumberFormat="1" applyFont="1" applyFill="1" applyBorder="1" applyAlignment="1"/>
    <xf numFmtId="3" fontId="66" fillId="27" borderId="12" xfId="0" applyNumberFormat="1" applyFont="1" applyFill="1" applyBorder="1" applyAlignment="1"/>
    <xf numFmtId="42" fontId="66" fillId="0" borderId="19" xfId="0" applyNumberFormat="1" applyFont="1" applyFill="1" applyBorder="1" applyAlignment="1" applyProtection="1">
      <alignment horizontal="right"/>
      <protection locked="0"/>
    </xf>
    <xf numFmtId="42" fontId="66" fillId="0" borderId="0" xfId="0" applyNumberFormat="1" applyFont="1" applyFill="1" applyBorder="1" applyAlignment="1" applyProtection="1">
      <alignment horizontal="right"/>
      <protection locked="0"/>
    </xf>
    <xf numFmtId="3" fontId="66" fillId="0" borderId="0" xfId="0" applyNumberFormat="1" applyFont="1" applyFill="1">
      <alignment vertical="top"/>
    </xf>
    <xf numFmtId="0" fontId="66" fillId="0" borderId="18" xfId="0" applyFont="1" applyBorder="1" applyAlignment="1"/>
    <xf numFmtId="0" fontId="68" fillId="0" borderId="24" xfId="0" applyFont="1" applyBorder="1" applyAlignment="1"/>
    <xf numFmtId="0" fontId="66" fillId="0" borderId="0" xfId="0" applyNumberFormat="1" applyFont="1" applyFill="1" applyAlignment="1"/>
    <xf numFmtId="0" fontId="66" fillId="0" borderId="0" xfId="0" applyNumberFormat="1" applyFont="1" applyFill="1" applyProtection="1">
      <alignment vertical="top"/>
      <protection locked="0"/>
    </xf>
    <xf numFmtId="3" fontId="66" fillId="27" borderId="0" xfId="0" applyNumberFormat="1" applyFont="1" applyFill="1">
      <alignment vertical="top"/>
    </xf>
    <xf numFmtId="0" fontId="0" fillId="0" borderId="0" xfId="0" applyFont="1" applyBorder="1" applyAlignment="1"/>
    <xf numFmtId="0" fontId="0" fillId="0" borderId="25" xfId="0" applyNumberFormat="1" applyFont="1" applyBorder="1">
      <alignment vertical="top"/>
    </xf>
    <xf numFmtId="0" fontId="66" fillId="0" borderId="0" xfId="0" applyFont="1" applyBorder="1" applyAlignment="1"/>
    <xf numFmtId="0" fontId="68" fillId="0" borderId="25" xfId="0" applyFont="1" applyBorder="1" applyAlignment="1"/>
    <xf numFmtId="0" fontId="0" fillId="0" borderId="17" xfId="0" applyFont="1" applyBorder="1" applyAlignment="1"/>
    <xf numFmtId="0" fontId="69" fillId="0" borderId="26" xfId="0" applyNumberFormat="1" applyFont="1" applyBorder="1">
      <alignment vertical="top"/>
    </xf>
    <xf numFmtId="0" fontId="66" fillId="0" borderId="17" xfId="0" applyFont="1" applyBorder="1" applyAlignment="1"/>
    <xf numFmtId="0" fontId="66" fillId="0" borderId="26" xfId="0" applyFont="1" applyBorder="1" applyAlignment="1"/>
    <xf numFmtId="0" fontId="0" fillId="0" borderId="27" xfId="0" applyFont="1" applyBorder="1" applyAlignment="1">
      <alignment horizontal="center"/>
    </xf>
    <xf numFmtId="0" fontId="0" fillId="0" borderId="23" xfId="0" applyFont="1" applyBorder="1" applyAlignment="1">
      <alignment horizontal="center"/>
    </xf>
    <xf numFmtId="0" fontId="0" fillId="0" borderId="28" xfId="0" applyNumberFormat="1" applyFont="1" applyBorder="1" applyAlignment="1">
      <alignment horizontal="center"/>
    </xf>
    <xf numFmtId="3" fontId="66" fillId="27" borderId="0" xfId="0" applyNumberFormat="1" applyFont="1" applyFill="1" applyBorder="1">
      <alignment vertical="top"/>
    </xf>
    <xf numFmtId="0" fontId="0" fillId="0" borderId="29" xfId="0" applyFont="1" applyBorder="1" applyAlignment="1"/>
    <xf numFmtId="178" fontId="0" fillId="0" borderId="0" xfId="0" applyNumberFormat="1" applyFont="1" applyBorder="1" applyAlignment="1"/>
    <xf numFmtId="0" fontId="0" fillId="0" borderId="30" xfId="0" applyFont="1" applyBorder="1" applyAlignment="1">
      <alignment horizontal="right"/>
    </xf>
    <xf numFmtId="178" fontId="0" fillId="0" borderId="17" xfId="0" applyNumberFormat="1" applyFont="1" applyBorder="1" applyAlignment="1"/>
    <xf numFmtId="3" fontId="66" fillId="27" borderId="12" xfId="0" applyNumberFormat="1" applyFont="1" applyFill="1" applyBorder="1">
      <alignment vertical="top"/>
    </xf>
    <xf numFmtId="173" fontId="66" fillId="0" borderId="0" xfId="0" applyNumberFormat="1" applyFont="1" applyFill="1">
      <alignment vertical="top"/>
    </xf>
    <xf numFmtId="173" fontId="66" fillId="0" borderId="0" xfId="0" applyNumberFormat="1" applyFont="1">
      <alignment vertical="top"/>
    </xf>
    <xf numFmtId="173" fontId="66" fillId="0" borderId="0" xfId="0" applyNumberFormat="1" applyFont="1" applyAlignment="1">
      <alignment horizontal="center"/>
    </xf>
    <xf numFmtId="0" fontId="66" fillId="0" borderId="0" xfId="0" applyFont="1" applyAlignment="1">
      <alignment horizontal="center"/>
    </xf>
    <xf numFmtId="0" fontId="66" fillId="0" borderId="0" xfId="0" applyNumberFormat="1" applyFont="1" applyAlignment="1">
      <alignment horizontal="left"/>
    </xf>
    <xf numFmtId="184" fontId="66" fillId="0" borderId="0" xfId="0" applyNumberFormat="1" applyFont="1" applyAlignment="1"/>
    <xf numFmtId="184" fontId="66" fillId="27" borderId="0" xfId="0" applyNumberFormat="1" applyFont="1" applyFill="1" applyProtection="1">
      <alignment vertical="top"/>
      <protection locked="0"/>
    </xf>
    <xf numFmtId="184" fontId="66" fillId="0" borderId="0" xfId="0" applyNumberFormat="1" applyFont="1" applyProtection="1">
      <alignment vertical="top"/>
      <protection locked="0"/>
    </xf>
    <xf numFmtId="184" fontId="66" fillId="0" borderId="0" xfId="0" applyNumberFormat="1" applyFont="1" applyFill="1" applyProtection="1">
      <alignment vertical="top"/>
      <protection locked="0"/>
    </xf>
    <xf numFmtId="0" fontId="66" fillId="0" borderId="0" xfId="0" applyNumberFormat="1" applyFont="1" applyAlignment="1">
      <alignment horizontal="right"/>
    </xf>
    <xf numFmtId="0" fontId="66" fillId="0" borderId="0" xfId="0" applyNumberFormat="1" applyFont="1" applyFill="1" applyAlignment="1">
      <alignment horizontal="right"/>
    </xf>
    <xf numFmtId="3" fontId="66" fillId="0" borderId="0" xfId="0" applyNumberFormat="1" applyFont="1" applyFill="1" applyAlignment="1">
      <alignment horizontal="center"/>
    </xf>
    <xf numFmtId="0" fontId="66" fillId="0" borderId="0" xfId="0" applyNumberFormat="1" applyFont="1" applyAlignment="1">
      <alignment horizontal="center"/>
    </xf>
    <xf numFmtId="49" fontId="66" fillId="0" borderId="0" xfId="0" applyNumberFormat="1" applyFont="1" applyAlignment="1">
      <alignment horizontal="left"/>
    </xf>
    <xf numFmtId="49" fontId="66" fillId="0" borderId="0" xfId="0" applyNumberFormat="1" applyFont="1" applyAlignment="1">
      <alignment horizontal="center"/>
    </xf>
    <xf numFmtId="0" fontId="66" fillId="0" borderId="0" xfId="0" applyNumberFormat="1" applyFont="1" applyFill="1" applyAlignment="1">
      <alignment horizontal="center"/>
    </xf>
    <xf numFmtId="3" fontId="70" fillId="0" borderId="0" xfId="0" applyNumberFormat="1" applyFont="1" applyAlignment="1">
      <alignment horizontal="center"/>
    </xf>
    <xf numFmtId="0" fontId="70" fillId="0" borderId="0" xfId="0" applyNumberFormat="1" applyFont="1" applyAlignment="1" applyProtection="1">
      <alignment horizontal="center"/>
      <protection locked="0"/>
    </xf>
    <xf numFmtId="0" fontId="70" fillId="32" borderId="0" xfId="0" applyFont="1" applyFill="1" applyAlignment="1">
      <alignment horizontal="center"/>
    </xf>
    <xf numFmtId="0" fontId="70" fillId="0" borderId="0" xfId="0" applyFont="1" applyAlignment="1">
      <alignment horizontal="center"/>
    </xf>
    <xf numFmtId="0" fontId="70" fillId="0" borderId="0" xfId="0" applyNumberFormat="1" applyFont="1" applyAlignment="1" applyProtection="1">
      <alignment horizontal="left"/>
      <protection locked="0"/>
    </xf>
    <xf numFmtId="3" fontId="70" fillId="0" borderId="0" xfId="0" applyNumberFormat="1" applyFont="1" applyAlignment="1"/>
    <xf numFmtId="0" fontId="70" fillId="0" borderId="0" xfId="0" applyNumberFormat="1" applyFont="1" applyAlignment="1"/>
    <xf numFmtId="3" fontId="71" fillId="0" borderId="0" xfId="0" applyNumberFormat="1" applyFont="1" applyAlignment="1"/>
    <xf numFmtId="185" fontId="66" fillId="0" borderId="0" xfId="0" applyNumberFormat="1" applyFont="1" applyAlignment="1"/>
    <xf numFmtId="3" fontId="72" fillId="0" borderId="0" xfId="0" applyNumberFormat="1" applyFont="1" applyFill="1" applyAlignment="1"/>
    <xf numFmtId="3" fontId="72" fillId="0" borderId="12" xfId="0" applyNumberFormat="1" applyFont="1" applyFill="1" applyBorder="1" applyAlignment="1"/>
    <xf numFmtId="0" fontId="68" fillId="0" borderId="0" xfId="0" applyNumberFormat="1" applyFont="1" applyAlignment="1">
      <alignment horizontal="left"/>
    </xf>
    <xf numFmtId="177" fontId="66" fillId="0" borderId="0" xfId="0" applyNumberFormat="1" applyFont="1" applyAlignment="1">
      <alignment horizontal="center"/>
    </xf>
    <xf numFmtId="177" fontId="66" fillId="0" borderId="0" xfId="0" applyNumberFormat="1" applyFont="1" applyFill="1" applyAlignment="1">
      <alignment horizontal="center"/>
    </xf>
    <xf numFmtId="178" fontId="68" fillId="0" borderId="0" xfId="0" applyNumberFormat="1" applyFont="1" applyAlignment="1">
      <alignment horizontal="left"/>
    </xf>
    <xf numFmtId="3" fontId="66" fillId="0" borderId="31" xfId="0" applyNumberFormat="1" applyFont="1" applyBorder="1" applyAlignment="1"/>
    <xf numFmtId="3" fontId="66" fillId="0" borderId="0" xfId="0" applyNumberFormat="1" applyFont="1" applyBorder="1" applyAlignment="1">
      <alignment horizontal="fill"/>
    </xf>
    <xf numFmtId="181" fontId="66" fillId="0" borderId="0" xfId="0" applyNumberFormat="1" applyFont="1" applyFill="1" applyAlignment="1">
      <alignment horizontal="center"/>
    </xf>
    <xf numFmtId="185" fontId="66" fillId="0" borderId="0" xfId="0" applyNumberFormat="1" applyFont="1" applyFill="1" applyAlignment="1">
      <alignment horizontal="right"/>
    </xf>
    <xf numFmtId="3" fontId="72" fillId="0" borderId="0" xfId="0" applyNumberFormat="1" applyFont="1" applyFill="1" applyBorder="1" applyAlignment="1"/>
    <xf numFmtId="185" fontId="66" fillId="0" borderId="0" xfId="0" applyNumberFormat="1" applyFont="1" applyFill="1" applyAlignment="1"/>
    <xf numFmtId="0" fontId="66" fillId="0" borderId="0" xfId="0" applyNumberFormat="1" applyFont="1" applyFill="1" applyAlignment="1" applyProtection="1">
      <protection locked="0"/>
    </xf>
    <xf numFmtId="3" fontId="66" fillId="0" borderId="0" xfId="0" applyNumberFormat="1" applyFont="1" applyAlignment="1">
      <alignment horizontal="center"/>
    </xf>
    <xf numFmtId="0" fontId="68" fillId="0" borderId="0" xfId="0" applyNumberFormat="1" applyFont="1" applyAlignment="1"/>
    <xf numFmtId="170" fontId="66" fillId="0" borderId="0" xfId="29" applyNumberFormat="1" applyFont="1" applyAlignment="1"/>
    <xf numFmtId="0" fontId="66" fillId="0" borderId="12" xfId="0" applyFont="1" applyBorder="1" applyAlignment="1"/>
    <xf numFmtId="3" fontId="66" fillId="0" borderId="19" xfId="0" applyNumberFormat="1" applyFont="1" applyBorder="1" applyAlignment="1"/>
    <xf numFmtId="38" fontId="66" fillId="0" borderId="0" xfId="29" applyNumberFormat="1" applyFont="1" applyFill="1" applyAlignment="1">
      <alignment horizontal="center"/>
    </xf>
    <xf numFmtId="0" fontId="70" fillId="0" borderId="0" xfId="0" applyNumberFormat="1" applyFont="1" applyFill="1" applyAlignment="1" applyProtection="1">
      <alignment horizontal="center"/>
      <protection locked="0"/>
    </xf>
    <xf numFmtId="178" fontId="73" fillId="0" borderId="0" xfId="0" applyNumberFormat="1" applyFont="1" applyAlignment="1"/>
    <xf numFmtId="3" fontId="74" fillId="0" borderId="0" xfId="0" applyNumberFormat="1" applyFont="1" applyAlignment="1"/>
    <xf numFmtId="3" fontId="73" fillId="0" borderId="0" xfId="0" applyNumberFormat="1" applyFont="1" applyFill="1" applyAlignment="1"/>
    <xf numFmtId="0" fontId="73" fillId="0" borderId="0" xfId="0" applyFont="1" applyAlignment="1"/>
    <xf numFmtId="186" fontId="66" fillId="0" borderId="0" xfId="0" applyNumberFormat="1" applyFont="1" applyFill="1" applyAlignment="1">
      <alignment horizontal="left"/>
    </xf>
    <xf numFmtId="178" fontId="73" fillId="0" borderId="0" xfId="0" applyNumberFormat="1" applyFont="1" applyFill="1" applyAlignment="1"/>
    <xf numFmtId="178" fontId="66" fillId="0" borderId="0" xfId="0" applyNumberFormat="1" applyFont="1" applyAlignment="1"/>
    <xf numFmtId="0" fontId="66" fillId="0" borderId="0" xfId="55" applyNumberFormat="1" applyFont="1" applyAlignment="1"/>
    <xf numFmtId="3" fontId="68" fillId="0" borderId="0" xfId="0" applyNumberFormat="1" applyFont="1" applyFill="1" applyAlignment="1"/>
    <xf numFmtId="0" fontId="75" fillId="0" borderId="0" xfId="0" applyFont="1" applyAlignment="1"/>
    <xf numFmtId="181" fontId="66" fillId="0" borderId="0" xfId="0" applyNumberFormat="1" applyFont="1" applyFill="1" applyAlignment="1">
      <alignment horizontal="right"/>
    </xf>
    <xf numFmtId="181" fontId="66" fillId="0" borderId="0" xfId="0" applyNumberFormat="1" applyFont="1" applyAlignment="1">
      <alignment horizontal="center"/>
    </xf>
    <xf numFmtId="177" fontId="66" fillId="0" borderId="0" xfId="0" applyNumberFormat="1" applyFont="1" applyAlignment="1">
      <alignment horizontal="left"/>
    </xf>
    <xf numFmtId="10" fontId="66" fillId="0" borderId="0" xfId="0" applyNumberFormat="1" applyFont="1" applyFill="1" applyAlignment="1">
      <alignment horizontal="right"/>
    </xf>
    <xf numFmtId="171" fontId="66" fillId="0" borderId="0" xfId="0" applyNumberFormat="1" applyFont="1" applyFill="1" applyAlignment="1">
      <alignment horizontal="right"/>
    </xf>
    <xf numFmtId="10" fontId="66" fillId="0" borderId="0" xfId="0" applyNumberFormat="1" applyFont="1" applyAlignment="1">
      <alignment horizontal="left"/>
    </xf>
    <xf numFmtId="3" fontId="66" fillId="0" borderId="0" xfId="0" applyNumberFormat="1" applyFont="1" applyFill="1" applyAlignment="1">
      <alignment horizontal="left"/>
    </xf>
    <xf numFmtId="177" fontId="66" fillId="0" borderId="0" xfId="0" applyNumberFormat="1" applyFont="1" applyAlignment="1" applyProtection="1">
      <alignment horizontal="left"/>
      <protection locked="0"/>
    </xf>
    <xf numFmtId="3" fontId="66" fillId="0" borderId="0" xfId="0" applyNumberFormat="1" applyFont="1" applyFill="1" applyAlignment="1">
      <alignment horizontal="right"/>
    </xf>
    <xf numFmtId="187" fontId="66" fillId="0" borderId="0" xfId="0" applyNumberFormat="1" applyFont="1" applyAlignment="1"/>
    <xf numFmtId="3" fontId="66" fillId="0" borderId="32" xfId="0" applyNumberFormat="1" applyFont="1" applyBorder="1" applyAlignment="1"/>
    <xf numFmtId="0" fontId="66" fillId="0" borderId="0" xfId="0" applyFont="1" applyFill="1" applyBorder="1" applyAlignment="1"/>
    <xf numFmtId="0" fontId="66" fillId="0" borderId="12" xfId="0" applyNumberFormat="1" applyFont="1" applyFill="1" applyBorder="1" applyProtection="1">
      <alignment vertical="top"/>
      <protection locked="0"/>
    </xf>
    <xf numFmtId="0" fontId="66" fillId="0" borderId="12" xfId="0" applyNumberFormat="1" applyFont="1" applyFill="1" applyBorder="1">
      <alignment vertical="top"/>
    </xf>
    <xf numFmtId="3" fontId="66" fillId="0" borderId="31" xfId="0" applyNumberFormat="1" applyFont="1" applyFill="1" applyBorder="1" applyAlignment="1"/>
    <xf numFmtId="49" fontId="66" fillId="0" borderId="0" xfId="0" applyNumberFormat="1" applyFont="1" applyFill="1">
      <alignment vertical="top"/>
    </xf>
    <xf numFmtId="49" fontId="66" fillId="0" borderId="0" xfId="0" applyNumberFormat="1" applyFont="1" applyFill="1" applyBorder="1" applyAlignment="1"/>
    <xf numFmtId="49" fontId="66" fillId="0" borderId="0" xfId="0" applyNumberFormat="1" applyFont="1" applyFill="1" applyAlignment="1"/>
    <xf numFmtId="0" fontId="66" fillId="0" borderId="0" xfId="0" applyNumberFormat="1" applyFont="1" applyFill="1" applyBorder="1">
      <alignment vertical="top"/>
    </xf>
    <xf numFmtId="0" fontId="66" fillId="0" borderId="29" xfId="0" applyFont="1" applyBorder="1" applyAlignment="1"/>
    <xf numFmtId="0" fontId="66" fillId="0" borderId="0" xfId="0" applyNumberFormat="1" applyFont="1" applyBorder="1" applyAlignment="1"/>
    <xf numFmtId="0" fontId="66" fillId="0" borderId="25" xfId="0" applyFont="1" applyBorder="1" applyAlignment="1"/>
    <xf numFmtId="6" fontId="66" fillId="27" borderId="29" xfId="31" applyNumberFormat="1" applyFont="1" applyFill="1" applyBorder="1" applyAlignment="1"/>
    <xf numFmtId="3" fontId="72" fillId="0" borderId="0" xfId="0" applyNumberFormat="1" applyFont="1" applyBorder="1" applyAlignment="1"/>
    <xf numFmtId="6" fontId="66" fillId="27" borderId="30" xfId="0" applyNumberFormat="1" applyFont="1" applyFill="1" applyBorder="1" applyAlignment="1"/>
    <xf numFmtId="0" fontId="72" fillId="0" borderId="0" xfId="0" applyFont="1" applyAlignment="1"/>
    <xf numFmtId="6" fontId="66" fillId="0" borderId="29" xfId="0" applyNumberFormat="1" applyFont="1" applyBorder="1" applyAlignment="1"/>
    <xf numFmtId="0" fontId="76" fillId="0" borderId="0" xfId="0" applyFont="1" applyBorder="1">
      <alignment vertical="top"/>
    </xf>
    <xf numFmtId="0" fontId="72" fillId="0" borderId="0" xfId="0" applyFont="1" applyBorder="1">
      <alignment vertical="top"/>
    </xf>
    <xf numFmtId="185" fontId="66" fillId="0" borderId="0" xfId="0" applyNumberFormat="1" applyFont="1" applyFill="1">
      <alignment vertical="top"/>
    </xf>
    <xf numFmtId="6" fontId="66" fillId="27" borderId="29" xfId="0" applyNumberFormat="1" applyFont="1" applyFill="1" applyBorder="1" applyAlignment="1"/>
    <xf numFmtId="181" fontId="66" fillId="0" borderId="0" xfId="0" applyNumberFormat="1" applyFont="1" applyFill="1">
      <alignment vertical="top"/>
    </xf>
    <xf numFmtId="6" fontId="66" fillId="27" borderId="30" xfId="31" applyNumberFormat="1" applyFont="1" applyFill="1" applyBorder="1" applyAlignment="1"/>
    <xf numFmtId="0" fontId="72" fillId="0" borderId="0" xfId="0" applyFont="1" applyBorder="1" applyAlignment="1">
      <alignment horizontal="left" wrapText="1"/>
    </xf>
    <xf numFmtId="0" fontId="72" fillId="0" borderId="0" xfId="0" applyFont="1" applyBorder="1" applyAlignment="1"/>
    <xf numFmtId="3" fontId="66" fillId="0" borderId="12" xfId="0" applyNumberFormat="1" applyFont="1" applyBorder="1" applyAlignment="1">
      <alignment horizontal="center"/>
    </xf>
    <xf numFmtId="6" fontId="66" fillId="0" borderId="30" xfId="0" applyNumberFormat="1" applyFont="1" applyBorder="1" applyAlignment="1"/>
    <xf numFmtId="0" fontId="72" fillId="0" borderId="17" xfId="0" applyFont="1" applyBorder="1" applyAlignment="1"/>
    <xf numFmtId="3" fontId="66" fillId="0" borderId="17" xfId="0" applyNumberFormat="1" applyFont="1" applyBorder="1" applyAlignment="1"/>
    <xf numFmtId="0" fontId="66" fillId="0" borderId="17" xfId="0" applyNumberFormat="1" applyFont="1" applyBorder="1" applyAlignment="1"/>
    <xf numFmtId="4" fontId="66" fillId="0" borderId="0" xfId="0" applyNumberFormat="1" applyFont="1" applyAlignment="1"/>
    <xf numFmtId="3" fontId="66" fillId="0" borderId="0" xfId="0" applyNumberFormat="1" applyFont="1" applyBorder="1" applyAlignment="1">
      <alignment horizontal="center"/>
    </xf>
    <xf numFmtId="3" fontId="66" fillId="0" borderId="0" xfId="0" quotePrefix="1" applyNumberFormat="1" applyFont="1" applyFill="1" applyAlignment="1"/>
    <xf numFmtId="181" fontId="66" fillId="0" borderId="0" xfId="0" applyNumberFormat="1" applyFont="1" applyAlignment="1" applyProtection="1">
      <alignment horizontal="center"/>
      <protection locked="0"/>
    </xf>
    <xf numFmtId="181" fontId="66" fillId="0" borderId="0" xfId="0" quotePrefix="1" applyNumberFormat="1" applyFont="1" applyAlignment="1"/>
    <xf numFmtId="0" fontId="66" fillId="0" borderId="12" xfId="0" applyNumberFormat="1" applyFont="1" applyBorder="1" applyAlignment="1"/>
    <xf numFmtId="3" fontId="66" fillId="0" borderId="0" xfId="0" quotePrefix="1" applyNumberFormat="1" applyFont="1" applyAlignment="1">
      <alignment horizontal="right"/>
    </xf>
    <xf numFmtId="3" fontId="66" fillId="0" borderId="0" xfId="0" applyNumberFormat="1" applyFont="1" applyFill="1" applyBorder="1" applyAlignment="1">
      <alignment horizontal="center"/>
    </xf>
    <xf numFmtId="38" fontId="72" fillId="0" borderId="0" xfId="29" applyNumberFormat="1" applyFont="1" applyFill="1" applyAlignment="1"/>
    <xf numFmtId="38" fontId="66" fillId="0" borderId="0" xfId="29" applyNumberFormat="1" applyFont="1" applyAlignment="1"/>
    <xf numFmtId="42" fontId="66" fillId="0" borderId="0" xfId="0" applyNumberFormat="1" applyFont="1" applyFill="1" applyAlignment="1"/>
    <xf numFmtId="3" fontId="66" fillId="0" borderId="0" xfId="0" applyNumberFormat="1" applyFont="1" applyFill="1" applyAlignment="1" applyProtection="1">
      <protection locked="0"/>
    </xf>
    <xf numFmtId="37" fontId="72" fillId="0" borderId="0" xfId="0" applyNumberFormat="1" applyFont="1" applyFill="1" applyBorder="1" applyAlignment="1"/>
    <xf numFmtId="0" fontId="66" fillId="0" borderId="0" xfId="0" applyNumberFormat="1" applyFont="1" applyBorder="1" applyProtection="1">
      <alignment vertical="top"/>
      <protection locked="0"/>
    </xf>
    <xf numFmtId="9" fontId="66" fillId="0" borderId="0" xfId="0" applyNumberFormat="1" applyFont="1" applyAlignment="1"/>
    <xf numFmtId="171" fontId="66" fillId="0" borderId="0" xfId="0" applyNumberFormat="1" applyFont="1" applyAlignment="1"/>
    <xf numFmtId="0" fontId="66" fillId="0" borderId="0" xfId="0" quotePrefix="1" applyFont="1" applyFill="1" applyAlignment="1"/>
    <xf numFmtId="171" fontId="66" fillId="27" borderId="0" xfId="0" applyNumberFormat="1" applyFont="1" applyFill="1" applyAlignment="1"/>
    <xf numFmtId="171" fontId="66" fillId="0" borderId="12" xfId="0" applyNumberFormat="1" applyFont="1" applyBorder="1" applyAlignment="1"/>
    <xf numFmtId="171" fontId="66" fillId="0" borderId="0" xfId="0" applyNumberFormat="1" applyFont="1" applyBorder="1" applyAlignment="1"/>
    <xf numFmtId="0" fontId="66" fillId="0" borderId="0" xfId="0" applyNumberFormat="1" applyFont="1" applyFill="1" applyBorder="1" applyAlignment="1" applyProtection="1">
      <alignment horizontal="center"/>
      <protection locked="0"/>
    </xf>
    <xf numFmtId="0" fontId="75" fillId="0" borderId="0" xfId="0" applyNumberFormat="1" applyFont="1" applyProtection="1">
      <alignment vertical="top"/>
      <protection locked="0"/>
    </xf>
    <xf numFmtId="0" fontId="66" fillId="0" borderId="0" xfId="0" applyFont="1" applyFill="1" applyAlignment="1" applyProtection="1"/>
    <xf numFmtId="38" fontId="66" fillId="27" borderId="0" xfId="0" applyNumberFormat="1" applyFont="1" applyFill="1" applyBorder="1" applyProtection="1">
      <alignment vertical="top"/>
      <protection locked="0"/>
    </xf>
    <xf numFmtId="38" fontId="66" fillId="0" borderId="0" xfId="0" applyNumberFormat="1" applyFont="1" applyFill="1" applyBorder="1" applyProtection="1">
      <alignment vertical="top"/>
      <protection locked="0"/>
    </xf>
    <xf numFmtId="0" fontId="66" fillId="0" borderId="0" xfId="0" applyNumberFormat="1" applyFont="1" applyBorder="1">
      <alignment vertical="top"/>
    </xf>
    <xf numFmtId="38" fontId="66" fillId="27" borderId="12" xfId="0" applyNumberFormat="1" applyFont="1" applyFill="1" applyBorder="1" applyProtection="1">
      <alignment vertical="top"/>
      <protection locked="0"/>
    </xf>
    <xf numFmtId="38" fontId="66" fillId="0" borderId="0" xfId="0" applyNumberFormat="1" applyFont="1" applyFill="1" applyBorder="1" applyProtection="1">
      <alignment vertical="top"/>
    </xf>
    <xf numFmtId="178" fontId="66" fillId="0" borderId="0" xfId="0" applyNumberFormat="1" applyFont="1" applyFill="1" applyBorder="1" applyProtection="1">
      <alignment vertical="top"/>
    </xf>
    <xf numFmtId="173" fontId="66" fillId="0" borderId="0" xfId="0" applyNumberFormat="1" applyFont="1" applyProtection="1">
      <alignment vertical="top"/>
      <protection locked="0"/>
    </xf>
    <xf numFmtId="38" fontId="77" fillId="27" borderId="0" xfId="0" applyNumberFormat="1" applyFont="1" applyFill="1" applyBorder="1" applyProtection="1">
      <alignment vertical="top"/>
      <protection locked="0"/>
    </xf>
    <xf numFmtId="38" fontId="77" fillId="0" borderId="0" xfId="0" applyNumberFormat="1" applyFont="1" applyFill="1" applyBorder="1" applyProtection="1">
      <alignment vertical="top"/>
      <protection locked="0"/>
    </xf>
    <xf numFmtId="1" fontId="66" fillId="0" borderId="0" xfId="0" applyNumberFormat="1" applyFont="1" applyFill="1" applyProtection="1">
      <alignment vertical="top"/>
    </xf>
    <xf numFmtId="0" fontId="67" fillId="0" borderId="0" xfId="0" applyFont="1" applyFill="1" applyAlignment="1"/>
    <xf numFmtId="178" fontId="66" fillId="27" borderId="0" xfId="0" applyNumberFormat="1" applyFont="1" applyFill="1" applyBorder="1" applyAlignment="1" applyProtection="1">
      <protection locked="0"/>
    </xf>
    <xf numFmtId="178" fontId="66" fillId="0" borderId="0" xfId="0" applyNumberFormat="1" applyFont="1" applyFill="1" applyBorder="1" applyAlignment="1" applyProtection="1">
      <protection locked="0"/>
    </xf>
    <xf numFmtId="1" fontId="66" fillId="0" borderId="0" xfId="0" applyNumberFormat="1" applyFont="1" applyFill="1" applyAlignment="1" applyProtection="1"/>
    <xf numFmtId="0" fontId="66" fillId="0" borderId="0" xfId="0" applyNumberFormat="1" applyFont="1" applyBorder="1" applyAlignment="1" applyProtection="1">
      <protection locked="0"/>
    </xf>
    <xf numFmtId="0" fontId="66" fillId="0" borderId="0" xfId="0" applyNumberFormat="1" applyFont="1" applyFill="1" applyBorder="1" applyAlignment="1" applyProtection="1">
      <protection locked="0"/>
    </xf>
    <xf numFmtId="0" fontId="66" fillId="0" borderId="0" xfId="0" applyNumberFormat="1" applyFont="1" applyFill="1" applyBorder="1" applyProtection="1">
      <alignment vertical="top"/>
      <protection locked="0"/>
    </xf>
    <xf numFmtId="0" fontId="66" fillId="0" borderId="17" xfId="0" applyNumberFormat="1" applyFont="1" applyFill="1" applyBorder="1" applyAlignment="1" applyProtection="1">
      <protection locked="0"/>
    </xf>
    <xf numFmtId="0" fontId="66" fillId="0" borderId="17" xfId="0" applyNumberFormat="1" applyFont="1" applyFill="1" applyBorder="1" applyProtection="1">
      <alignment vertical="top"/>
      <protection locked="0"/>
    </xf>
    <xf numFmtId="178" fontId="66" fillId="27" borderId="12" xfId="0" applyNumberFormat="1" applyFont="1" applyFill="1" applyBorder="1" applyAlignment="1" applyProtection="1">
      <protection locked="0"/>
    </xf>
    <xf numFmtId="3" fontId="66" fillId="0" borderId="0" xfId="0" applyNumberFormat="1" applyFont="1" applyFill="1" applyAlignment="1" applyProtection="1">
      <alignment horizontal="right"/>
      <protection locked="0"/>
    </xf>
    <xf numFmtId="180" fontId="66" fillId="0" borderId="0" xfId="0" applyNumberFormat="1" applyFont="1" applyAlignment="1" applyProtection="1">
      <protection locked="0"/>
    </xf>
    <xf numFmtId="178" fontId="66" fillId="0" borderId="0" xfId="0" applyNumberFormat="1" applyFont="1" applyFill="1" applyBorder="1" applyAlignment="1" applyProtection="1"/>
    <xf numFmtId="3" fontId="66" fillId="0" borderId="0" xfId="0" applyNumberFormat="1" applyFont="1" applyFill="1" applyAlignment="1" applyProtection="1"/>
    <xf numFmtId="0" fontId="66" fillId="0" borderId="0" xfId="0" applyNumberFormat="1" applyFont="1" applyAlignment="1" applyProtection="1">
      <alignment horizontal="left" wrapText="1"/>
      <protection locked="0"/>
    </xf>
    <xf numFmtId="0" fontId="66" fillId="0" borderId="0" xfId="0" applyFont="1" applyAlignment="1">
      <alignment horizontal="left" wrapText="1"/>
    </xf>
    <xf numFmtId="178" fontId="66" fillId="0" borderId="0" xfId="0" applyNumberFormat="1" applyFont="1" applyProtection="1">
      <alignment vertical="top"/>
      <protection locked="0"/>
    </xf>
    <xf numFmtId="0" fontId="66" fillId="0" borderId="0" xfId="0" applyNumberFormat="1" applyFont="1" applyAlignment="1" applyProtection="1">
      <alignment horizontal="left" indent="8"/>
      <protection locked="0"/>
    </xf>
    <xf numFmtId="10" fontId="66" fillId="27" borderId="0" xfId="0" applyNumberFormat="1" applyFont="1" applyFill="1" applyProtection="1">
      <alignment vertical="top"/>
      <protection locked="0"/>
    </xf>
    <xf numFmtId="0" fontId="78" fillId="0" borderId="0" xfId="0" applyNumberFormat="1" applyFont="1" applyFill="1" applyProtection="1">
      <alignment vertical="top"/>
      <protection locked="0"/>
    </xf>
    <xf numFmtId="10" fontId="66" fillId="0" borderId="0" xfId="0" applyNumberFormat="1" applyFont="1" applyFill="1">
      <alignment vertical="top"/>
    </xf>
    <xf numFmtId="0" fontId="66" fillId="0" borderId="0" xfId="0" applyNumberFormat="1" applyFont="1" applyFill="1" applyAlignment="1">
      <alignment horizontal="left" indent="2"/>
    </xf>
    <xf numFmtId="0" fontId="66" fillId="0" borderId="0" xfId="0" applyFont="1" applyFill="1" applyAlignment="1">
      <alignment horizontal="left" indent="2"/>
    </xf>
    <xf numFmtId="0" fontId="66" fillId="0" borderId="0" xfId="0" applyNumberFormat="1" applyFont="1" applyFill="1" applyAlignment="1">
      <alignment horizontal="left"/>
    </xf>
    <xf numFmtId="0" fontId="66" fillId="0" borderId="0" xfId="55" applyNumberFormat="1" applyFont="1" applyFill="1"/>
    <xf numFmtId="0" fontId="10" fillId="0" borderId="0" xfId="0" applyFont="1" applyFill="1" applyBorder="1" applyAlignment="1"/>
    <xf numFmtId="0" fontId="10" fillId="0" borderId="0" xfId="0" applyFont="1" applyFill="1" applyBorder="1" applyAlignment="1">
      <alignment horizontal="right"/>
    </xf>
    <xf numFmtId="0" fontId="10" fillId="0" borderId="0" xfId="0" applyNumberFormat="1" applyFont="1" applyFill="1" applyBorder="1" applyAlignment="1" applyProtection="1">
      <protection locked="0"/>
    </xf>
    <xf numFmtId="0" fontId="10" fillId="0" borderId="0" xfId="0" applyNumberFormat="1" applyFont="1" applyFill="1" applyBorder="1" applyAlignment="1" applyProtection="1">
      <alignment horizontal="left"/>
      <protection locked="0"/>
    </xf>
    <xf numFmtId="0" fontId="10" fillId="0" borderId="0" xfId="0" applyNumberFormat="1" applyFont="1" applyFill="1" applyBorder="1" applyProtection="1">
      <alignment vertical="top"/>
      <protection locked="0"/>
    </xf>
    <xf numFmtId="0" fontId="10" fillId="0" borderId="0" xfId="0" applyNumberFormat="1" applyFont="1" applyFill="1" applyBorder="1">
      <alignment vertical="top"/>
    </xf>
    <xf numFmtId="0" fontId="10" fillId="0" borderId="0" xfId="0" applyNumberFormat="1" applyFont="1" applyFill="1" applyBorder="1" applyAlignment="1" applyProtection="1">
      <alignment horizontal="right"/>
      <protection locked="0"/>
    </xf>
    <xf numFmtId="0" fontId="79" fillId="0" borderId="0" xfId="0" applyNumberFormat="1" applyFont="1" applyFill="1" applyBorder="1">
      <alignment vertical="top"/>
    </xf>
    <xf numFmtId="3" fontId="10" fillId="0" borderId="0" xfId="0" applyNumberFormat="1" applyFont="1" applyFill="1" applyBorder="1" applyAlignment="1"/>
    <xf numFmtId="0" fontId="79" fillId="0" borderId="0" xfId="0" applyNumberFormat="1" applyFont="1" applyFill="1" applyBorder="1" applyAlignment="1">
      <alignment horizontal="center"/>
    </xf>
    <xf numFmtId="0" fontId="10" fillId="0" borderId="0" xfId="0" applyNumberFormat="1" applyFont="1" applyFill="1" applyBorder="1" applyAlignment="1" applyProtection="1">
      <alignment horizontal="center"/>
      <protection locked="0"/>
    </xf>
    <xf numFmtId="0" fontId="10" fillId="27" borderId="0" xfId="0" applyNumberFormat="1" applyFont="1" applyFill="1" applyBorder="1">
      <alignment vertical="top"/>
    </xf>
    <xf numFmtId="49" fontId="10" fillId="27" borderId="0" xfId="0" applyNumberFormat="1" applyFont="1" applyFill="1" applyBorder="1" applyAlignment="1">
      <alignment horizontal="center"/>
    </xf>
    <xf numFmtId="49" fontId="10" fillId="0" borderId="0" xfId="0" applyNumberFormat="1" applyFont="1" applyFill="1" applyBorder="1">
      <alignment vertical="top"/>
    </xf>
    <xf numFmtId="3" fontId="10" fillId="0" borderId="0" xfId="0" applyNumberFormat="1" applyFont="1" applyFill="1" applyBorder="1">
      <alignment vertical="top"/>
    </xf>
    <xf numFmtId="0" fontId="10" fillId="0" borderId="0" xfId="0" applyNumberFormat="1" applyFont="1" applyFill="1" applyBorder="1" applyAlignment="1">
      <alignment horizontal="center"/>
    </xf>
    <xf numFmtId="49" fontId="10" fillId="0" borderId="0" xfId="0" applyNumberFormat="1" applyFont="1" applyFill="1" applyBorder="1" applyAlignment="1">
      <alignment horizontal="center"/>
    </xf>
    <xf numFmtId="0" fontId="10" fillId="0" borderId="0" xfId="0" applyNumberFormat="1" applyFont="1" applyFill="1" applyBorder="1" applyAlignment="1"/>
    <xf numFmtId="3"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26" fillId="0" borderId="0"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xf>
    <xf numFmtId="0" fontId="26" fillId="0" borderId="0" xfId="0" applyNumberFormat="1" applyFont="1" applyFill="1" applyBorder="1" applyAlignment="1"/>
    <xf numFmtId="0" fontId="80" fillId="0" borderId="0" xfId="0" applyFont="1" applyFill="1" applyBorder="1" applyAlignment="1"/>
    <xf numFmtId="0" fontId="81" fillId="0" borderId="0" xfId="0" applyNumberFormat="1" applyFont="1" applyFill="1" applyBorder="1" applyAlignment="1" applyProtection="1">
      <alignment horizontal="center"/>
      <protection locked="0"/>
    </xf>
    <xf numFmtId="3" fontId="10" fillId="0" borderId="0" xfId="0" applyNumberFormat="1" applyFont="1" applyFill="1" applyBorder="1" applyAlignment="1">
      <alignment horizontal="center"/>
    </xf>
    <xf numFmtId="41" fontId="10" fillId="27" borderId="0" xfId="0" applyNumberFormat="1" applyFont="1" applyFill="1" applyBorder="1" applyAlignment="1"/>
    <xf numFmtId="10" fontId="10" fillId="0" borderId="0" xfId="0" applyNumberFormat="1" applyFont="1" applyFill="1" applyBorder="1" applyAlignment="1"/>
    <xf numFmtId="10" fontId="10" fillId="0" borderId="0" xfId="69" applyNumberFormat="1" applyFont="1" applyFill="1" applyBorder="1" applyAlignment="1"/>
    <xf numFmtId="10" fontId="26" fillId="0" borderId="0" xfId="0" applyNumberFormat="1" applyFont="1" applyFill="1" applyBorder="1" applyAlignment="1"/>
    <xf numFmtId="3" fontId="26" fillId="0" borderId="0" xfId="0" applyNumberFormat="1" applyFont="1" applyFill="1" applyBorder="1" applyAlignment="1"/>
    <xf numFmtId="185" fontId="26" fillId="0" borderId="0" xfId="0" applyNumberFormat="1" applyFont="1" applyFill="1" applyBorder="1" applyAlignment="1"/>
    <xf numFmtId="0" fontId="10" fillId="0" borderId="0" xfId="0" applyFont="1" applyFill="1" applyBorder="1" applyAlignment="1">
      <alignment horizontal="center"/>
    </xf>
    <xf numFmtId="49" fontId="26" fillId="0" borderId="0" xfId="0" applyNumberFormat="1" applyFont="1" applyFill="1" applyBorder="1" applyAlignment="1">
      <alignment horizontal="center"/>
    </xf>
    <xf numFmtId="0" fontId="26" fillId="0" borderId="0" xfId="0" applyFont="1" applyFill="1" applyBorder="1" applyAlignment="1"/>
    <xf numFmtId="10" fontId="26" fillId="0" borderId="0" xfId="69" applyNumberFormat="1" applyFont="1" applyFill="1" applyBorder="1" applyAlignment="1"/>
    <xf numFmtId="0" fontId="10" fillId="0" borderId="0" xfId="0" applyNumberFormat="1" applyFont="1" applyFill="1" applyBorder="1" applyAlignment="1">
      <alignment horizontal="fill"/>
    </xf>
    <xf numFmtId="0" fontId="82" fillId="0" borderId="0" xfId="0" applyFont="1" applyFill="1" applyBorder="1" applyAlignment="1"/>
    <xf numFmtId="3" fontId="82" fillId="0" borderId="0" xfId="0" applyNumberFormat="1" applyFont="1" applyFill="1" applyBorder="1" applyAlignment="1"/>
    <xf numFmtId="177" fontId="10" fillId="0" borderId="0" xfId="0" applyNumberFormat="1" applyFont="1" applyFill="1" applyBorder="1" applyAlignment="1">
      <alignment horizontal="center"/>
    </xf>
    <xf numFmtId="178" fontId="10" fillId="0" borderId="0" xfId="0" applyNumberFormat="1" applyFont="1" applyFill="1" applyBorder="1" applyAlignment="1"/>
    <xf numFmtId="0" fontId="82" fillId="0" borderId="0" xfId="0" applyNumberFormat="1" applyFont="1" applyFill="1" applyBorder="1">
      <alignment vertical="top"/>
    </xf>
    <xf numFmtId="49" fontId="10" fillId="0" borderId="0" xfId="0" applyNumberFormat="1" applyFont="1" applyFill="1" applyBorder="1" applyAlignment="1">
      <alignment horizontal="left"/>
    </xf>
    <xf numFmtId="0" fontId="10" fillId="0" borderId="0" xfId="0" applyNumberFormat="1" applyFont="1" applyFill="1" applyBorder="1" applyAlignment="1">
      <alignment horizontal="right"/>
    </xf>
    <xf numFmtId="188" fontId="26" fillId="0" borderId="0" xfId="0" applyNumberFormat="1" applyFont="1" applyFill="1" applyBorder="1" applyAlignment="1">
      <alignment horizontal="center"/>
    </xf>
    <xf numFmtId="0" fontId="26" fillId="0" borderId="27" xfId="0" applyFont="1" applyFill="1" applyBorder="1" applyAlignment="1">
      <alignment horizontal="center" wrapText="1"/>
    </xf>
    <xf numFmtId="0" fontId="26" fillId="0" borderId="23" xfId="0" applyFont="1" applyFill="1" applyBorder="1" applyAlignment="1"/>
    <xf numFmtId="0" fontId="26" fillId="0" borderId="23" xfId="0" applyFont="1" applyFill="1" applyBorder="1" applyAlignment="1">
      <alignment horizontal="center" wrapText="1"/>
    </xf>
    <xf numFmtId="0" fontId="26" fillId="0" borderId="23" xfId="0" applyNumberFormat="1" applyFont="1" applyFill="1" applyBorder="1" applyAlignment="1">
      <alignment horizontal="center" wrapText="1"/>
    </xf>
    <xf numFmtId="0" fontId="26" fillId="0" borderId="8" xfId="0" applyFont="1" applyFill="1" applyBorder="1" applyAlignment="1">
      <alignment horizontal="center" wrapText="1"/>
    </xf>
    <xf numFmtId="3" fontId="26" fillId="0" borderId="8" xfId="0" applyNumberFormat="1" applyFont="1" applyFill="1" applyBorder="1" applyAlignment="1">
      <alignment horizontal="center" wrapText="1"/>
    </xf>
    <xf numFmtId="3" fontId="26" fillId="0" borderId="23" xfId="0" applyNumberFormat="1" applyFont="1" applyFill="1" applyBorder="1" applyAlignment="1">
      <alignment horizontal="center" wrapText="1"/>
    </xf>
    <xf numFmtId="0" fontId="10" fillId="0" borderId="27" xfId="0" applyNumberFormat="1" applyFont="1" applyFill="1" applyBorder="1">
      <alignment vertical="top"/>
    </xf>
    <xf numFmtId="0" fontId="10" fillId="0" borderId="23" xfId="0" applyNumberFormat="1" applyFont="1" applyFill="1" applyBorder="1">
      <alignment vertical="top"/>
    </xf>
    <xf numFmtId="0" fontId="10" fillId="0" borderId="23" xfId="0" applyNumberFormat="1" applyFont="1" applyFill="1" applyBorder="1" applyAlignment="1">
      <alignment horizontal="center"/>
    </xf>
    <xf numFmtId="0" fontId="10" fillId="0" borderId="8" xfId="0" applyNumberFormat="1" applyFont="1" applyFill="1" applyBorder="1" applyAlignment="1">
      <alignment horizontal="center"/>
    </xf>
    <xf numFmtId="3" fontId="10" fillId="0" borderId="23" xfId="0" applyNumberFormat="1" applyFont="1" applyFill="1" applyBorder="1" applyAlignment="1">
      <alignment horizontal="center"/>
    </xf>
    <xf numFmtId="3" fontId="10" fillId="0" borderId="8" xfId="0" applyNumberFormat="1" applyFont="1" applyFill="1" applyBorder="1" applyAlignment="1">
      <alignment horizontal="center" wrapText="1"/>
    </xf>
    <xf numFmtId="0" fontId="10" fillId="0" borderId="29" xfId="0" applyNumberFormat="1" applyFont="1" applyFill="1" applyBorder="1">
      <alignment vertical="top"/>
    </xf>
    <xf numFmtId="0" fontId="10" fillId="0" borderId="33" xfId="0" applyNumberFormat="1" applyFont="1" applyFill="1" applyBorder="1">
      <alignment vertical="top"/>
    </xf>
    <xf numFmtId="3" fontId="10" fillId="0" borderId="33" xfId="0" applyNumberFormat="1" applyFont="1" applyFill="1" applyBorder="1" applyAlignment="1"/>
    <xf numFmtId="0" fontId="10" fillId="0" borderId="29" xfId="0" applyFont="1" applyFill="1" applyBorder="1" applyAlignment="1"/>
    <xf numFmtId="175" fontId="10" fillId="0" borderId="0" xfId="31" applyNumberFormat="1" applyFont="1" applyFill="1" applyBorder="1" applyAlignment="1"/>
    <xf numFmtId="175" fontId="10" fillId="0" borderId="33" xfId="31" applyNumberFormat="1" applyFont="1" applyFill="1" applyBorder="1" applyAlignment="1"/>
    <xf numFmtId="170" fontId="10" fillId="0" borderId="0" xfId="29" applyNumberFormat="1" applyFont="1" applyFill="1" applyBorder="1" applyAlignment="1"/>
    <xf numFmtId="0" fontId="33" fillId="0" borderId="0" xfId="0" applyFont="1" applyFill="1" applyBorder="1" applyAlignment="1"/>
    <xf numFmtId="0" fontId="10" fillId="0" borderId="0" xfId="0" quotePrefix="1" applyFont="1" applyFill="1" applyBorder="1" applyAlignment="1"/>
    <xf numFmtId="0" fontId="33" fillId="0" borderId="33" xfId="0" applyFont="1" applyFill="1" applyBorder="1" applyAlignment="1"/>
    <xf numFmtId="0" fontId="10" fillId="0" borderId="30" xfId="0" applyFont="1" applyFill="1" applyBorder="1" applyAlignment="1"/>
    <xf numFmtId="0" fontId="10" fillId="0" borderId="17" xfId="0" applyFont="1" applyFill="1" applyBorder="1" applyAlignment="1"/>
    <xf numFmtId="0" fontId="33" fillId="0" borderId="17" xfId="0" applyFont="1" applyFill="1" applyBorder="1" applyAlignment="1"/>
    <xf numFmtId="0" fontId="33" fillId="0" borderId="22" xfId="0" applyFont="1" applyFill="1" applyBorder="1" applyAlignment="1"/>
    <xf numFmtId="1" fontId="10" fillId="0" borderId="0" xfId="29" applyNumberFormat="1" applyFont="1" applyFill="1" applyBorder="1" applyAlignment="1">
      <alignment horizontal="center"/>
    </xf>
    <xf numFmtId="0" fontId="10" fillId="0" borderId="12" xfId="0" applyFont="1" applyFill="1" applyBorder="1" applyAlignment="1"/>
    <xf numFmtId="0" fontId="10" fillId="0" borderId="0" xfId="0" applyFont="1" applyFill="1" applyBorder="1" applyAlignment="1">
      <alignment horizontal="center" vertical="top"/>
    </xf>
    <xf numFmtId="0" fontId="33" fillId="0" borderId="0" xfId="0" applyFont="1" applyFill="1" applyBorder="1" applyAlignment="1">
      <alignment horizontal="center"/>
    </xf>
    <xf numFmtId="0" fontId="83" fillId="0" borderId="0" xfId="65" applyFont="1">
      <alignment vertical="top"/>
    </xf>
    <xf numFmtId="0" fontId="41" fillId="0" borderId="0" xfId="0" applyFont="1">
      <alignment vertical="top"/>
    </xf>
    <xf numFmtId="0" fontId="32" fillId="0" borderId="0" xfId="65" applyFont="1">
      <alignment vertical="top"/>
    </xf>
    <xf numFmtId="0" fontId="63" fillId="0" borderId="0" xfId="0" applyFont="1">
      <alignment vertical="top"/>
    </xf>
    <xf numFmtId="0" fontId="32" fillId="0" borderId="0" xfId="64" applyFont="1" applyFill="1" applyBorder="1">
      <alignment vertical="top"/>
    </xf>
    <xf numFmtId="0" fontId="33" fillId="27" borderId="17" xfId="0" quotePrefix="1" applyFont="1" applyFill="1" applyBorder="1" applyAlignment="1">
      <alignment horizontal="center"/>
    </xf>
    <xf numFmtId="0" fontId="33" fillId="0" borderId="0" xfId="65" applyFont="1">
      <alignment vertical="top"/>
    </xf>
    <xf numFmtId="49" fontId="33" fillId="0" borderId="17" xfId="0" applyNumberFormat="1" applyFont="1" applyFill="1" applyBorder="1" applyAlignment="1">
      <alignment horizontal="center"/>
    </xf>
    <xf numFmtId="0" fontId="33" fillId="0" borderId="0" xfId="65" applyFont="1" applyFill="1">
      <alignment vertical="top"/>
    </xf>
    <xf numFmtId="0" fontId="63" fillId="0" borderId="0" xfId="0" applyFont="1" applyFill="1">
      <alignment vertical="top"/>
    </xf>
    <xf numFmtId="0" fontId="84" fillId="0" borderId="0" xfId="65">
      <alignment vertical="top"/>
    </xf>
    <xf numFmtId="0" fontId="85" fillId="37" borderId="0" xfId="63" applyFont="1" applyFill="1" applyAlignment="1"/>
    <xf numFmtId="178" fontId="86" fillId="37" borderId="0" xfId="56" quotePrefix="1" applyNumberFormat="1" applyFont="1" applyFill="1" applyAlignment="1">
      <alignment horizontal="center" wrapText="1"/>
    </xf>
    <xf numFmtId="178" fontId="88" fillId="0" borderId="0" xfId="56" applyNumberFormat="1" applyFont="1" applyFill="1" applyAlignment="1">
      <alignment horizontal="center" wrapText="1"/>
    </xf>
    <xf numFmtId="178" fontId="86" fillId="37" borderId="0" xfId="56" applyNumberFormat="1" applyFont="1" applyFill="1" applyAlignment="1">
      <alignment horizontal="center" wrapText="1"/>
    </xf>
    <xf numFmtId="0" fontId="32" fillId="30" borderId="34" xfId="65" applyFont="1" applyFill="1" applyBorder="1">
      <alignment vertical="top"/>
    </xf>
    <xf numFmtId="0" fontId="33" fillId="0" borderId="34" xfId="63" quotePrefix="1" applyFont="1" applyFill="1" applyBorder="1" applyAlignment="1">
      <alignment horizontal="left"/>
    </xf>
    <xf numFmtId="178" fontId="33" fillId="29" borderId="34" xfId="31" applyNumberFormat="1" applyFont="1" applyFill="1" applyBorder="1" applyAlignment="1">
      <alignment horizontal="right" vertical="top"/>
    </xf>
    <xf numFmtId="178" fontId="33" fillId="0" borderId="34" xfId="31" applyNumberFormat="1" applyFont="1" applyBorder="1" applyAlignment="1">
      <alignment horizontal="right" vertical="top"/>
    </xf>
    <xf numFmtId="0" fontId="32" fillId="30" borderId="33" xfId="65" applyFont="1" applyFill="1" applyBorder="1">
      <alignment vertical="top"/>
    </xf>
    <xf numFmtId="0" fontId="4" fillId="0" borderId="33" xfId="63" quotePrefix="1" applyFont="1" applyFill="1" applyBorder="1" applyAlignment="1">
      <alignment horizontal="left"/>
    </xf>
    <xf numFmtId="178" fontId="33" fillId="29" borderId="33" xfId="65" applyNumberFormat="1" applyFont="1" applyFill="1" applyBorder="1" applyAlignment="1">
      <alignment horizontal="right" vertical="top"/>
    </xf>
    <xf numFmtId="178" fontId="33" fillId="0" borderId="33" xfId="65" applyNumberFormat="1" applyFont="1" applyBorder="1" applyAlignment="1">
      <alignment horizontal="right" vertical="top"/>
    </xf>
    <xf numFmtId="0" fontId="4" fillId="0" borderId="33" xfId="63" applyFont="1" applyFill="1" applyBorder="1"/>
    <xf numFmtId="0" fontId="32" fillId="30" borderId="22" xfId="65" applyFont="1" applyFill="1" applyBorder="1">
      <alignment vertical="top"/>
    </xf>
    <xf numFmtId="0" fontId="4" fillId="0" borderId="22" xfId="63" applyFont="1" applyFill="1" applyBorder="1"/>
    <xf numFmtId="178" fontId="33" fillId="29" borderId="22" xfId="65" applyNumberFormat="1" applyFont="1" applyFill="1" applyBorder="1" applyAlignment="1">
      <alignment horizontal="right" vertical="top"/>
    </xf>
    <xf numFmtId="178" fontId="33" fillId="0" borderId="22" xfId="65" applyNumberFormat="1" applyFont="1" applyBorder="1" applyAlignment="1">
      <alignment horizontal="right" vertical="top"/>
    </xf>
    <xf numFmtId="0" fontId="32" fillId="30" borderId="0" xfId="65" applyFont="1" applyFill="1">
      <alignment vertical="top"/>
    </xf>
    <xf numFmtId="0" fontId="32" fillId="0" borderId="0" xfId="63" applyFont="1" applyAlignment="1">
      <alignment horizontal="right"/>
    </xf>
    <xf numFmtId="178" fontId="33" fillId="29" borderId="8" xfId="65" applyNumberFormat="1" applyFont="1" applyFill="1" applyBorder="1" applyAlignment="1">
      <alignment horizontal="right" vertical="top"/>
    </xf>
    <xf numFmtId="178" fontId="33" fillId="0" borderId="8" xfId="65" applyNumberFormat="1" applyFont="1" applyBorder="1" applyAlignment="1">
      <alignment horizontal="right" vertical="top"/>
    </xf>
    <xf numFmtId="178" fontId="33" fillId="0" borderId="0" xfId="65" applyNumberFormat="1" applyFont="1" applyFill="1" applyBorder="1" applyAlignment="1">
      <alignment horizontal="right" vertical="top"/>
    </xf>
    <xf numFmtId="0" fontId="4" fillId="0" borderId="33" xfId="63" applyFont="1" applyBorder="1"/>
    <xf numFmtId="0" fontId="32" fillId="0" borderId="0" xfId="65" applyFont="1" applyFill="1">
      <alignment vertical="top"/>
    </xf>
    <xf numFmtId="0" fontId="32" fillId="0" borderId="0" xfId="63" applyFont="1" applyFill="1" applyAlignment="1">
      <alignment horizontal="right"/>
    </xf>
    <xf numFmtId="0" fontId="4" fillId="30" borderId="0" xfId="63" applyFont="1" applyFill="1" applyAlignment="1">
      <alignment horizontal="right"/>
    </xf>
    <xf numFmtId="178" fontId="4" fillId="30" borderId="0" xfId="63" applyNumberFormat="1" applyFont="1" applyFill="1" applyBorder="1" applyAlignment="1">
      <alignment horizontal="right"/>
    </xf>
    <xf numFmtId="0" fontId="4" fillId="30" borderId="0" xfId="63" applyFont="1" applyFill="1"/>
    <xf numFmtId="178" fontId="4" fillId="30" borderId="0" xfId="63" applyNumberFormat="1" applyFont="1" applyFill="1" applyAlignment="1">
      <alignment horizontal="right"/>
    </xf>
    <xf numFmtId="0" fontId="33" fillId="0" borderId="34" xfId="63" quotePrefix="1" applyFont="1" applyBorder="1" applyAlignment="1">
      <alignment horizontal="left"/>
    </xf>
    <xf numFmtId="0" fontId="4" fillId="0" borderId="33" xfId="63" quotePrefix="1" applyFont="1" applyBorder="1" applyAlignment="1">
      <alignment horizontal="left"/>
    </xf>
    <xf numFmtId="0" fontId="4" fillId="0" borderId="22" xfId="63" applyFont="1" applyBorder="1"/>
    <xf numFmtId="178" fontId="33" fillId="30" borderId="0" xfId="65" applyNumberFormat="1" applyFont="1" applyFill="1" applyBorder="1" applyAlignment="1">
      <alignment horizontal="right" vertical="top"/>
    </xf>
    <xf numFmtId="0" fontId="63" fillId="30" borderId="0" xfId="0" applyFont="1" applyFill="1">
      <alignment vertical="top"/>
    </xf>
    <xf numFmtId="178" fontId="63" fillId="30" borderId="0" xfId="0" applyNumberFormat="1" applyFont="1" applyFill="1" applyAlignment="1">
      <alignment horizontal="right"/>
    </xf>
    <xf numFmtId="0" fontId="32" fillId="0" borderId="34" xfId="0" applyFont="1" applyBorder="1">
      <alignment vertical="top"/>
    </xf>
    <xf numFmtId="0" fontId="33" fillId="0" borderId="34" xfId="65" applyFont="1" applyBorder="1">
      <alignment vertical="top"/>
    </xf>
    <xf numFmtId="178" fontId="33" fillId="29" borderId="34" xfId="65" applyNumberFormat="1" applyFont="1" applyFill="1" applyBorder="1" applyAlignment="1">
      <alignment horizontal="right" vertical="top"/>
    </xf>
    <xf numFmtId="178" fontId="33" fillId="0" borderId="34" xfId="65" applyNumberFormat="1" applyFont="1" applyBorder="1" applyAlignment="1">
      <alignment horizontal="right" vertical="top"/>
    </xf>
    <xf numFmtId="0" fontId="33" fillId="0" borderId="22" xfId="65" applyFont="1" applyBorder="1">
      <alignment vertical="top"/>
    </xf>
    <xf numFmtId="0" fontId="63" fillId="0" borderId="0" xfId="0" applyFont="1" applyBorder="1">
      <alignment vertical="top"/>
    </xf>
    <xf numFmtId="0" fontId="88" fillId="0" borderId="0" xfId="0" applyFont="1">
      <alignment vertical="top"/>
    </xf>
    <xf numFmtId="0" fontId="32" fillId="0" borderId="0" xfId="0" applyFont="1">
      <alignment vertical="top"/>
    </xf>
    <xf numFmtId="0" fontId="32" fillId="0" borderId="8" xfId="0" applyFont="1" applyBorder="1" applyAlignment="1">
      <alignment horizontal="center" wrapText="1"/>
    </xf>
    <xf numFmtId="0" fontId="32" fillId="0" borderId="8" xfId="0" applyFont="1" applyBorder="1" applyAlignment="1">
      <alignment wrapText="1"/>
    </xf>
    <xf numFmtId="0" fontId="33" fillId="0" borderId="10" xfId="0" quotePrefix="1" applyNumberFormat="1" applyFont="1" applyFill="1" applyBorder="1" applyAlignment="1">
      <alignment vertical="top"/>
    </xf>
    <xf numFmtId="0" fontId="33" fillId="0" borderId="35" xfId="0" quotePrefix="1" applyNumberFormat="1" applyFont="1" applyFill="1" applyBorder="1" applyAlignment="1">
      <alignment vertical="top"/>
    </xf>
    <xf numFmtId="0" fontId="33" fillId="0" borderId="35" xfId="0" applyFont="1" applyBorder="1" applyAlignment="1">
      <alignment vertical="top"/>
    </xf>
    <xf numFmtId="0" fontId="33" fillId="0" borderId="10" xfId="0" quotePrefix="1" applyNumberFormat="1" applyFont="1" applyFill="1" applyBorder="1" applyAlignment="1">
      <alignment vertical="top" wrapText="1"/>
    </xf>
    <xf numFmtId="0" fontId="33" fillId="0" borderId="10" xfId="0" applyFont="1" applyBorder="1" applyAlignment="1">
      <alignment vertical="top"/>
    </xf>
    <xf numFmtId="0" fontId="33" fillId="30" borderId="10" xfId="0" quotePrefix="1" applyNumberFormat="1" applyFont="1" applyFill="1" applyBorder="1" applyAlignment="1">
      <alignment vertical="top"/>
    </xf>
    <xf numFmtId="0" fontId="33" fillId="30" borderId="10" xfId="0" applyNumberFormat="1" applyFont="1" applyFill="1" applyBorder="1" applyAlignment="1">
      <alignment vertical="top" wrapText="1"/>
    </xf>
    <xf numFmtId="0" fontId="33" fillId="30" borderId="10" xfId="0" quotePrefix="1" applyNumberFormat="1" applyFont="1" applyFill="1" applyBorder="1" applyAlignment="1">
      <alignment vertical="top" wrapText="1"/>
    </xf>
    <xf numFmtId="0" fontId="33" fillId="0" borderId="10" xfId="0" quotePrefix="1" applyFont="1" applyBorder="1" applyAlignment="1">
      <alignment horizontal="right" vertical="top"/>
    </xf>
    <xf numFmtId="0" fontId="63" fillId="0" borderId="0" xfId="0" applyFont="1" applyFill="1" applyBorder="1" applyAlignment="1"/>
    <xf numFmtId="0" fontId="63" fillId="0" borderId="0" xfId="0" applyFont="1" applyFill="1" applyBorder="1" applyAlignment="1">
      <alignment horizontal="right"/>
    </xf>
    <xf numFmtId="0" fontId="0" fillId="0" borderId="0" xfId="0" applyNumberFormat="1" applyFont="1" applyFill="1" applyBorder="1">
      <alignment vertical="top"/>
    </xf>
    <xf numFmtId="0" fontId="89" fillId="0" borderId="0" xfId="0" applyNumberFormat="1" applyFont="1" applyFill="1" applyBorder="1">
      <alignment vertical="top"/>
    </xf>
    <xf numFmtId="0" fontId="0" fillId="0" borderId="0" xfId="0" applyFont="1" applyFill="1" applyBorder="1" applyAlignment="1"/>
    <xf numFmtId="0" fontId="89" fillId="0" borderId="0" xfId="0" applyNumberFormat="1" applyFont="1" applyFill="1" applyBorder="1" applyAlignment="1">
      <alignment horizontal="center"/>
    </xf>
    <xf numFmtId="0" fontId="63" fillId="0" borderId="0" xfId="0"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90" fillId="0" borderId="0" xfId="0" applyNumberFormat="1" applyFont="1" applyFill="1" applyBorder="1" applyAlignment="1">
      <alignment horizontal="center"/>
    </xf>
    <xf numFmtId="0" fontId="91" fillId="0" borderId="0" xfId="0" applyNumberFormat="1" applyFont="1" applyFill="1" applyBorder="1" applyAlignment="1" applyProtection="1">
      <alignment horizontal="center"/>
      <protection locked="0"/>
    </xf>
    <xf numFmtId="3" fontId="63" fillId="0" borderId="0" xfId="0" applyNumberFormat="1" applyFont="1" applyFill="1" applyBorder="1" applyAlignment="1">
      <alignment horizontal="center"/>
    </xf>
    <xf numFmtId="170" fontId="10" fillId="27" borderId="0" xfId="29" applyNumberFormat="1" applyFont="1" applyFill="1" applyBorder="1" applyAlignment="1"/>
    <xf numFmtId="170" fontId="10" fillId="27" borderId="17" xfId="29" applyNumberFormat="1" applyFont="1" applyFill="1" applyBorder="1" applyAlignment="1"/>
    <xf numFmtId="3" fontId="92" fillId="0" borderId="0" xfId="0" applyNumberFormat="1" applyFont="1" applyFill="1" applyBorder="1" applyAlignment="1"/>
    <xf numFmtId="41" fontId="10" fillId="0" borderId="0" xfId="0" applyNumberFormat="1" applyFont="1" applyFill="1" applyBorder="1" applyAlignment="1"/>
    <xf numFmtId="10" fontId="90" fillId="0" borderId="0" xfId="69" applyNumberFormat="1" applyFont="1" applyFill="1" applyBorder="1" applyAlignment="1"/>
    <xf numFmtId="10" fontId="0" fillId="0" borderId="0" xfId="69" applyNumberFormat="1" applyFont="1" applyFill="1" applyBorder="1" applyAlignment="1"/>
    <xf numFmtId="3" fontId="90" fillId="0" borderId="0" xfId="0" applyNumberFormat="1" applyFont="1" applyFill="1" applyBorder="1" applyAlignment="1"/>
    <xf numFmtId="49" fontId="0" fillId="0" borderId="0" xfId="0" applyNumberFormat="1" applyFont="1" applyFill="1" applyBorder="1" applyAlignment="1">
      <alignment horizontal="center"/>
    </xf>
    <xf numFmtId="49" fontId="63"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90" fillId="0" borderId="0" xfId="0" applyNumberFormat="1" applyFont="1" applyFill="1" applyBorder="1" applyAlignment="1">
      <alignment horizontal="center"/>
    </xf>
    <xf numFmtId="0" fontId="90" fillId="0" borderId="0" xfId="0" applyFont="1" applyFill="1" applyBorder="1" applyAlignment="1"/>
    <xf numFmtId="0" fontId="0" fillId="0" borderId="0" xfId="0" applyNumberFormat="1" applyFont="1" applyFill="1" applyBorder="1" applyAlignment="1">
      <alignment horizontal="fill"/>
    </xf>
    <xf numFmtId="0" fontId="93" fillId="0" borderId="0" xfId="0" applyFont="1" applyFill="1" applyBorder="1" applyAlignment="1"/>
    <xf numFmtId="178" fontId="63" fillId="0" borderId="0" xfId="0" applyNumberFormat="1" applyFont="1" applyFill="1" applyBorder="1" applyAlignment="1"/>
    <xf numFmtId="0" fontId="63" fillId="0" borderId="0" xfId="0" quotePrefix="1" applyNumberFormat="1" applyFont="1" applyFill="1" applyBorder="1" applyAlignment="1" applyProtection="1">
      <alignment horizontal="center"/>
      <protection locked="0"/>
    </xf>
    <xf numFmtId="188" fontId="26" fillId="0" borderId="0" xfId="0" quotePrefix="1" applyNumberFormat="1" applyFont="1" applyFill="1" applyBorder="1" applyAlignment="1">
      <alignment horizontal="center"/>
    </xf>
    <xf numFmtId="0" fontId="90" fillId="0" borderId="27" xfId="0" applyFont="1" applyFill="1" applyBorder="1" applyAlignment="1">
      <alignment horizontal="center" wrapText="1"/>
    </xf>
    <xf numFmtId="0" fontId="90" fillId="0" borderId="23" xfId="0" applyFont="1" applyFill="1" applyBorder="1" applyAlignment="1"/>
    <xf numFmtId="0" fontId="90" fillId="0" borderId="23" xfId="0" applyFont="1" applyFill="1" applyBorder="1" applyAlignment="1">
      <alignment horizontal="center" wrapText="1"/>
    </xf>
    <xf numFmtId="0" fontId="90" fillId="0" borderId="28" xfId="0" applyFont="1" applyFill="1" applyBorder="1" applyAlignment="1">
      <alignment horizontal="center" wrapText="1"/>
    </xf>
    <xf numFmtId="0" fontId="90" fillId="0" borderId="8" xfId="0" applyFont="1" applyFill="1" applyBorder="1" applyAlignment="1">
      <alignment horizontal="center" wrapText="1"/>
    </xf>
    <xf numFmtId="0" fontId="10" fillId="0" borderId="23" xfId="0" quotePrefix="1" applyNumberFormat="1" applyFont="1" applyFill="1" applyBorder="1" applyAlignment="1">
      <alignment horizontal="center"/>
    </xf>
    <xf numFmtId="0" fontId="10" fillId="0" borderId="8" xfId="0" quotePrefix="1" applyNumberFormat="1" applyFont="1" applyFill="1" applyBorder="1" applyAlignment="1">
      <alignment horizontal="center"/>
    </xf>
    <xf numFmtId="175" fontId="10" fillId="27" borderId="0" xfId="31" applyNumberFormat="1" applyFont="1" applyFill="1" applyBorder="1" applyAlignment="1"/>
    <xf numFmtId="0" fontId="10" fillId="0" borderId="33" xfId="0" applyFont="1" applyFill="1" applyBorder="1" applyAlignment="1"/>
    <xf numFmtId="0" fontId="63" fillId="0" borderId="29" xfId="0" applyFont="1" applyFill="1" applyBorder="1" applyAlignment="1"/>
    <xf numFmtId="0" fontId="63" fillId="0" borderId="0" xfId="0" applyNumberFormat="1" applyFont="1" applyFill="1" applyBorder="1" applyAlignment="1">
      <alignment horizontal="center"/>
    </xf>
    <xf numFmtId="0" fontId="63" fillId="0" borderId="33" xfId="0" applyFont="1" applyFill="1" applyBorder="1" applyAlignment="1"/>
    <xf numFmtId="0" fontId="88" fillId="0" borderId="0" xfId="0" applyFont="1" applyFill="1" applyBorder="1" applyAlignment="1"/>
    <xf numFmtId="0" fontId="88" fillId="0" borderId="0" xfId="0" applyNumberFormat="1" applyFont="1" applyFill="1" applyBorder="1" applyAlignment="1">
      <alignment horizontal="center"/>
    </xf>
    <xf numFmtId="0" fontId="88" fillId="0" borderId="33" xfId="0" applyFont="1" applyFill="1" applyBorder="1" applyAlignment="1"/>
    <xf numFmtId="0" fontId="63" fillId="0" borderId="30" xfId="0" applyFont="1" applyFill="1" applyBorder="1" applyAlignment="1"/>
    <xf numFmtId="0" fontId="63" fillId="0" borderId="17" xfId="0" applyFont="1" applyFill="1" applyBorder="1" applyAlignment="1"/>
    <xf numFmtId="0" fontId="88" fillId="0" borderId="17" xfId="0" applyFont="1" applyFill="1" applyBorder="1" applyAlignment="1"/>
    <xf numFmtId="0" fontId="88" fillId="0" borderId="22" xfId="0" applyFont="1" applyFill="1" applyBorder="1" applyAlignment="1"/>
    <xf numFmtId="0" fontId="87" fillId="0" borderId="0" xfId="0" applyFont="1" applyFill="1" applyBorder="1" applyAlignment="1">
      <alignment horizontal="center" vertical="top"/>
    </xf>
    <xf numFmtId="0" fontId="87" fillId="0" borderId="0" xfId="0" applyFont="1" applyFill="1" applyBorder="1" applyAlignment="1"/>
    <xf numFmtId="0" fontId="87" fillId="0" borderId="0" xfId="0" applyFont="1" applyFill="1" applyBorder="1" applyAlignment="1">
      <alignment horizontal="center"/>
    </xf>
    <xf numFmtId="0" fontId="0" fillId="0" borderId="0" xfId="0" applyFont="1" applyFill="1" applyBorder="1" applyAlignment="1">
      <alignment horizontal="center"/>
    </xf>
    <xf numFmtId="0" fontId="88" fillId="0" borderId="0" xfId="0" applyFont="1" applyFill="1" applyBorder="1" applyAlignment="1">
      <alignment horizontal="center"/>
    </xf>
    <xf numFmtId="49" fontId="66" fillId="0" borderId="0" xfId="0" applyNumberFormat="1" applyFont="1" applyFill="1" applyBorder="1" applyAlignment="1">
      <alignment horizontal="left"/>
    </xf>
    <xf numFmtId="49" fontId="66" fillId="0" borderId="0" xfId="0" applyNumberFormat="1" applyFont="1" applyFill="1" applyBorder="1" applyAlignment="1">
      <alignment horizontal="center"/>
    </xf>
    <xf numFmtId="0" fontId="66" fillId="0" borderId="0" xfId="0" applyNumberFormat="1" applyFont="1" applyFill="1" applyBorder="1" applyAlignment="1">
      <alignment horizontal="right"/>
    </xf>
    <xf numFmtId="0" fontId="32" fillId="0" borderId="17" xfId="64" applyFont="1" applyFill="1" applyBorder="1">
      <alignment vertical="top"/>
    </xf>
    <xf numFmtId="0" fontId="94" fillId="30" borderId="0" xfId="0" applyFont="1" applyFill="1" applyBorder="1">
      <alignment vertical="top"/>
    </xf>
    <xf numFmtId="178" fontId="86" fillId="30" borderId="0" xfId="56" applyNumberFormat="1" applyFont="1" applyFill="1" applyBorder="1" applyAlignment="1">
      <alignment horizontal="center" wrapText="1"/>
    </xf>
    <xf numFmtId="178" fontId="95" fillId="37" borderId="0" xfId="56" applyNumberFormat="1" applyFont="1" applyFill="1" applyAlignment="1">
      <alignment horizontal="center" wrapText="1"/>
    </xf>
    <xf numFmtId="180" fontId="96" fillId="30" borderId="0" xfId="31" applyNumberFormat="1" applyFont="1" applyFill="1" applyBorder="1" applyAlignment="1">
      <alignment horizontal="right" vertical="top"/>
    </xf>
    <xf numFmtId="180" fontId="97" fillId="0" borderId="18" xfId="31" applyNumberFormat="1" applyFont="1" applyBorder="1" applyAlignment="1">
      <alignment horizontal="right" vertical="top"/>
    </xf>
    <xf numFmtId="180" fontId="97" fillId="29" borderId="36" xfId="31" applyNumberFormat="1" applyFont="1" applyFill="1" applyBorder="1" applyAlignment="1">
      <alignment horizontal="right" vertical="top"/>
    </xf>
    <xf numFmtId="178" fontId="33" fillId="29" borderId="33" xfId="31" applyNumberFormat="1" applyFont="1" applyFill="1" applyBorder="1" applyAlignment="1">
      <alignment horizontal="right" vertical="top"/>
    </xf>
    <xf numFmtId="2" fontId="96" fillId="30" borderId="0" xfId="65" applyNumberFormat="1" applyFont="1" applyFill="1" applyBorder="1" applyAlignment="1">
      <alignment horizontal="right" vertical="top"/>
    </xf>
    <xf numFmtId="2" fontId="97" fillId="0" borderId="0" xfId="65" applyNumberFormat="1" applyFont="1" applyBorder="1" applyAlignment="1">
      <alignment horizontal="right" vertical="top"/>
    </xf>
    <xf numFmtId="2" fontId="97" fillId="29" borderId="29" xfId="65" applyNumberFormat="1" applyFont="1" applyFill="1" applyBorder="1" applyAlignment="1">
      <alignment horizontal="right" vertical="top"/>
    </xf>
    <xf numFmtId="178" fontId="33" fillId="29" borderId="22" xfId="31" applyNumberFormat="1" applyFont="1" applyFill="1" applyBorder="1" applyAlignment="1">
      <alignment horizontal="right" vertical="top"/>
    </xf>
    <xf numFmtId="180" fontId="96" fillId="30" borderId="0" xfId="65" applyNumberFormat="1" applyFont="1" applyFill="1" applyBorder="1" applyAlignment="1">
      <alignment horizontal="right" vertical="top"/>
    </xf>
    <xf numFmtId="180" fontId="33" fillId="0" borderId="23" xfId="65" applyNumberFormat="1" applyFont="1" applyBorder="1" applyAlignment="1">
      <alignment horizontal="right" vertical="top"/>
    </xf>
    <xf numFmtId="180" fontId="33" fillId="29" borderId="27" xfId="65" applyNumberFormat="1" applyFont="1" applyFill="1" applyBorder="1" applyAlignment="1">
      <alignment horizontal="right" vertical="top"/>
    </xf>
    <xf numFmtId="0" fontId="33" fillId="0" borderId="0" xfId="65" applyFont="1" applyFill="1" applyBorder="1" applyAlignment="1">
      <alignment horizontal="right" vertical="top"/>
    </xf>
    <xf numFmtId="0" fontId="96" fillId="30" borderId="0" xfId="65" applyFont="1" applyFill="1" applyBorder="1" applyAlignment="1">
      <alignment horizontal="right" vertical="top"/>
    </xf>
    <xf numFmtId="0" fontId="33" fillId="0" borderId="0" xfId="65" applyFont="1" applyBorder="1" applyAlignment="1">
      <alignment horizontal="right" vertical="top"/>
    </xf>
    <xf numFmtId="0" fontId="33" fillId="29" borderId="0" xfId="65" applyFont="1" applyFill="1" applyBorder="1" applyAlignment="1">
      <alignment horizontal="right" vertical="top"/>
    </xf>
    <xf numFmtId="37" fontId="4" fillId="0" borderId="0" xfId="63" applyNumberFormat="1" applyFont="1" applyFill="1" applyBorder="1" applyAlignment="1">
      <alignment horizontal="right"/>
    </xf>
    <xf numFmtId="37" fontId="98" fillId="30" borderId="0" xfId="63" applyNumberFormat="1" applyFont="1" applyFill="1" applyBorder="1" applyAlignment="1">
      <alignment horizontal="right"/>
    </xf>
    <xf numFmtId="37" fontId="4" fillId="30" borderId="0" xfId="63" applyNumberFormat="1" applyFont="1" applyFill="1" applyBorder="1" applyAlignment="1">
      <alignment horizontal="right"/>
    </xf>
    <xf numFmtId="0" fontId="4" fillId="0" borderId="0" xfId="63" applyFont="1" applyFill="1" applyAlignment="1">
      <alignment horizontal="right"/>
    </xf>
    <xf numFmtId="0" fontId="98" fillId="30" borderId="0" xfId="63" applyFont="1" applyFill="1" applyBorder="1" applyAlignment="1">
      <alignment horizontal="right"/>
    </xf>
    <xf numFmtId="180" fontId="33" fillId="0" borderId="18" xfId="31" applyNumberFormat="1" applyFont="1" applyBorder="1" applyAlignment="1">
      <alignment horizontal="right" vertical="top"/>
    </xf>
    <xf numFmtId="180" fontId="33" fillId="29" borderId="36" xfId="31" applyNumberFormat="1" applyFont="1" applyFill="1" applyBorder="1" applyAlignment="1">
      <alignment horizontal="right" vertical="top"/>
    </xf>
    <xf numFmtId="2" fontId="33" fillId="0" borderId="0" xfId="65" applyNumberFormat="1" applyFont="1" applyBorder="1" applyAlignment="1">
      <alignment horizontal="right" vertical="top"/>
    </xf>
    <xf numFmtId="2" fontId="33" fillId="29" borderId="29" xfId="65" applyNumberFormat="1" applyFont="1" applyFill="1" applyBorder="1" applyAlignment="1">
      <alignment horizontal="right" vertical="top"/>
    </xf>
    <xf numFmtId="0" fontId="33" fillId="30" borderId="0" xfId="65" applyFont="1" applyFill="1" applyBorder="1" applyAlignment="1">
      <alignment horizontal="right" vertical="top"/>
    </xf>
    <xf numFmtId="0" fontId="63" fillId="0" borderId="0" xfId="0" applyFont="1" applyFill="1" applyAlignment="1">
      <alignment horizontal="right"/>
    </xf>
    <xf numFmtId="0" fontId="94" fillId="30" borderId="0" xfId="0" applyFont="1" applyFill="1" applyBorder="1" applyAlignment="1">
      <alignment horizontal="right"/>
    </xf>
    <xf numFmtId="0" fontId="63" fillId="30" borderId="0" xfId="0" applyFont="1" applyFill="1" applyAlignment="1">
      <alignment horizontal="right"/>
    </xf>
    <xf numFmtId="180" fontId="97" fillId="0" borderId="18" xfId="65" applyNumberFormat="1" applyFont="1" applyBorder="1" applyAlignment="1">
      <alignment horizontal="right" vertical="top"/>
    </xf>
    <xf numFmtId="180" fontId="97" fillId="29" borderId="18" xfId="65" applyNumberFormat="1" applyFont="1" applyFill="1" applyBorder="1" applyAlignment="1">
      <alignment horizontal="right" vertical="top"/>
    </xf>
    <xf numFmtId="180" fontId="97" fillId="0" borderId="24" xfId="65" applyNumberFormat="1" applyFont="1" applyBorder="1" applyAlignment="1">
      <alignment horizontal="right" vertical="top"/>
    </xf>
    <xf numFmtId="1" fontId="33" fillId="29" borderId="33" xfId="65" applyNumberFormat="1" applyFont="1" applyFill="1" applyBorder="1" applyAlignment="1">
      <alignment horizontal="right" vertical="top"/>
    </xf>
    <xf numFmtId="2" fontId="97" fillId="0" borderId="17" xfId="65" applyNumberFormat="1" applyFont="1" applyBorder="1" applyAlignment="1">
      <alignment horizontal="right" vertical="top"/>
    </xf>
    <xf numFmtId="2" fontId="97" fillId="29" borderId="17" xfId="65" applyNumberFormat="1" applyFont="1" applyFill="1" applyBorder="1" applyAlignment="1">
      <alignment horizontal="right" vertical="top"/>
    </xf>
    <xf numFmtId="2" fontId="97" fillId="0" borderId="25" xfId="65" applyNumberFormat="1" applyFont="1" applyBorder="1" applyAlignment="1">
      <alignment horizontal="right" vertical="top"/>
    </xf>
    <xf numFmtId="0" fontId="32" fillId="0" borderId="8" xfId="0" applyFont="1" applyBorder="1">
      <alignment vertical="top"/>
    </xf>
    <xf numFmtId="188" fontId="33" fillId="0" borderId="35" xfId="0" quotePrefix="1" applyNumberFormat="1" applyFont="1" applyBorder="1" applyAlignment="1">
      <alignment horizontal="right" vertical="top"/>
    </xf>
    <xf numFmtId="189" fontId="33" fillId="0" borderId="35" xfId="0" quotePrefix="1" applyNumberFormat="1" applyFont="1" applyBorder="1" applyAlignment="1">
      <alignment vertical="top"/>
    </xf>
    <xf numFmtId="188" fontId="33" fillId="0" borderId="35" xfId="0" quotePrefix="1" applyNumberFormat="1" applyFont="1" applyFill="1" applyBorder="1" applyAlignment="1">
      <alignment horizontal="right" vertical="top"/>
    </xf>
    <xf numFmtId="188" fontId="33" fillId="0" borderId="10" xfId="0" applyNumberFormat="1" applyFont="1" applyBorder="1" applyAlignment="1">
      <alignment vertical="top"/>
    </xf>
    <xf numFmtId="189" fontId="33" fillId="0" borderId="10" xfId="0" applyNumberFormat="1" applyFont="1" applyBorder="1" applyAlignment="1">
      <alignment vertical="top"/>
    </xf>
    <xf numFmtId="188" fontId="33" fillId="0" borderId="10" xfId="0" applyNumberFormat="1" applyFont="1" applyFill="1" applyBorder="1" applyAlignment="1">
      <alignment vertical="top"/>
    </xf>
    <xf numFmtId="188" fontId="33" fillId="0" borderId="10" xfId="0" applyNumberFormat="1" applyFont="1" applyBorder="1" applyAlignment="1">
      <alignment horizontal="right" vertical="top"/>
    </xf>
    <xf numFmtId="188" fontId="33" fillId="0" borderId="10" xfId="0" applyNumberFormat="1" applyFont="1" applyFill="1" applyBorder="1" applyAlignment="1">
      <alignment horizontal="right" vertical="top"/>
    </xf>
    <xf numFmtId="0" fontId="33" fillId="0" borderId="10" xfId="0" applyFont="1" applyBorder="1" applyAlignment="1">
      <alignment vertical="top" wrapText="1"/>
    </xf>
    <xf numFmtId="0" fontId="33" fillId="0" borderId="10" xfId="0" applyFont="1" applyBorder="1" applyAlignment="1">
      <alignment horizontal="right" vertical="top"/>
    </xf>
    <xf numFmtId="175" fontId="10" fillId="0" borderId="15" xfId="0" applyNumberFormat="1" applyFont="1" applyFill="1" applyBorder="1" applyAlignment="1"/>
    <xf numFmtId="178" fontId="10" fillId="0" borderId="34" xfId="0" applyNumberFormat="1" applyFont="1" applyBorder="1" applyAlignment="1"/>
    <xf numFmtId="183" fontId="10" fillId="0" borderId="34" xfId="69" applyNumberFormat="1" applyFont="1" applyBorder="1" applyAlignment="1"/>
    <xf numFmtId="178" fontId="10" fillId="0" borderId="22" xfId="0" applyNumberFormat="1" applyFont="1" applyBorder="1" applyAlignment="1"/>
    <xf numFmtId="178" fontId="10" fillId="0" borderId="22" xfId="0" applyNumberFormat="1" applyFont="1" applyFill="1" applyBorder="1" applyAlignment="1"/>
    <xf numFmtId="183" fontId="10" fillId="0" borderId="22" xfId="69" applyNumberFormat="1" applyFont="1" applyBorder="1" applyAlignment="1"/>
    <xf numFmtId="178" fontId="99" fillId="0" borderId="8" xfId="0" applyNumberFormat="1" applyFont="1" applyBorder="1" applyAlignment="1"/>
    <xf numFmtId="170" fontId="102" fillId="27" borderId="0" xfId="29" applyNumberFormat="1" applyFont="1" applyFill="1" applyBorder="1" applyAlignment="1"/>
    <xf numFmtId="0" fontId="10" fillId="0" borderId="36" xfId="0" applyFont="1" applyBorder="1" applyAlignment="1"/>
    <xf numFmtId="178" fontId="10" fillId="0" borderId="18" xfId="0" applyNumberFormat="1" applyFont="1" applyBorder="1" applyAlignment="1"/>
    <xf numFmtId="0" fontId="100" fillId="0" borderId="0" xfId="0" applyFont="1" applyFill="1" applyBorder="1" applyAlignment="1">
      <alignment horizontal="right"/>
    </xf>
    <xf numFmtId="0" fontId="101" fillId="0" borderId="0" xfId="0" applyNumberFormat="1" applyFont="1" applyFill="1" applyProtection="1">
      <alignment vertical="top"/>
      <protection locked="0"/>
    </xf>
    <xf numFmtId="0" fontId="20" fillId="32" borderId="0" xfId="53" applyFont="1" applyFill="1" applyAlignment="1">
      <alignment horizontal="left"/>
    </xf>
    <xf numFmtId="5" fontId="10" fillId="0" borderId="0" xfId="0" applyNumberFormat="1" applyFont="1" applyFill="1" applyBorder="1" applyAlignment="1"/>
    <xf numFmtId="170" fontId="102" fillId="27" borderId="36" xfId="29" applyNumberFormat="1" applyFont="1" applyFill="1" applyBorder="1" applyAlignment="1"/>
    <xf numFmtId="0" fontId="10" fillId="0" borderId="29" xfId="69" applyNumberFormat="1" applyFont="1" applyBorder="1" applyAlignment="1"/>
    <xf numFmtId="182" fontId="102" fillId="27" borderId="30" xfId="69" applyNumberFormat="1" applyFont="1" applyFill="1" applyBorder="1" applyAlignment="1"/>
    <xf numFmtId="0" fontId="10" fillId="0" borderId="30" xfId="0" applyFont="1" applyBorder="1" applyAlignment="1"/>
    <xf numFmtId="170" fontId="102" fillId="27" borderId="24" xfId="29" applyNumberFormat="1" applyFont="1" applyFill="1" applyBorder="1" applyAlignment="1"/>
    <xf numFmtId="3" fontId="10" fillId="0" borderId="0" xfId="0" applyNumberFormat="1" applyFont="1" applyBorder="1">
      <alignment vertical="top"/>
    </xf>
    <xf numFmtId="0" fontId="10" fillId="0" borderId="29" xfId="0" applyFont="1" applyBorder="1" applyAlignment="1"/>
    <xf numFmtId="178" fontId="10" fillId="0" borderId="0" xfId="0" applyNumberFormat="1" applyFont="1" applyBorder="1" applyAlignment="1"/>
    <xf numFmtId="3" fontId="10" fillId="0" borderId="25" xfId="0" applyNumberFormat="1" applyFont="1" applyBorder="1">
      <alignment vertical="top"/>
    </xf>
    <xf numFmtId="3" fontId="10" fillId="0" borderId="17" xfId="0" applyNumberFormat="1" applyFont="1" applyBorder="1">
      <alignment vertical="top"/>
    </xf>
    <xf numFmtId="0" fontId="10" fillId="0" borderId="30" xfId="0" applyFont="1" applyBorder="1" applyAlignment="1">
      <alignment horizontal="right"/>
    </xf>
    <xf numFmtId="178" fontId="10" fillId="0" borderId="17" xfId="0" applyNumberFormat="1" applyFont="1" applyBorder="1" applyAlignment="1"/>
    <xf numFmtId="3" fontId="10" fillId="0" borderId="26" xfId="0" applyNumberFormat="1" applyFont="1" applyBorder="1">
      <alignment vertical="top"/>
    </xf>
    <xf numFmtId="37" fontId="15" fillId="0" borderId="0" xfId="61" applyNumberFormat="1" applyFont="1" applyAlignment="1">
      <alignment horizontal="left" indent="1"/>
    </xf>
    <xf numFmtId="37" fontId="31" fillId="27" borderId="17" xfId="66" applyNumberFormat="1" applyFont="1" applyFill="1" applyBorder="1"/>
    <xf numFmtId="37" fontId="15" fillId="33" borderId="0" xfId="66" applyNumberFormat="1" applyFont="1" applyFill="1" applyAlignment="1">
      <alignment horizontal="center" vertical="center"/>
    </xf>
    <xf numFmtId="0" fontId="103" fillId="0" borderId="0" xfId="0" applyFont="1" applyAlignment="1">
      <alignment horizontal="left" vertical="top"/>
    </xf>
    <xf numFmtId="0" fontId="30" fillId="0" borderId="0" xfId="0" applyFont="1" applyAlignment="1">
      <alignment horizontal="left" vertical="top" wrapText="1"/>
    </xf>
    <xf numFmtId="0" fontId="30" fillId="0" borderId="0" xfId="0" applyFont="1">
      <alignment vertical="top"/>
    </xf>
    <xf numFmtId="0" fontId="30" fillId="23" borderId="8" xfId="0" applyFont="1" applyFill="1" applyBorder="1" applyAlignment="1">
      <alignment horizontal="center" vertical="top" wrapText="1"/>
    </xf>
    <xf numFmtId="0" fontId="30" fillId="0" borderId="8" xfId="0" quotePrefix="1" applyFont="1" applyBorder="1" applyAlignment="1">
      <alignment horizontal="left" vertical="top" wrapText="1" indent="2"/>
    </xf>
    <xf numFmtId="0" fontId="30" fillId="0" borderId="8" xfId="0" applyFont="1" applyBorder="1" applyAlignment="1">
      <alignment horizontal="left" vertical="top" wrapText="1"/>
    </xf>
    <xf numFmtId="0" fontId="30" fillId="0" borderId="8" xfId="0" applyFont="1" applyFill="1" applyBorder="1" applyAlignment="1">
      <alignment horizontal="left" vertical="center" wrapText="1"/>
    </xf>
    <xf numFmtId="0" fontId="30" fillId="0" borderId="8" xfId="0" applyFont="1" applyBorder="1" applyAlignment="1">
      <alignment horizontal="left" vertical="center" wrapText="1"/>
    </xf>
    <xf numFmtId="18" fontId="30" fillId="0" borderId="34" xfId="0" applyNumberFormat="1" applyFont="1" applyBorder="1" applyAlignment="1">
      <alignment horizontal="left" vertical="top" wrapText="1" indent="2"/>
    </xf>
    <xf numFmtId="0" fontId="30" fillId="0" borderId="34" xfId="0" applyFont="1" applyBorder="1" applyAlignment="1">
      <alignment horizontal="left" vertical="top" wrapText="1"/>
    </xf>
    <xf numFmtId="0" fontId="30" fillId="0" borderId="0" xfId="0" applyFont="1" applyBorder="1">
      <alignment vertical="top"/>
    </xf>
    <xf numFmtId="18" fontId="30" fillId="0" borderId="33" xfId="0" applyNumberFormat="1" applyFont="1" applyBorder="1" applyAlignment="1">
      <alignment horizontal="left" vertical="top" wrapText="1" indent="4"/>
    </xf>
    <xf numFmtId="18" fontId="30" fillId="0" borderId="34" xfId="0" applyNumberFormat="1" applyFont="1" applyBorder="1" applyAlignment="1">
      <alignment horizontal="left" vertical="top" wrapText="1" indent="4"/>
    </xf>
    <xf numFmtId="18" fontId="30" fillId="0" borderId="8" xfId="0" applyNumberFormat="1" applyFont="1" applyBorder="1" applyAlignment="1">
      <alignment horizontal="left" vertical="top" wrapText="1" indent="2"/>
    </xf>
    <xf numFmtId="0" fontId="30" fillId="38" borderId="34" xfId="0" applyFont="1" applyFill="1" applyBorder="1" applyAlignment="1">
      <alignment horizontal="left" vertical="top" wrapText="1"/>
    </xf>
    <xf numFmtId="0" fontId="30" fillId="0" borderId="29" xfId="0" applyFont="1" applyBorder="1" applyAlignment="1">
      <alignment horizontal="left" vertical="top" wrapText="1"/>
    </xf>
    <xf numFmtId="0" fontId="30" fillId="0" borderId="22" xfId="0" applyFont="1" applyFill="1" applyBorder="1" applyAlignment="1">
      <alignment horizontal="left" vertical="center" wrapText="1"/>
    </xf>
    <xf numFmtId="0" fontId="104" fillId="0" borderId="36" xfId="0" applyFont="1" applyBorder="1" applyAlignment="1">
      <alignment horizontal="left" vertical="top" wrapText="1"/>
    </xf>
    <xf numFmtId="0" fontId="105" fillId="0" borderId="0" xfId="0" applyFont="1" applyAlignment="1">
      <alignment vertical="top" wrapText="1"/>
    </xf>
    <xf numFmtId="0" fontId="101" fillId="0" borderId="0" xfId="0" applyFont="1" applyAlignment="1"/>
    <xf numFmtId="183" fontId="10" fillId="0" borderId="29" xfId="69" applyNumberFormat="1" applyFont="1" applyBorder="1" applyAlignment="1"/>
    <xf numFmtId="0" fontId="66" fillId="0" borderId="36" xfId="0" applyNumberFormat="1" applyFont="1" applyBorder="1" applyAlignment="1">
      <alignment horizontal="center"/>
    </xf>
    <xf numFmtId="0" fontId="66" fillId="0" borderId="18" xfId="0" applyNumberFormat="1" applyFont="1" applyBorder="1" applyAlignment="1">
      <alignment horizontal="center"/>
    </xf>
    <xf numFmtId="0" fontId="66" fillId="0" borderId="24" xfId="0" applyNumberFormat="1" applyFont="1" applyBorder="1" applyAlignment="1">
      <alignment horizontal="center"/>
    </xf>
    <xf numFmtId="3" fontId="66" fillId="0" borderId="0" xfId="0" applyNumberFormat="1" applyFont="1" applyFill="1" applyAlignment="1">
      <alignment horizontal="center"/>
    </xf>
    <xf numFmtId="49" fontId="66" fillId="0" borderId="0" xfId="0" applyNumberFormat="1" applyFont="1" applyFill="1" applyAlignment="1">
      <alignment horizontal="center"/>
    </xf>
    <xf numFmtId="0" fontId="67" fillId="0" borderId="0" xfId="0" applyFont="1" applyAlignment="1">
      <alignment horizontal="center"/>
    </xf>
    <xf numFmtId="0" fontId="66" fillId="0" borderId="0" xfId="0" applyFont="1" applyFill="1" applyAlignment="1">
      <alignment horizontal="center"/>
    </xf>
    <xf numFmtId="0" fontId="70" fillId="0" borderId="0" xfId="0" applyNumberFormat="1" applyFont="1" applyAlignment="1" applyProtection="1">
      <alignment horizontal="center"/>
      <protection locked="0"/>
    </xf>
    <xf numFmtId="0" fontId="10" fillId="0" borderId="0" xfId="0" applyFont="1" applyFill="1" applyBorder="1" applyAlignment="1">
      <alignment horizontal="left"/>
    </xf>
    <xf numFmtId="0" fontId="10"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63" fillId="0" borderId="0" xfId="0" applyFont="1" applyFill="1" applyBorder="1" applyAlignment="1">
      <alignment horizontal="left" vertical="top" wrapText="1"/>
    </xf>
    <xf numFmtId="0" fontId="0" fillId="0" borderId="0" xfId="0" applyFont="1" applyFill="1" applyBorder="1" applyAlignment="1">
      <alignment horizontal="left" vertical="top" wrapText="1"/>
    </xf>
    <xf numFmtId="0" fontId="31" fillId="0" borderId="0" xfId="0" applyFont="1" applyAlignment="1">
      <alignment horizontal="left" wrapText="1"/>
    </xf>
    <xf numFmtId="38" fontId="18" fillId="0" borderId="17" xfId="59" applyFont="1" applyBorder="1" applyAlignment="1">
      <alignment horizontal="center"/>
    </xf>
    <xf numFmtId="0" fontId="16" fillId="0" borderId="17" xfId="0" applyFont="1" applyBorder="1" applyAlignment="1">
      <alignment horizontal="center"/>
    </xf>
  </cellXfs>
  <cellStyles count="8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ctual Date" xfId="25"/>
    <cellStyle name="Bad" xfId="26" builtinId="27" customBuiltin="1"/>
    <cellStyle name="Calculation" xfId="27" builtinId="22" customBuiltin="1"/>
    <cellStyle name="Check Cell" xfId="28" builtinId="23" customBuiltin="1"/>
    <cellStyle name="Comma" xfId="29" builtinId="3"/>
    <cellStyle name="Comma 2" xfId="30"/>
    <cellStyle name="Currency" xfId="31" builtinId="4"/>
    <cellStyle name="Currency 2" xfId="32"/>
    <cellStyle name="Date" xfId="33"/>
    <cellStyle name="Explanatory Text" xfId="34" builtinId="53" customBuiltin="1"/>
    <cellStyle name="Fixed" xfId="35"/>
    <cellStyle name="Good" xfId="36" builtinId="26" customBuiltin="1"/>
    <cellStyle name="Grey" xfId="37"/>
    <cellStyle name="HEADER" xfId="38"/>
    <cellStyle name="Heading 1" xfId="39" builtinId="16" customBuiltin="1"/>
    <cellStyle name="Heading 2" xfId="40" builtinId="17" customBuiltin="1"/>
    <cellStyle name="Heading 3" xfId="41" builtinId="18" customBuiltin="1"/>
    <cellStyle name="Heading 4" xfId="42" builtinId="19" customBuiltin="1"/>
    <cellStyle name="Heading1" xfId="43"/>
    <cellStyle name="Heading2" xfId="44"/>
    <cellStyle name="HIGHLIGHT" xfId="45"/>
    <cellStyle name="Input" xfId="46" builtinId="20" customBuiltin="1"/>
    <cellStyle name="Input [yellow]" xfId="47"/>
    <cellStyle name="Linked Cell" xfId="48" builtinId="24" customBuiltin="1"/>
    <cellStyle name="Neutral" xfId="49" builtinId="28" customBuiltin="1"/>
    <cellStyle name="no dec" xfId="50"/>
    <cellStyle name="Normal" xfId="0" builtinId="0"/>
    <cellStyle name="Normal - Style1" xfId="51"/>
    <cellStyle name="Normal 2" xfId="52"/>
    <cellStyle name="Normal_0112 No Link Exp" xfId="53"/>
    <cellStyle name="Normal_0212 A Statements" xfId="54"/>
    <cellStyle name="Normal_ATE-4  Attachment  O Populated (3)" xfId="55"/>
    <cellStyle name="Normal_Attachment GG (2)" xfId="56"/>
    <cellStyle name="Normal_Book2" xfId="57"/>
    <cellStyle name="Normal_Book2_12-31-2004 SPS BK Revised Revenue Credit" xfId="58"/>
    <cellStyle name="Normal_Book4_1" xfId="59"/>
    <cellStyle name="Normal_Budgeted A Statements" xfId="60"/>
    <cellStyle name="Normal_ConsPeriodRevReq" xfId="61"/>
    <cellStyle name="Normal_July Filing -  AI" xfId="62"/>
    <cellStyle name="Normal_Schedule O Info for Mike" xfId="63"/>
    <cellStyle name="Normal_Sheet1" xfId="64"/>
    <cellStyle name="Normal_Sheet3" xfId="65"/>
    <cellStyle name="Normal_TCR Tracker_201204__Main Budget Update w SWTC Audit" xfId="66"/>
    <cellStyle name="Note" xfId="67" builtinId="10" customBuiltin="1"/>
    <cellStyle name="Output" xfId="68" builtinId="21" customBuiltin="1"/>
    <cellStyle name="Percent" xfId="69" builtinId="5"/>
    <cellStyle name="Percent [2]" xfId="70"/>
    <cellStyle name="Percent 2" xfId="71"/>
    <cellStyle name="PSChar" xfId="72"/>
    <cellStyle name="PSDate" xfId="73"/>
    <cellStyle name="PSHeading" xfId="74"/>
    <cellStyle name="RangeBelow" xfId="75"/>
    <cellStyle name="SubRoutine" xfId="76"/>
    <cellStyle name="þ(Î'_x000c_ïþ÷_x000c_âþÖ_x0006__x0002_Þ”_x0013__x0007__x0001__x0001_" xfId="77"/>
    <cellStyle name="Title" xfId="78" builtinId="15" customBuiltin="1"/>
    <cellStyle name="Total" xfId="79" builtinId="25" customBuiltin="1"/>
    <cellStyle name="Unprot" xfId="80"/>
    <cellStyle name="Unprot$" xfId="81"/>
    <cellStyle name="Unprotect" xfId="82"/>
    <cellStyle name="Warning Text" xfId="83" builtinId="11" customBuiltin="1"/>
  </cellStyles>
  <dxfs count="2">
    <dxf>
      <font>
        <condense val="0"/>
        <extend val="0"/>
        <color indexed="10"/>
      </font>
    </dxf>
    <dxf>
      <font>
        <condense val="0"/>
        <extend val="0"/>
        <color indexed="10"/>
      </font>
    </dxf>
  </dxfs>
  <tableStyles count="0" defaultTableStyle="TableStyleMedium2" defaultPivotStyle="PivotStyleLight16"/>
  <colors>
    <mruColors>
      <color rgb="FFFFFF8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refreshError="1"/>
      <sheetData sheetId="76"/>
      <sheetData sheetId="77"/>
      <sheetData sheetId="78"/>
      <sheetData sheetId="7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21"/>
  <sheetViews>
    <sheetView showGridLines="0" workbookViewId="0">
      <selection activeCell="A35" sqref="A35"/>
    </sheetView>
  </sheetViews>
  <sheetFormatPr defaultRowHeight="15.75"/>
  <cols>
    <col min="1" max="1" width="80.77734375" style="499" customWidth="1"/>
    <col min="2" max="16384" width="8.88671875" style="499"/>
  </cols>
  <sheetData>
    <row r="1" spans="1:1" ht="37.5">
      <c r="A1" s="1007" t="s">
        <v>1171</v>
      </c>
    </row>
    <row r="3" spans="1:1">
      <c r="A3" s="499" t="s">
        <v>1123</v>
      </c>
    </row>
    <row r="4" spans="1:1">
      <c r="A4" s="499" t="s">
        <v>1124</v>
      </c>
    </row>
    <row r="5" spans="1:1">
      <c r="A5" s="499" t="s">
        <v>1135</v>
      </c>
    </row>
    <row r="6" spans="1:1">
      <c r="A6" s="499" t="s">
        <v>1125</v>
      </c>
    </row>
    <row r="7" spans="1:1">
      <c r="A7" s="499" t="s">
        <v>1136</v>
      </c>
    </row>
    <row r="8" spans="1:1">
      <c r="A8" s="499" t="s">
        <v>1126</v>
      </c>
    </row>
    <row r="9" spans="1:1">
      <c r="A9" s="499" t="s">
        <v>1137</v>
      </c>
    </row>
    <row r="10" spans="1:1">
      <c r="A10" s="499" t="s">
        <v>1127</v>
      </c>
    </row>
    <row r="12" spans="1:1">
      <c r="A12" s="1008" t="s">
        <v>1134</v>
      </c>
    </row>
    <row r="15" spans="1:1" ht="48" customHeight="1">
      <c r="A15" s="1007" t="s">
        <v>1170</v>
      </c>
    </row>
    <row r="17" spans="1:1">
      <c r="A17" s="499" t="s">
        <v>1178</v>
      </c>
    </row>
    <row r="18" spans="1:1">
      <c r="A18" s="499" t="s">
        <v>1175</v>
      </c>
    </row>
    <row r="19" spans="1:1">
      <c r="A19" s="499" t="s">
        <v>1180</v>
      </c>
    </row>
    <row r="21" spans="1:1">
      <c r="A21" s="1008" t="s">
        <v>1138</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92D050"/>
    <pageSetUpPr fitToPage="1"/>
  </sheetPr>
  <dimension ref="B1:C18"/>
  <sheetViews>
    <sheetView showGridLines="0" zoomScaleNormal="100" workbookViewId="0">
      <selection activeCell="B37" sqref="B37"/>
    </sheetView>
  </sheetViews>
  <sheetFormatPr defaultRowHeight="15"/>
  <cols>
    <col min="1" max="1" width="13.5546875" customWidth="1"/>
    <col min="2" max="2" width="54.5546875" bestFit="1" customWidth="1"/>
  </cols>
  <sheetData>
    <row r="1" spans="2:3" ht="15.75">
      <c r="C1" s="170" t="s">
        <v>338</v>
      </c>
    </row>
    <row r="14" spans="2:3" ht="23.25">
      <c r="B14" s="168" t="s">
        <v>93</v>
      </c>
    </row>
    <row r="15" spans="2:3" ht="23.25">
      <c r="B15" s="356" t="s">
        <v>94</v>
      </c>
    </row>
    <row r="16" spans="2:3" ht="18">
      <c r="B16" s="381" t="s">
        <v>1181</v>
      </c>
    </row>
    <row r="17" spans="2:2">
      <c r="B17" s="408"/>
    </row>
    <row r="18" spans="2:2">
      <c r="B18" s="169"/>
    </row>
  </sheetData>
  <phoneticPr fontId="13" type="noConversion"/>
  <pageMargins left="0.5" right="0.25" top="0.5" bottom="0.25" header="0.75" footer="0.5"/>
  <pageSetup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2"/>
    <pageSetUpPr autoPageBreaks="0" fitToPage="1"/>
  </sheetPr>
  <dimension ref="A1:Q91"/>
  <sheetViews>
    <sheetView showGridLines="0" topLeftCell="A13" zoomScaleNormal="75" workbookViewId="0"/>
  </sheetViews>
  <sheetFormatPr defaultColWidth="14.44140625" defaultRowHeight="12"/>
  <cols>
    <col min="1" max="1" width="4.77734375" style="51" customWidth="1"/>
    <col min="2" max="2" width="2.77734375" style="49" customWidth="1"/>
    <col min="3" max="3" width="24.21875" style="49" customWidth="1"/>
    <col min="4" max="4" width="14.44140625" style="49" customWidth="1"/>
    <col min="5" max="5" width="0.88671875" style="49" customWidth="1"/>
    <col min="6" max="6" width="15.6640625" style="49" bestFit="1" customWidth="1"/>
    <col min="7" max="7" width="0.88671875" style="49" customWidth="1"/>
    <col min="8" max="8" width="16" style="49" bestFit="1" customWidth="1"/>
    <col min="9" max="9" width="0.88671875" style="49" customWidth="1"/>
    <col min="10" max="10" width="14.77734375" style="49" bestFit="1" customWidth="1"/>
    <col min="11" max="11" width="0.88671875" style="49" customWidth="1"/>
    <col min="12" max="12" width="14.44140625" style="49" customWidth="1"/>
    <col min="13" max="13" width="0.77734375" style="49" customWidth="1"/>
    <col min="14" max="14" width="16.77734375" style="49" bestFit="1" customWidth="1"/>
    <col min="15" max="16384" width="14.44140625" style="49"/>
  </cols>
  <sheetData>
    <row r="1" spans="1:14">
      <c r="A1" s="6" t="s">
        <v>1030</v>
      </c>
      <c r="B1" s="47"/>
      <c r="C1" s="47"/>
      <c r="D1" s="47"/>
      <c r="E1" s="47"/>
      <c r="F1" s="47"/>
      <c r="G1" s="47"/>
      <c r="H1" s="47"/>
      <c r="I1" s="47"/>
      <c r="J1" s="47"/>
      <c r="K1" s="47"/>
      <c r="L1" s="47"/>
      <c r="M1" s="47"/>
      <c r="N1" s="48" t="str">
        <f>'Cover Rev 2'!C1</f>
        <v>2015 Workpapers</v>
      </c>
    </row>
    <row r="2" spans="1:14">
      <c r="A2" s="6" t="s">
        <v>28</v>
      </c>
      <c r="B2" s="47"/>
      <c r="C2" s="47"/>
      <c r="D2" s="47"/>
      <c r="E2" s="47"/>
      <c r="F2" s="47"/>
      <c r="G2" s="47"/>
      <c r="H2" s="47"/>
      <c r="I2" s="47"/>
      <c r="J2" s="47"/>
      <c r="K2" s="47"/>
      <c r="L2" s="47"/>
      <c r="M2" s="47"/>
      <c r="N2" s="50"/>
    </row>
    <row r="3" spans="1:14">
      <c r="A3" s="6" t="s">
        <v>337</v>
      </c>
      <c r="B3" s="47"/>
      <c r="C3" s="47"/>
      <c r="D3" s="47"/>
      <c r="E3" s="47"/>
      <c r="F3" s="47"/>
      <c r="G3" s="47"/>
      <c r="H3" s="47"/>
      <c r="I3" s="47"/>
      <c r="J3" s="47"/>
      <c r="K3" s="47"/>
      <c r="L3" s="47"/>
      <c r="M3" s="47"/>
    </row>
    <row r="4" spans="1:14">
      <c r="A4" s="483" t="s">
        <v>232</v>
      </c>
    </row>
    <row r="5" spans="1:14">
      <c r="B5" s="52"/>
      <c r="D5" s="185"/>
    </row>
    <row r="6" spans="1:14">
      <c r="B6" s="52"/>
    </row>
    <row r="7" spans="1:14">
      <c r="A7" s="19"/>
      <c r="B7" s="19"/>
      <c r="C7" s="19"/>
      <c r="E7" s="53"/>
      <c r="I7" s="54"/>
      <c r="K7" s="54"/>
      <c r="L7" s="54"/>
      <c r="M7" s="54"/>
    </row>
    <row r="8" spans="1:14">
      <c r="D8" s="55"/>
      <c r="E8" s="53"/>
      <c r="I8" s="54"/>
      <c r="K8" s="54"/>
      <c r="L8" s="54"/>
      <c r="M8" s="54"/>
      <c r="N8" s="55" t="s">
        <v>30</v>
      </c>
    </row>
    <row r="9" spans="1:14">
      <c r="A9" s="51" t="s">
        <v>46</v>
      </c>
      <c r="D9" s="54"/>
      <c r="E9" s="53"/>
      <c r="H9" s="56"/>
      <c r="J9" s="57" t="s">
        <v>89</v>
      </c>
      <c r="L9" s="57" t="s">
        <v>23</v>
      </c>
      <c r="N9" s="55" t="s">
        <v>31</v>
      </c>
    </row>
    <row r="10" spans="1:14">
      <c r="A10" s="58" t="s">
        <v>22</v>
      </c>
      <c r="D10" s="54" t="s">
        <v>4</v>
      </c>
      <c r="F10" s="54" t="s">
        <v>24</v>
      </c>
      <c r="H10" s="54" t="s">
        <v>25</v>
      </c>
      <c r="J10" s="54" t="s">
        <v>57</v>
      </c>
      <c r="L10" s="59" t="s">
        <v>1032</v>
      </c>
      <c r="M10" s="55"/>
      <c r="N10" s="59" t="s">
        <v>32</v>
      </c>
    </row>
    <row r="11" spans="1:14">
      <c r="A11" s="60" t="s">
        <v>27</v>
      </c>
      <c r="B11" s="61" t="s">
        <v>1031</v>
      </c>
      <c r="C11" s="62"/>
      <c r="D11" s="63"/>
      <c r="F11" s="63"/>
      <c r="H11" s="63"/>
      <c r="J11" s="63"/>
      <c r="N11" s="63"/>
    </row>
    <row r="12" spans="1:14">
      <c r="A12" s="64">
        <f>+A11+1</f>
        <v>2</v>
      </c>
      <c r="C12" s="65" t="s">
        <v>250</v>
      </c>
      <c r="D12" s="66">
        <f t="shared" ref="D12:D24" si="0">+D34+D56</f>
        <v>7902345333.2799978</v>
      </c>
      <c r="E12" s="67"/>
      <c r="F12" s="66">
        <f t="shared" ref="F12:F24" si="1">+F34+F56</f>
        <v>3562584055.8599949</v>
      </c>
      <c r="G12" s="66">
        <f>+G34+G56</f>
        <v>0</v>
      </c>
      <c r="H12" s="66">
        <f t="shared" ref="H12:H24" si="2">+H34+H56</f>
        <v>4291652370.190001</v>
      </c>
      <c r="I12" s="66">
        <f>+I34+I56</f>
        <v>0</v>
      </c>
      <c r="J12" s="66">
        <f t="shared" ref="J12:J24" si="3">+J34+J56</f>
        <v>744974490.86999965</v>
      </c>
      <c r="K12" s="66">
        <f t="shared" ref="K12:L15" si="4">+K34+K56</f>
        <v>0</v>
      </c>
      <c r="L12" s="69">
        <f t="shared" si="4"/>
        <v>617829304.22309589</v>
      </c>
      <c r="M12" s="68"/>
      <c r="N12" s="66">
        <f>SUM(D12:L12)</f>
        <v>17119385554.423088</v>
      </c>
    </row>
    <row r="13" spans="1:14">
      <c r="A13" s="64">
        <f t="shared" ref="A13:A70" si="5">+A12+1</f>
        <v>3</v>
      </c>
      <c r="C13" s="65" t="s">
        <v>340</v>
      </c>
      <c r="D13" s="69">
        <f t="shared" si="0"/>
        <v>7920404707.6999979</v>
      </c>
      <c r="E13" s="67"/>
      <c r="F13" s="69">
        <f t="shared" si="1"/>
        <v>3643379784.9600058</v>
      </c>
      <c r="G13" s="69">
        <f>+G35+G57</f>
        <v>0</v>
      </c>
      <c r="H13" s="69">
        <f t="shared" si="2"/>
        <v>4303411974.3499966</v>
      </c>
      <c r="I13" s="69">
        <f>+I35+I57</f>
        <v>0</v>
      </c>
      <c r="J13" s="69">
        <f t="shared" si="3"/>
        <v>748011282.34000015</v>
      </c>
      <c r="K13" s="69">
        <f t="shared" si="4"/>
        <v>0</v>
      </c>
      <c r="L13" s="69">
        <f t="shared" si="4"/>
        <v>625180632.16432238</v>
      </c>
      <c r="M13" s="70"/>
      <c r="N13" s="71">
        <f>SUM(D13:L13)</f>
        <v>17240388381.514324</v>
      </c>
    </row>
    <row r="14" spans="1:14">
      <c r="A14" s="64">
        <f t="shared" si="5"/>
        <v>4</v>
      </c>
      <c r="C14" s="65" t="s">
        <v>47</v>
      </c>
      <c r="D14" s="69">
        <f t="shared" si="0"/>
        <v>7942608857.619997</v>
      </c>
      <c r="E14" s="67"/>
      <c r="F14" s="69">
        <f t="shared" si="1"/>
        <v>3654904653.3400126</v>
      </c>
      <c r="G14" s="69">
        <f>+G36+G58</f>
        <v>0</v>
      </c>
      <c r="H14" s="69">
        <f t="shared" si="2"/>
        <v>4316578417.7399998</v>
      </c>
      <c r="I14" s="69">
        <f>+I36+I58</f>
        <v>0</v>
      </c>
      <c r="J14" s="69">
        <f t="shared" si="3"/>
        <v>751411253.16999972</v>
      </c>
      <c r="K14" s="69">
        <f t="shared" si="4"/>
        <v>0</v>
      </c>
      <c r="L14" s="69">
        <f t="shared" si="4"/>
        <v>627269485.48003578</v>
      </c>
      <c r="M14" s="70"/>
      <c r="N14" s="71">
        <f t="shared" ref="N14:N24" si="6">SUM(D14:L14)</f>
        <v>17292772667.350044</v>
      </c>
    </row>
    <row r="15" spans="1:14">
      <c r="A15" s="64">
        <f t="shared" si="5"/>
        <v>5</v>
      </c>
      <c r="C15" s="65" t="s">
        <v>48</v>
      </c>
      <c r="D15" s="69">
        <f t="shared" si="0"/>
        <v>7954391933.5499992</v>
      </c>
      <c r="E15" s="67"/>
      <c r="F15" s="69">
        <f t="shared" si="1"/>
        <v>3712132368.3399997</v>
      </c>
      <c r="G15" s="69">
        <f>+G37+G59</f>
        <v>0</v>
      </c>
      <c r="H15" s="69">
        <f t="shared" si="2"/>
        <v>4328847971.3999987</v>
      </c>
      <c r="I15" s="69">
        <f>+I37+I59</f>
        <v>0</v>
      </c>
      <c r="J15" s="69">
        <f t="shared" si="3"/>
        <v>759046662.83999968</v>
      </c>
      <c r="K15" s="69">
        <f t="shared" si="4"/>
        <v>0</v>
      </c>
      <c r="L15" s="69">
        <f t="shared" si="4"/>
        <v>634852550.95196378</v>
      </c>
      <c r="M15" s="70"/>
      <c r="N15" s="71">
        <f t="shared" si="6"/>
        <v>17389271487.081963</v>
      </c>
    </row>
    <row r="16" spans="1:14">
      <c r="A16" s="64">
        <f t="shared" si="5"/>
        <v>6</v>
      </c>
      <c r="C16" s="65" t="s">
        <v>49</v>
      </c>
      <c r="D16" s="69">
        <f t="shared" si="0"/>
        <v>7972133812.3299932</v>
      </c>
      <c r="E16" s="67"/>
      <c r="F16" s="69">
        <f t="shared" si="1"/>
        <v>3723422349.6600113</v>
      </c>
      <c r="G16" s="69">
        <f t="shared" ref="G16:L16" si="7">+G38+G60</f>
        <v>0</v>
      </c>
      <c r="H16" s="69">
        <f t="shared" si="2"/>
        <v>4345047140.0300007</v>
      </c>
      <c r="I16" s="69">
        <f t="shared" si="7"/>
        <v>0</v>
      </c>
      <c r="J16" s="69">
        <f t="shared" si="3"/>
        <v>769437382.99000001</v>
      </c>
      <c r="K16" s="69">
        <f t="shared" si="7"/>
        <v>0</v>
      </c>
      <c r="L16" s="69">
        <f t="shared" si="7"/>
        <v>637397398.91094899</v>
      </c>
      <c r="M16" s="70"/>
      <c r="N16" s="71">
        <f t="shared" si="6"/>
        <v>17447438083.920956</v>
      </c>
    </row>
    <row r="17" spans="1:17">
      <c r="A17" s="64">
        <f t="shared" si="5"/>
        <v>7</v>
      </c>
      <c r="C17" s="65" t="s">
        <v>21</v>
      </c>
      <c r="D17" s="69">
        <f t="shared" si="0"/>
        <v>8008329209.0200005</v>
      </c>
      <c r="E17" s="67"/>
      <c r="F17" s="69">
        <f t="shared" si="1"/>
        <v>3869258543.7200031</v>
      </c>
      <c r="G17" s="69">
        <f t="shared" ref="G17:L17" si="8">+G39+G61</f>
        <v>0</v>
      </c>
      <c r="H17" s="69">
        <f t="shared" si="2"/>
        <v>4367322813.3199987</v>
      </c>
      <c r="I17" s="69">
        <f t="shared" si="8"/>
        <v>0</v>
      </c>
      <c r="J17" s="69">
        <f t="shared" si="3"/>
        <v>775094938.48000026</v>
      </c>
      <c r="K17" s="69">
        <f t="shared" si="8"/>
        <v>0</v>
      </c>
      <c r="L17" s="69">
        <f t="shared" si="8"/>
        <v>643489114.23177612</v>
      </c>
      <c r="M17" s="70"/>
      <c r="N17" s="71">
        <f t="shared" si="6"/>
        <v>17663494618.771778</v>
      </c>
    </row>
    <row r="18" spans="1:17">
      <c r="A18" s="64">
        <f t="shared" si="5"/>
        <v>8</v>
      </c>
      <c r="C18" s="65" t="s">
        <v>50</v>
      </c>
      <c r="D18" s="69">
        <f t="shared" si="0"/>
        <v>8052774363.6500006</v>
      </c>
      <c r="E18" s="67"/>
      <c r="F18" s="69">
        <f t="shared" si="1"/>
        <v>4119543045.7700028</v>
      </c>
      <c r="G18" s="69">
        <f t="shared" ref="G18:L18" si="9">+G40+G62</f>
        <v>0</v>
      </c>
      <c r="H18" s="69">
        <f t="shared" si="2"/>
        <v>4382658339.0299997</v>
      </c>
      <c r="I18" s="69">
        <f t="shared" si="9"/>
        <v>0</v>
      </c>
      <c r="J18" s="69">
        <f t="shared" si="3"/>
        <v>778911444.20000005</v>
      </c>
      <c r="K18" s="69">
        <f t="shared" si="9"/>
        <v>0</v>
      </c>
      <c r="L18" s="69">
        <f t="shared" si="9"/>
        <v>647107410.6775955</v>
      </c>
      <c r="M18" s="70"/>
      <c r="N18" s="71">
        <f t="shared" si="6"/>
        <v>17980994603.327602</v>
      </c>
    </row>
    <row r="19" spans="1:17">
      <c r="A19" s="64">
        <f t="shared" si="5"/>
        <v>9</v>
      </c>
      <c r="C19" s="65" t="s">
        <v>51</v>
      </c>
      <c r="D19" s="69">
        <f t="shared" si="0"/>
        <v>8056360529.6499977</v>
      </c>
      <c r="E19" s="67"/>
      <c r="F19" s="69">
        <f t="shared" si="1"/>
        <v>4145751312.3199954</v>
      </c>
      <c r="G19" s="69">
        <f t="shared" ref="G19:L19" si="10">+G41+G63</f>
        <v>0</v>
      </c>
      <c r="H19" s="69">
        <f t="shared" si="2"/>
        <v>4400103001.6499987</v>
      </c>
      <c r="I19" s="69">
        <f t="shared" si="10"/>
        <v>0</v>
      </c>
      <c r="J19" s="69">
        <f t="shared" si="3"/>
        <v>793934412.13000011</v>
      </c>
      <c r="K19" s="69">
        <f t="shared" si="10"/>
        <v>0</v>
      </c>
      <c r="L19" s="69">
        <f t="shared" si="10"/>
        <v>650471749.38199472</v>
      </c>
      <c r="M19" s="70"/>
      <c r="N19" s="71">
        <f t="shared" si="6"/>
        <v>18046621005.131989</v>
      </c>
    </row>
    <row r="20" spans="1:17">
      <c r="A20" s="64">
        <f t="shared" si="5"/>
        <v>10</v>
      </c>
      <c r="C20" s="65" t="s">
        <v>52</v>
      </c>
      <c r="D20" s="69">
        <f t="shared" si="0"/>
        <v>8068279625.3999949</v>
      </c>
      <c r="E20" s="67"/>
      <c r="F20" s="69">
        <f t="shared" si="1"/>
        <v>4164522681.1299877</v>
      </c>
      <c r="G20" s="69">
        <f t="shared" ref="G20:L20" si="11">+G42+G64</f>
        <v>0</v>
      </c>
      <c r="H20" s="69">
        <f t="shared" si="2"/>
        <v>4416607494.5999985</v>
      </c>
      <c r="I20" s="69">
        <f t="shared" si="11"/>
        <v>0</v>
      </c>
      <c r="J20" s="69">
        <f t="shared" si="3"/>
        <v>805919696.76999986</v>
      </c>
      <c r="K20" s="69">
        <f t="shared" si="11"/>
        <v>0</v>
      </c>
      <c r="L20" s="69">
        <f t="shared" si="11"/>
        <v>654368260.55392039</v>
      </c>
      <c r="M20" s="70"/>
      <c r="N20" s="71">
        <f t="shared" si="6"/>
        <v>18109697758.453903</v>
      </c>
    </row>
    <row r="21" spans="1:17">
      <c r="A21" s="64">
        <f t="shared" si="5"/>
        <v>11</v>
      </c>
      <c r="C21" s="65" t="s">
        <v>53</v>
      </c>
      <c r="D21" s="69">
        <f t="shared" si="0"/>
        <v>8097727507.3400011</v>
      </c>
      <c r="E21" s="67"/>
      <c r="F21" s="69">
        <f t="shared" si="1"/>
        <v>4172383604.9000058</v>
      </c>
      <c r="G21" s="69">
        <f t="shared" ref="G21:L21" si="12">+G43+G65</f>
        <v>0</v>
      </c>
      <c r="H21" s="69">
        <f t="shared" si="2"/>
        <v>4430116340.0999994</v>
      </c>
      <c r="I21" s="69">
        <f t="shared" si="12"/>
        <v>0</v>
      </c>
      <c r="J21" s="69">
        <f t="shared" si="3"/>
        <v>809741370.68000007</v>
      </c>
      <c r="K21" s="69">
        <f t="shared" si="12"/>
        <v>0</v>
      </c>
      <c r="L21" s="69">
        <f t="shared" si="12"/>
        <v>657535245.21791196</v>
      </c>
      <c r="M21" s="70"/>
      <c r="N21" s="71">
        <f t="shared" si="6"/>
        <v>18167504068.237919</v>
      </c>
    </row>
    <row r="22" spans="1:17">
      <c r="A22" s="64">
        <f t="shared" si="5"/>
        <v>12</v>
      </c>
      <c r="C22" s="65" t="s">
        <v>54</v>
      </c>
      <c r="D22" s="69">
        <f t="shared" si="0"/>
        <v>8795301553.5099983</v>
      </c>
      <c r="E22" s="67"/>
      <c r="F22" s="69">
        <f t="shared" si="1"/>
        <v>4224260211.7200046</v>
      </c>
      <c r="G22" s="69">
        <f t="shared" ref="G22:L22" si="13">+G44+G66</f>
        <v>0</v>
      </c>
      <c r="H22" s="69">
        <f t="shared" si="2"/>
        <v>4444266729.0300007</v>
      </c>
      <c r="I22" s="69">
        <f t="shared" si="13"/>
        <v>0</v>
      </c>
      <c r="J22" s="69">
        <f t="shared" si="3"/>
        <v>813159639.63999987</v>
      </c>
      <c r="K22" s="69">
        <f t="shared" si="13"/>
        <v>0</v>
      </c>
      <c r="L22" s="69">
        <f t="shared" si="13"/>
        <v>662214785.83337164</v>
      </c>
      <c r="M22" s="70"/>
      <c r="N22" s="71">
        <f t="shared" si="6"/>
        <v>18939202919.733372</v>
      </c>
    </row>
    <row r="23" spans="1:17">
      <c r="A23" s="64">
        <f t="shared" si="5"/>
        <v>13</v>
      </c>
      <c r="C23" s="65" t="s">
        <v>55</v>
      </c>
      <c r="D23" s="69">
        <f t="shared" si="0"/>
        <v>8812161469.3799992</v>
      </c>
      <c r="E23" s="67"/>
      <c r="F23" s="69">
        <f t="shared" si="1"/>
        <v>4236939862.0099916</v>
      </c>
      <c r="G23" s="69">
        <f t="shared" ref="G23:L23" si="14">+G45+G67</f>
        <v>0</v>
      </c>
      <c r="H23" s="69">
        <f t="shared" si="2"/>
        <v>4456891764.3999987</v>
      </c>
      <c r="I23" s="69">
        <f t="shared" si="14"/>
        <v>0</v>
      </c>
      <c r="J23" s="69">
        <f t="shared" si="3"/>
        <v>822312260.92999959</v>
      </c>
      <c r="K23" s="69">
        <f t="shared" si="14"/>
        <v>0</v>
      </c>
      <c r="L23" s="69">
        <f t="shared" si="14"/>
        <v>668019126.5854454</v>
      </c>
      <c r="M23" s="70"/>
      <c r="N23" s="71">
        <f t="shared" si="6"/>
        <v>18996324483.305435</v>
      </c>
    </row>
    <row r="24" spans="1:17">
      <c r="A24" s="64">
        <f t="shared" si="5"/>
        <v>14</v>
      </c>
      <c r="C24" s="65" t="s">
        <v>339</v>
      </c>
      <c r="D24" s="69">
        <f t="shared" si="0"/>
        <v>8846744451.2299995</v>
      </c>
      <c r="E24" s="67"/>
      <c r="F24" s="69">
        <f t="shared" si="1"/>
        <v>4375890568.7599993</v>
      </c>
      <c r="G24" s="69">
        <f t="shared" ref="G24:L24" si="15">+G46+G68</f>
        <v>0</v>
      </c>
      <c r="H24" s="69">
        <f t="shared" si="2"/>
        <v>4482589350.9800014</v>
      </c>
      <c r="I24" s="69">
        <f t="shared" si="15"/>
        <v>0</v>
      </c>
      <c r="J24" s="69">
        <f t="shared" si="3"/>
        <v>864715022.01999998</v>
      </c>
      <c r="K24" s="69">
        <f t="shared" si="15"/>
        <v>0</v>
      </c>
      <c r="L24" s="69">
        <f t="shared" si="15"/>
        <v>717614182.62496865</v>
      </c>
      <c r="M24" s="70"/>
      <c r="N24" s="71">
        <f t="shared" si="6"/>
        <v>19287553575.614971</v>
      </c>
    </row>
    <row r="25" spans="1:17">
      <c r="A25" s="64">
        <f t="shared" si="5"/>
        <v>15</v>
      </c>
      <c r="C25" s="65"/>
      <c r="D25" s="72"/>
      <c r="F25" s="72"/>
      <c r="H25" s="72"/>
      <c r="I25" s="73"/>
      <c r="J25" s="72"/>
      <c r="K25" s="73"/>
      <c r="L25" s="74"/>
      <c r="M25" s="75"/>
      <c r="N25" s="76"/>
    </row>
    <row r="26" spans="1:17" ht="12.75" thickBot="1">
      <c r="A26" s="64">
        <f t="shared" si="5"/>
        <v>16</v>
      </c>
      <c r="C26" s="77" t="s">
        <v>29</v>
      </c>
      <c r="D26" s="78">
        <f>D48+D70</f>
        <v>8186889489.0792313</v>
      </c>
      <c r="F26" s="78">
        <f>F48+F70</f>
        <v>3969613311.0107694</v>
      </c>
      <c r="G26" s="47"/>
      <c r="H26" s="78">
        <f>H48+H70</f>
        <v>4382007208.4123077</v>
      </c>
      <c r="I26" s="79"/>
      <c r="J26" s="78">
        <f>J48+J70</f>
        <v>787436142.96615374</v>
      </c>
      <c r="K26" s="80"/>
      <c r="L26" s="78">
        <f>L48+L70</f>
        <v>649488403.16461539</v>
      </c>
      <c r="M26" s="81"/>
      <c r="N26" s="78">
        <f>N48+N70</f>
        <v>17975434554.633076</v>
      </c>
    </row>
    <row r="27" spans="1:17" ht="12.75" thickTop="1">
      <c r="A27" s="64">
        <f t="shared" si="5"/>
        <v>17</v>
      </c>
      <c r="D27" s="73"/>
      <c r="F27" s="73"/>
      <c r="H27" s="73"/>
      <c r="I27" s="73"/>
      <c r="J27" s="73"/>
      <c r="K27" s="73"/>
      <c r="L27" s="73"/>
      <c r="M27" s="73"/>
      <c r="N27" s="71"/>
    </row>
    <row r="28" spans="1:17">
      <c r="A28" s="64">
        <f t="shared" si="5"/>
        <v>18</v>
      </c>
      <c r="D28" s="73"/>
      <c r="F28" s="73"/>
      <c r="H28" s="73"/>
      <c r="I28" s="73"/>
      <c r="J28" s="73"/>
      <c r="K28" s="73"/>
      <c r="L28" s="73"/>
      <c r="M28" s="73"/>
      <c r="N28" s="71"/>
    </row>
    <row r="29" spans="1:17">
      <c r="A29" s="64">
        <f t="shared" si="5"/>
        <v>19</v>
      </c>
      <c r="E29" s="53"/>
      <c r="F29" s="449"/>
      <c r="I29" s="54"/>
      <c r="J29" s="449"/>
      <c r="K29" s="54"/>
      <c r="L29" s="54"/>
      <c r="M29" s="54"/>
    </row>
    <row r="30" spans="1:17">
      <c r="A30" s="64">
        <f t="shared" si="5"/>
        <v>20</v>
      </c>
      <c r="D30" s="55"/>
      <c r="E30" s="53"/>
      <c r="F30" s="450"/>
      <c r="I30" s="54"/>
      <c r="J30" s="450"/>
      <c r="K30" s="54"/>
      <c r="L30" s="54"/>
      <c r="M30" s="54"/>
      <c r="N30" s="55" t="s">
        <v>30</v>
      </c>
    </row>
    <row r="31" spans="1:17">
      <c r="A31" s="64">
        <f t="shared" si="5"/>
        <v>21</v>
      </c>
      <c r="D31" s="54"/>
      <c r="E31" s="53"/>
      <c r="H31" s="56"/>
      <c r="J31" s="57" t="s">
        <v>89</v>
      </c>
      <c r="L31" s="57" t="s">
        <v>23</v>
      </c>
      <c r="N31" s="55" t="s">
        <v>31</v>
      </c>
    </row>
    <row r="32" spans="1:17">
      <c r="A32" s="64">
        <f t="shared" si="5"/>
        <v>22</v>
      </c>
      <c r="C32" s="19"/>
      <c r="D32" s="54" t="s">
        <v>4</v>
      </c>
      <c r="F32" s="54" t="s">
        <v>24</v>
      </c>
      <c r="H32" s="54" t="s">
        <v>25</v>
      </c>
      <c r="J32" s="54" t="s">
        <v>57</v>
      </c>
      <c r="L32" s="59" t="s">
        <v>1032</v>
      </c>
      <c r="M32" s="55"/>
      <c r="N32" s="59" t="s">
        <v>32</v>
      </c>
      <c r="P32" s="407"/>
      <c r="Q32" s="407"/>
    </row>
    <row r="33" spans="1:16">
      <c r="A33" s="64">
        <f t="shared" si="5"/>
        <v>23</v>
      </c>
      <c r="B33" s="183" t="s">
        <v>113</v>
      </c>
      <c r="C33" s="184"/>
      <c r="D33" s="83"/>
      <c r="F33" s="63"/>
      <c r="H33" s="63"/>
      <c r="J33" s="63"/>
      <c r="N33" s="83"/>
    </row>
    <row r="34" spans="1:16">
      <c r="A34" s="64">
        <f t="shared" si="5"/>
        <v>24</v>
      </c>
      <c r="C34" s="65" t="s">
        <v>250</v>
      </c>
      <c r="D34" s="151">
        <v>7449466736.7199974</v>
      </c>
      <c r="E34" s="142"/>
      <c r="F34" s="341">
        <v>2809652444.1699948</v>
      </c>
      <c r="G34" s="142"/>
      <c r="H34" s="151">
        <v>3510218062.670001</v>
      </c>
      <c r="I34" s="142"/>
      <c r="J34" s="151">
        <v>647606951.05999982</v>
      </c>
      <c r="K34" s="152"/>
      <c r="L34" s="151">
        <v>500576965.35309595</v>
      </c>
      <c r="M34" s="68"/>
      <c r="N34" s="66">
        <f>SUM(D34:L34)</f>
        <v>14917521159.973089</v>
      </c>
      <c r="P34" s="151"/>
    </row>
    <row r="35" spans="1:16">
      <c r="A35" s="64">
        <f t="shared" si="5"/>
        <v>25</v>
      </c>
      <c r="C35" s="65" t="s">
        <v>340</v>
      </c>
      <c r="D35" s="151">
        <v>7465416447.7599974</v>
      </c>
      <c r="E35" s="142"/>
      <c r="F35" s="341">
        <v>2889901701.1700053</v>
      </c>
      <c r="G35" s="142"/>
      <c r="H35" s="151">
        <v>3519764282.3299975</v>
      </c>
      <c r="I35" s="142"/>
      <c r="J35" s="151">
        <v>650153154.08000016</v>
      </c>
      <c r="K35" s="152"/>
      <c r="L35" s="151">
        <v>506985443.24432242</v>
      </c>
      <c r="M35" s="70"/>
      <c r="N35" s="71">
        <f>SUM(D35:L35)</f>
        <v>15032221028.584322</v>
      </c>
      <c r="P35" s="151"/>
    </row>
    <row r="36" spans="1:16">
      <c r="A36" s="64">
        <f t="shared" si="5"/>
        <v>26</v>
      </c>
      <c r="C36" s="65" t="s">
        <v>47</v>
      </c>
      <c r="D36" s="151">
        <v>7467724630.7799969</v>
      </c>
      <c r="E36" s="142"/>
      <c r="F36" s="341">
        <v>2899472722.380012</v>
      </c>
      <c r="G36" s="142"/>
      <c r="H36" s="151">
        <v>3530977645.9499993</v>
      </c>
      <c r="I36" s="142"/>
      <c r="J36" s="151">
        <v>653189644.76999974</v>
      </c>
      <c r="K36" s="152"/>
      <c r="L36" s="151">
        <v>508756623.42003584</v>
      </c>
      <c r="M36" s="70"/>
      <c r="N36" s="71">
        <f t="shared" ref="N36:N45" si="16">SUM(D36:L36)</f>
        <v>15060121267.300045</v>
      </c>
      <c r="P36" s="151"/>
    </row>
    <row r="37" spans="1:16">
      <c r="A37" s="64">
        <f t="shared" si="5"/>
        <v>27</v>
      </c>
      <c r="C37" s="65" t="s">
        <v>48</v>
      </c>
      <c r="D37" s="151">
        <v>7479289485.8899994</v>
      </c>
      <c r="E37" s="142"/>
      <c r="F37" s="341">
        <v>2943865971.4199991</v>
      </c>
      <c r="G37" s="142"/>
      <c r="H37" s="151">
        <v>3541062418.3399987</v>
      </c>
      <c r="I37" s="142"/>
      <c r="J37" s="151">
        <v>660217700.12999976</v>
      </c>
      <c r="K37" s="152"/>
      <c r="L37" s="151">
        <v>514888432.50196379</v>
      </c>
      <c r="M37" s="70"/>
      <c r="N37" s="71">
        <f t="shared" si="16"/>
        <v>15139324008.28196</v>
      </c>
      <c r="P37" s="151"/>
    </row>
    <row r="38" spans="1:16">
      <c r="A38" s="64">
        <f t="shared" si="5"/>
        <v>28</v>
      </c>
      <c r="C38" s="65" t="s">
        <v>49</v>
      </c>
      <c r="D38" s="151">
        <v>7496716845.8299932</v>
      </c>
      <c r="E38" s="142"/>
      <c r="F38" s="341">
        <v>2954757817.3800106</v>
      </c>
      <c r="G38" s="142"/>
      <c r="H38" s="151">
        <v>3554571802.2900004</v>
      </c>
      <c r="I38" s="142"/>
      <c r="J38" s="151">
        <v>669458223.53000009</v>
      </c>
      <c r="K38" s="152"/>
      <c r="L38" s="151">
        <v>517074186.86094892</v>
      </c>
      <c r="M38" s="70"/>
      <c r="N38" s="71">
        <f t="shared" si="16"/>
        <v>15192578875.890953</v>
      </c>
      <c r="P38" s="151"/>
    </row>
    <row r="39" spans="1:16">
      <c r="A39" s="64">
        <f t="shared" si="5"/>
        <v>29</v>
      </c>
      <c r="C39" s="65" t="s">
        <v>21</v>
      </c>
      <c r="D39" s="151">
        <v>7532242696.7400007</v>
      </c>
      <c r="E39" s="142"/>
      <c r="F39" s="341">
        <v>3096588693.7300034</v>
      </c>
      <c r="G39" s="142"/>
      <c r="H39" s="151">
        <v>3571869803.5299993</v>
      </c>
      <c r="I39" s="142"/>
      <c r="J39" s="151">
        <v>674183560.0600003</v>
      </c>
      <c r="K39" s="152"/>
      <c r="L39" s="151">
        <v>522304196.8717761</v>
      </c>
      <c r="M39" s="70"/>
      <c r="N39" s="71">
        <f t="shared" si="16"/>
        <v>15397188950.93178</v>
      </c>
      <c r="P39" s="151"/>
    </row>
    <row r="40" spans="1:16">
      <c r="A40" s="64">
        <f t="shared" si="5"/>
        <v>30</v>
      </c>
      <c r="C40" s="65" t="s">
        <v>50</v>
      </c>
      <c r="D40" s="151">
        <v>7576638876.4000006</v>
      </c>
      <c r="E40" s="142"/>
      <c r="F40" s="341">
        <v>3236448405.7200031</v>
      </c>
      <c r="G40" s="142"/>
      <c r="H40" s="151">
        <v>3583420960.5</v>
      </c>
      <c r="I40" s="142"/>
      <c r="J40" s="151">
        <v>677300591.70000005</v>
      </c>
      <c r="K40" s="152"/>
      <c r="L40" s="151">
        <v>525421502.55759549</v>
      </c>
      <c r="M40" s="70"/>
      <c r="N40" s="71">
        <f t="shared" si="16"/>
        <v>15599230336.8776</v>
      </c>
      <c r="P40" s="151"/>
    </row>
    <row r="41" spans="1:16">
      <c r="A41" s="64">
        <f t="shared" si="5"/>
        <v>31</v>
      </c>
      <c r="C41" s="65" t="s">
        <v>51</v>
      </c>
      <c r="D41" s="151">
        <v>7580201666.9799976</v>
      </c>
      <c r="E41" s="142"/>
      <c r="F41" s="341">
        <v>3251502962.7899952</v>
      </c>
      <c r="G41" s="142"/>
      <c r="H41" s="151">
        <v>3593551161.4999995</v>
      </c>
      <c r="I41" s="142"/>
      <c r="J41" s="151">
        <v>691695810.74000013</v>
      </c>
      <c r="K41" s="152"/>
      <c r="L41" s="151">
        <v>528362253.43199468</v>
      </c>
      <c r="M41" s="70"/>
      <c r="N41" s="71">
        <f t="shared" si="16"/>
        <v>15645313855.441988</v>
      </c>
      <c r="P41" s="151"/>
    </row>
    <row r="42" spans="1:16">
      <c r="A42" s="64">
        <f t="shared" si="5"/>
        <v>32</v>
      </c>
      <c r="C42" s="65" t="s">
        <v>52</v>
      </c>
      <c r="D42" s="151">
        <v>7588116475.6499949</v>
      </c>
      <c r="E42" s="142"/>
      <c r="F42" s="341">
        <v>3265865904.9199886</v>
      </c>
      <c r="G42" s="142"/>
      <c r="H42" s="151">
        <v>3606790643.6099987</v>
      </c>
      <c r="I42" s="142"/>
      <c r="J42" s="151">
        <v>702747074.31999993</v>
      </c>
      <c r="K42" s="152"/>
      <c r="L42" s="151">
        <v>531842363.59392047</v>
      </c>
      <c r="M42" s="70"/>
      <c r="N42" s="71">
        <f t="shared" si="16"/>
        <v>15695362462.093903</v>
      </c>
      <c r="P42" s="151"/>
    </row>
    <row r="43" spans="1:16">
      <c r="A43" s="64">
        <f t="shared" si="5"/>
        <v>33</v>
      </c>
      <c r="C43" s="65" t="s">
        <v>53</v>
      </c>
      <c r="D43" s="151">
        <v>7616628374.3400011</v>
      </c>
      <c r="E43" s="142"/>
      <c r="F43" s="341">
        <v>3271223325.3700066</v>
      </c>
      <c r="G43" s="142"/>
      <c r="H43" s="151">
        <v>3616600257.8699994</v>
      </c>
      <c r="I43" s="142"/>
      <c r="J43" s="151">
        <v>705644021.54000008</v>
      </c>
      <c r="K43" s="152"/>
      <c r="L43" s="151">
        <v>534561386.22791201</v>
      </c>
      <c r="M43" s="70"/>
      <c r="N43" s="71">
        <f t="shared" si="16"/>
        <v>15744657365.347919</v>
      </c>
      <c r="P43" s="151"/>
    </row>
    <row r="44" spans="1:16">
      <c r="A44" s="64">
        <f t="shared" si="5"/>
        <v>34</v>
      </c>
      <c r="C44" s="65" t="s">
        <v>54</v>
      </c>
      <c r="D44" s="151">
        <v>8311070095.0499973</v>
      </c>
      <c r="E44" s="142"/>
      <c r="F44" s="341">
        <v>3287080919.7900038</v>
      </c>
      <c r="G44" s="142"/>
      <c r="H44" s="151">
        <v>3627284907.420001</v>
      </c>
      <c r="I44" s="142"/>
      <c r="J44" s="151">
        <v>708310585.68999982</v>
      </c>
      <c r="K44" s="152"/>
      <c r="L44" s="151">
        <v>538789318.66337156</v>
      </c>
      <c r="M44" s="70"/>
      <c r="N44" s="71">
        <f t="shared" si="16"/>
        <v>16472535826.613375</v>
      </c>
      <c r="P44" s="151"/>
    </row>
    <row r="45" spans="1:16">
      <c r="A45" s="64">
        <f t="shared" si="5"/>
        <v>35</v>
      </c>
      <c r="C45" s="65" t="s">
        <v>55</v>
      </c>
      <c r="D45" s="151">
        <v>8325955606.079999</v>
      </c>
      <c r="E45" s="142"/>
      <c r="F45" s="341">
        <v>3298649631.0799909</v>
      </c>
      <c r="G45" s="142"/>
      <c r="H45" s="151">
        <v>3637280563.4999986</v>
      </c>
      <c r="I45" s="142"/>
      <c r="J45" s="151">
        <v>716472448.40999973</v>
      </c>
      <c r="K45" s="152"/>
      <c r="L45" s="151">
        <v>541062649.75544548</v>
      </c>
      <c r="M45" s="70"/>
      <c r="N45" s="71">
        <f t="shared" si="16"/>
        <v>16519420898.825434</v>
      </c>
      <c r="P45" s="151"/>
    </row>
    <row r="46" spans="1:16">
      <c r="A46" s="64">
        <f t="shared" si="5"/>
        <v>36</v>
      </c>
      <c r="C46" s="65" t="s">
        <v>339</v>
      </c>
      <c r="D46" s="151">
        <v>8360374672.4099998</v>
      </c>
      <c r="E46" s="142"/>
      <c r="F46" s="341">
        <v>3381479157.4299998</v>
      </c>
      <c r="G46" s="142"/>
      <c r="H46" s="151">
        <v>3658569190.9500003</v>
      </c>
      <c r="I46" s="142"/>
      <c r="J46" s="151">
        <v>750331333.47000015</v>
      </c>
      <c r="K46" s="152"/>
      <c r="L46" s="151">
        <v>584719361.21496868</v>
      </c>
      <c r="M46" s="70"/>
      <c r="N46" s="71">
        <f>SUM(D46:L46)</f>
        <v>16735473715.474968</v>
      </c>
      <c r="P46" s="151"/>
    </row>
    <row r="47" spans="1:16">
      <c r="A47" s="64">
        <f t="shared" si="5"/>
        <v>37</v>
      </c>
      <c r="C47" s="65"/>
      <c r="D47" s="76"/>
      <c r="F47" s="72"/>
      <c r="H47" s="72"/>
      <c r="I47" s="73"/>
      <c r="J47" s="72"/>
      <c r="K47" s="73"/>
      <c r="L47" s="74"/>
      <c r="M47" s="75"/>
      <c r="N47" s="76"/>
    </row>
    <row r="48" spans="1:16" ht="12.75" thickBot="1">
      <c r="A48" s="64">
        <f t="shared" si="5"/>
        <v>38</v>
      </c>
      <c r="C48" s="77" t="s">
        <v>29</v>
      </c>
      <c r="D48" s="82">
        <f>ROUND(SUM(D34:D47)/13,0)</f>
        <v>7711526355</v>
      </c>
      <c r="F48" s="82">
        <f>ROUND(SUM(F34:F47)/13,0)</f>
        <v>3122037666</v>
      </c>
      <c r="G48" s="47"/>
      <c r="H48" s="82">
        <f>ROUND(SUM(H34:H47)/13,0)</f>
        <v>3580920131</v>
      </c>
      <c r="I48" s="79"/>
      <c r="J48" s="82">
        <f>ROUND(SUM(J34:J47)/13,0)</f>
        <v>685177777</v>
      </c>
      <c r="K48" s="80"/>
      <c r="L48" s="82">
        <f>ROUND(SUM(L34:L47)/13,0)</f>
        <v>527334206</v>
      </c>
      <c r="M48" s="81"/>
      <c r="N48" s="82">
        <f>ROUND(SUM(N34:N47)/13,0)</f>
        <v>15626996135</v>
      </c>
    </row>
    <row r="49" spans="1:14" ht="12.75" thickTop="1">
      <c r="A49" s="64">
        <f t="shared" si="5"/>
        <v>39</v>
      </c>
      <c r="C49" s="19"/>
      <c r="D49" s="32"/>
      <c r="E49" s="19"/>
      <c r="F49" s="32"/>
      <c r="G49" s="19"/>
      <c r="H49" s="32"/>
      <c r="I49" s="19"/>
      <c r="J49" s="32"/>
      <c r="K49" s="19"/>
      <c r="L49" s="32"/>
      <c r="M49" s="19"/>
      <c r="N49" s="32"/>
    </row>
    <row r="50" spans="1:14">
      <c r="A50" s="64">
        <f t="shared" si="5"/>
        <v>40</v>
      </c>
      <c r="C50" s="19"/>
      <c r="D50" s="19"/>
      <c r="E50" s="19"/>
      <c r="F50" s="19"/>
      <c r="G50" s="19"/>
      <c r="H50" s="19"/>
      <c r="I50" s="19"/>
      <c r="J50" s="19"/>
      <c r="K50" s="19"/>
      <c r="L50" s="19"/>
      <c r="M50" s="19"/>
      <c r="N50" s="19"/>
    </row>
    <row r="51" spans="1:14">
      <c r="A51" s="64">
        <f t="shared" si="5"/>
        <v>41</v>
      </c>
      <c r="C51" s="19"/>
      <c r="E51" s="53"/>
      <c r="I51" s="54"/>
      <c r="K51" s="54"/>
      <c r="L51" s="54"/>
      <c r="M51" s="54"/>
    </row>
    <row r="52" spans="1:14">
      <c r="A52" s="64">
        <f t="shared" si="5"/>
        <v>42</v>
      </c>
      <c r="C52" s="19"/>
      <c r="D52" s="55"/>
      <c r="E52" s="53"/>
      <c r="I52" s="54"/>
      <c r="K52" s="54"/>
      <c r="L52" s="54"/>
      <c r="M52" s="54"/>
      <c r="N52" s="55" t="s">
        <v>30</v>
      </c>
    </row>
    <row r="53" spans="1:14">
      <c r="A53" s="64">
        <f t="shared" si="5"/>
        <v>43</v>
      </c>
      <c r="C53" s="19"/>
      <c r="D53" s="54"/>
      <c r="E53" s="53"/>
      <c r="H53" s="56"/>
      <c r="J53" s="57" t="s">
        <v>89</v>
      </c>
      <c r="L53" s="57" t="s">
        <v>23</v>
      </c>
      <c r="N53" s="55" t="s">
        <v>31</v>
      </c>
    </row>
    <row r="54" spans="1:14">
      <c r="A54" s="64">
        <f t="shared" si="5"/>
        <v>44</v>
      </c>
      <c r="C54" s="19"/>
      <c r="D54" s="54" t="s">
        <v>4</v>
      </c>
      <c r="F54" s="54" t="s">
        <v>24</v>
      </c>
      <c r="H54" s="54" t="s">
        <v>25</v>
      </c>
      <c r="J54" s="54" t="s">
        <v>57</v>
      </c>
      <c r="L54" s="59" t="s">
        <v>1032</v>
      </c>
      <c r="M54" s="55"/>
      <c r="N54" s="59" t="s">
        <v>32</v>
      </c>
    </row>
    <row r="55" spans="1:14">
      <c r="A55" s="64">
        <f t="shared" si="5"/>
        <v>45</v>
      </c>
      <c r="B55" s="183" t="s">
        <v>114</v>
      </c>
      <c r="C55" s="184"/>
      <c r="D55" s="83"/>
      <c r="F55" s="63"/>
      <c r="H55" s="63"/>
      <c r="J55" s="63"/>
      <c r="N55" s="83"/>
    </row>
    <row r="56" spans="1:14">
      <c r="A56" s="64">
        <f t="shared" si="5"/>
        <v>46</v>
      </c>
      <c r="C56" s="65" t="s">
        <v>250</v>
      </c>
      <c r="D56" s="341">
        <v>452878596.56000006</v>
      </c>
      <c r="E56" s="340"/>
      <c r="F56" s="341">
        <v>752931611.6900003</v>
      </c>
      <c r="G56" s="340"/>
      <c r="H56" s="341">
        <v>781434307.5200001</v>
      </c>
      <c r="I56" s="340"/>
      <c r="J56" s="341">
        <v>97367539.809999883</v>
      </c>
      <c r="K56" s="482"/>
      <c r="L56" s="341">
        <v>117252338.86999995</v>
      </c>
      <c r="M56" s="68"/>
      <c r="N56" s="66">
        <f>SUM(D56:L56)</f>
        <v>2201864394.4500003</v>
      </c>
    </row>
    <row r="57" spans="1:14">
      <c r="A57" s="64">
        <f t="shared" si="5"/>
        <v>47</v>
      </c>
      <c r="C57" s="65" t="s">
        <v>340</v>
      </c>
      <c r="D57" s="340">
        <v>454988259.94000036</v>
      </c>
      <c r="E57" s="340"/>
      <c r="F57" s="340">
        <v>753478083.79000044</v>
      </c>
      <c r="G57" s="340"/>
      <c r="H57" s="340">
        <v>783647692.0199995</v>
      </c>
      <c r="I57" s="340"/>
      <c r="J57" s="340">
        <v>97858128.259999976</v>
      </c>
      <c r="K57" s="482"/>
      <c r="L57" s="340">
        <v>118195188.91999996</v>
      </c>
      <c r="M57" s="70"/>
      <c r="N57" s="71">
        <f>SUM(D57:L57)</f>
        <v>2208167352.9300003</v>
      </c>
    </row>
    <row r="58" spans="1:14">
      <c r="A58" s="64">
        <f t="shared" si="5"/>
        <v>48</v>
      </c>
      <c r="C58" s="65" t="s">
        <v>47</v>
      </c>
      <c r="D58" s="340">
        <v>474884226.84000015</v>
      </c>
      <c r="E58" s="340"/>
      <c r="F58" s="340">
        <v>755431930.96000028</v>
      </c>
      <c r="G58" s="340"/>
      <c r="H58" s="340">
        <v>785600771.79000032</v>
      </c>
      <c r="I58" s="340"/>
      <c r="J58" s="340">
        <v>98221608.399999976</v>
      </c>
      <c r="K58" s="482"/>
      <c r="L58" s="340">
        <v>118512862.05999997</v>
      </c>
      <c r="M58" s="70"/>
      <c r="N58" s="71">
        <f t="shared" ref="N58:N68" si="17">SUM(D58:L58)</f>
        <v>2232651400.0500007</v>
      </c>
    </row>
    <row r="59" spans="1:14">
      <c r="A59" s="64">
        <f t="shared" si="5"/>
        <v>49</v>
      </c>
      <c r="C59" s="65" t="s">
        <v>48</v>
      </c>
      <c r="D59" s="340">
        <v>475102447.65999973</v>
      </c>
      <c r="E59" s="340"/>
      <c r="F59" s="340">
        <v>768266396.92000043</v>
      </c>
      <c r="G59" s="340"/>
      <c r="H59" s="340">
        <v>787785553.0599997</v>
      </c>
      <c r="I59" s="340"/>
      <c r="J59" s="340">
        <v>98828962.709999964</v>
      </c>
      <c r="K59" s="482"/>
      <c r="L59" s="340">
        <v>119964118.45</v>
      </c>
      <c r="M59" s="70"/>
      <c r="N59" s="71">
        <f t="shared" si="17"/>
        <v>2249947478.7999997</v>
      </c>
    </row>
    <row r="60" spans="1:14">
      <c r="A60" s="64">
        <f t="shared" si="5"/>
        <v>50</v>
      </c>
      <c r="C60" s="65" t="s">
        <v>49</v>
      </c>
      <c r="D60" s="340">
        <v>475416966.50000024</v>
      </c>
      <c r="E60" s="340"/>
      <c r="F60" s="340">
        <v>768664532.28000069</v>
      </c>
      <c r="G60" s="340"/>
      <c r="H60" s="340">
        <v>790475337.74000049</v>
      </c>
      <c r="I60" s="340"/>
      <c r="J60" s="340">
        <v>99979159.459999979</v>
      </c>
      <c r="K60" s="482"/>
      <c r="L60" s="340">
        <v>120323212.05000001</v>
      </c>
      <c r="M60" s="70"/>
      <c r="N60" s="71">
        <f t="shared" si="17"/>
        <v>2254859208.0300016</v>
      </c>
    </row>
    <row r="61" spans="1:14">
      <c r="A61" s="64">
        <f t="shared" si="5"/>
        <v>51</v>
      </c>
      <c r="C61" s="65" t="s">
        <v>21</v>
      </c>
      <c r="D61" s="340">
        <v>476086512.28000003</v>
      </c>
      <c r="E61" s="340"/>
      <c r="F61" s="340">
        <v>772669849.98999977</v>
      </c>
      <c r="G61" s="340"/>
      <c r="H61" s="340">
        <v>795453009.78999984</v>
      </c>
      <c r="I61" s="340"/>
      <c r="J61" s="340">
        <v>100911378.41999994</v>
      </c>
      <c r="K61" s="482"/>
      <c r="L61" s="340">
        <v>121184917.35999998</v>
      </c>
      <c r="M61" s="70"/>
      <c r="N61" s="71">
        <f t="shared" si="17"/>
        <v>2266305667.8399992</v>
      </c>
    </row>
    <row r="62" spans="1:14">
      <c r="A62" s="64">
        <f t="shared" si="5"/>
        <v>52</v>
      </c>
      <c r="C62" s="65" t="s">
        <v>50</v>
      </c>
      <c r="D62" s="340">
        <v>476135487.25000012</v>
      </c>
      <c r="E62" s="340"/>
      <c r="F62" s="340">
        <v>883094640.04999983</v>
      </c>
      <c r="G62" s="340"/>
      <c r="H62" s="340">
        <v>799237378.53000009</v>
      </c>
      <c r="I62" s="340"/>
      <c r="J62" s="340">
        <v>101610852.49999999</v>
      </c>
      <c r="K62" s="482"/>
      <c r="L62" s="340">
        <v>121685908.11999997</v>
      </c>
      <c r="M62" s="70"/>
      <c r="N62" s="71">
        <f t="shared" si="17"/>
        <v>2381764266.4499998</v>
      </c>
    </row>
    <row r="63" spans="1:14">
      <c r="A63" s="64">
        <f t="shared" si="5"/>
        <v>53</v>
      </c>
      <c r="C63" s="65" t="s">
        <v>51</v>
      </c>
      <c r="D63" s="340">
        <v>476158862.66999972</v>
      </c>
      <c r="E63" s="340"/>
      <c r="F63" s="340">
        <v>894248349.53000033</v>
      </c>
      <c r="G63" s="340"/>
      <c r="H63" s="340">
        <v>806551840.14999938</v>
      </c>
      <c r="I63" s="340"/>
      <c r="J63" s="340">
        <v>102238601.39</v>
      </c>
      <c r="K63" s="482"/>
      <c r="L63" s="340">
        <v>122109495.95000006</v>
      </c>
      <c r="M63" s="70"/>
      <c r="N63" s="71">
        <f t="shared" si="17"/>
        <v>2401307149.6899996</v>
      </c>
    </row>
    <row r="64" spans="1:14">
      <c r="A64" s="64">
        <f t="shared" si="5"/>
        <v>54</v>
      </c>
      <c r="C64" s="65" t="s">
        <v>52</v>
      </c>
      <c r="D64" s="340">
        <v>480163149.75000006</v>
      </c>
      <c r="E64" s="340"/>
      <c r="F64" s="340">
        <v>898656776.2099992</v>
      </c>
      <c r="G64" s="340"/>
      <c r="H64" s="340">
        <v>809816850.99000013</v>
      </c>
      <c r="I64" s="340"/>
      <c r="J64" s="340">
        <v>103172622.44999991</v>
      </c>
      <c r="K64" s="482"/>
      <c r="L64" s="340">
        <v>122525896.95999996</v>
      </c>
      <c r="M64" s="70"/>
      <c r="N64" s="71">
        <f t="shared" si="17"/>
        <v>2414335296.3599992</v>
      </c>
    </row>
    <row r="65" spans="1:14">
      <c r="A65" s="64">
        <f t="shared" si="5"/>
        <v>55</v>
      </c>
      <c r="C65" s="65" t="s">
        <v>53</v>
      </c>
      <c r="D65" s="340">
        <v>481099133.0000003</v>
      </c>
      <c r="E65" s="340"/>
      <c r="F65" s="340">
        <v>901160279.52999938</v>
      </c>
      <c r="G65" s="340"/>
      <c r="H65" s="340">
        <v>813516082.23000014</v>
      </c>
      <c r="I65" s="340"/>
      <c r="J65" s="340">
        <v>104097349.13999993</v>
      </c>
      <c r="K65" s="482"/>
      <c r="L65" s="340">
        <v>122973858.98999998</v>
      </c>
      <c r="M65" s="70"/>
      <c r="N65" s="71">
        <f t="shared" si="17"/>
        <v>2422846702.8899994</v>
      </c>
    </row>
    <row r="66" spans="1:14">
      <c r="A66" s="64">
        <f t="shared" si="5"/>
        <v>56</v>
      </c>
      <c r="C66" s="65" t="s">
        <v>54</v>
      </c>
      <c r="D66" s="340">
        <v>484231458.46000022</v>
      </c>
      <c r="E66" s="340"/>
      <c r="F66" s="340">
        <v>937179291.9300009</v>
      </c>
      <c r="G66" s="340"/>
      <c r="H66" s="340">
        <v>816981821.60999966</v>
      </c>
      <c r="I66" s="340"/>
      <c r="J66" s="340">
        <v>104849053.95000006</v>
      </c>
      <c r="K66" s="482"/>
      <c r="L66" s="340">
        <v>123425467.17000005</v>
      </c>
      <c r="M66" s="70"/>
      <c r="N66" s="71">
        <f t="shared" si="17"/>
        <v>2466667093.1200013</v>
      </c>
    </row>
    <row r="67" spans="1:14">
      <c r="A67" s="64">
        <f t="shared" si="5"/>
        <v>57</v>
      </c>
      <c r="C67" s="65" t="s">
        <v>55</v>
      </c>
      <c r="D67" s="340">
        <v>486205863.29999971</v>
      </c>
      <c r="E67" s="340"/>
      <c r="F67" s="340">
        <v>938290230.93000102</v>
      </c>
      <c r="G67" s="340"/>
      <c r="H67" s="340">
        <v>819611200.9000001</v>
      </c>
      <c r="I67" s="340"/>
      <c r="J67" s="340">
        <v>105839812.51999992</v>
      </c>
      <c r="K67" s="482"/>
      <c r="L67" s="340">
        <v>126956476.82999998</v>
      </c>
      <c r="M67" s="70"/>
      <c r="N67" s="71">
        <f t="shared" si="17"/>
        <v>2476903584.480001</v>
      </c>
    </row>
    <row r="68" spans="1:14">
      <c r="A68" s="64">
        <f t="shared" si="5"/>
        <v>58</v>
      </c>
      <c r="C68" s="65" t="s">
        <v>339</v>
      </c>
      <c r="D68" s="340">
        <v>486369778.81999964</v>
      </c>
      <c r="E68" s="340"/>
      <c r="F68" s="340">
        <v>994411411.32999945</v>
      </c>
      <c r="G68" s="340"/>
      <c r="H68" s="340">
        <v>824020160.03000116</v>
      </c>
      <c r="I68" s="340"/>
      <c r="J68" s="340">
        <v>114383688.54999982</v>
      </c>
      <c r="K68" s="482"/>
      <c r="L68" s="340">
        <v>132894821.41</v>
      </c>
      <c r="M68" s="70"/>
      <c r="N68" s="71">
        <f t="shared" si="17"/>
        <v>2552079860.1399999</v>
      </c>
    </row>
    <row r="69" spans="1:14">
      <c r="A69" s="64">
        <f t="shared" si="5"/>
        <v>59</v>
      </c>
      <c r="C69" s="65"/>
      <c r="D69" s="76"/>
      <c r="F69" s="72"/>
      <c r="H69" s="72"/>
      <c r="I69" s="73"/>
      <c r="J69" s="72"/>
      <c r="K69" s="73"/>
      <c r="L69" s="74"/>
      <c r="M69" s="75"/>
      <c r="N69" s="76"/>
    </row>
    <row r="70" spans="1:14" ht="12.75" thickBot="1">
      <c r="A70" s="64">
        <f t="shared" si="5"/>
        <v>60</v>
      </c>
      <c r="C70" s="77" t="s">
        <v>29</v>
      </c>
      <c r="D70" s="82">
        <f>SUM(D56:D69)/13</f>
        <v>475363134.07923084</v>
      </c>
      <c r="F70" s="82">
        <f>SUM(F56:F69)/13</f>
        <v>847575645.01076949</v>
      </c>
      <c r="G70" s="47"/>
      <c r="H70" s="82">
        <f>SUM(H56:H69)/13</f>
        <v>801087077.41230774</v>
      </c>
      <c r="I70" s="79"/>
      <c r="J70" s="82">
        <f>SUM(J56:J69)/13</f>
        <v>102258365.96615379</v>
      </c>
      <c r="K70" s="80"/>
      <c r="L70" s="82">
        <f>SUM(L56:L69)/13</f>
        <v>122154197.16461539</v>
      </c>
      <c r="M70" s="81"/>
      <c r="N70" s="82">
        <f>SUM(N56:N69)/13</f>
        <v>2348438419.6330771</v>
      </c>
    </row>
    <row r="71" spans="1:14" ht="12.75" thickTop="1">
      <c r="D71" s="85"/>
      <c r="F71" s="87"/>
    </row>
    <row r="72" spans="1:14">
      <c r="D72" s="85"/>
      <c r="F72" s="87"/>
    </row>
    <row r="73" spans="1:14">
      <c r="D73" s="85"/>
    </row>
    <row r="74" spans="1:14">
      <c r="D74" s="85"/>
    </row>
    <row r="75" spans="1:14">
      <c r="D75" s="85"/>
    </row>
    <row r="76" spans="1:14">
      <c r="D76" s="85"/>
    </row>
    <row r="77" spans="1:14">
      <c r="D77" s="85"/>
    </row>
    <row r="78" spans="1:14">
      <c r="D78" s="85"/>
    </row>
    <row r="79" spans="1:14">
      <c r="D79" s="85"/>
    </row>
    <row r="80" spans="1:14">
      <c r="A80" s="190"/>
      <c r="D80" s="85"/>
    </row>
    <row r="81" spans="4:4">
      <c r="D81" s="85"/>
    </row>
    <row r="82" spans="4:4">
      <c r="D82" s="85"/>
    </row>
    <row r="83" spans="4:4">
      <c r="D83" s="85"/>
    </row>
    <row r="84" spans="4:4">
      <c r="D84" s="85"/>
    </row>
    <row r="85" spans="4:4">
      <c r="D85" s="85"/>
    </row>
    <row r="86" spans="4:4">
      <c r="D86" s="85"/>
    </row>
    <row r="87" spans="4:4">
      <c r="D87" s="85"/>
    </row>
    <row r="88" spans="4:4">
      <c r="D88" s="85"/>
    </row>
    <row r="89" spans="4:4">
      <c r="D89" s="85"/>
    </row>
    <row r="90" spans="4:4">
      <c r="D90" s="85"/>
    </row>
    <row r="91" spans="4:4">
      <c r="D91" s="85"/>
    </row>
  </sheetData>
  <phoneticPr fontId="10" type="noConversion"/>
  <pageMargins left="0.5" right="0.25" top="0.5" bottom="0.25" header="0.75" footer="0.5"/>
  <pageSetup scale="64" orientation="portrait" horizontalDpi="1200" verticalDpi="1200" r:id="rId1"/>
  <headerFooter alignWithMargins="0">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42"/>
    <pageSetUpPr autoPageBreaks="0" fitToPage="1"/>
  </sheetPr>
  <dimension ref="A1:Q91"/>
  <sheetViews>
    <sheetView showGridLines="0" zoomScaleNormal="75" workbookViewId="0"/>
  </sheetViews>
  <sheetFormatPr defaultColWidth="14.44140625" defaultRowHeight="12"/>
  <cols>
    <col min="1" max="1" width="4.77734375" style="51" customWidth="1"/>
    <col min="2" max="2" width="2.77734375" style="49" customWidth="1"/>
    <col min="3" max="3" width="25.77734375" style="49" customWidth="1"/>
    <col min="4" max="4" width="14.44140625" style="49" customWidth="1"/>
    <col min="5" max="5" width="0.88671875" style="49" customWidth="1"/>
    <col min="6" max="6" width="14.33203125" style="49" bestFit="1" customWidth="1"/>
    <col min="7" max="7" width="0.88671875" style="49" customWidth="1"/>
    <col min="8" max="8" width="15.6640625" style="49" bestFit="1" customWidth="1"/>
    <col min="9" max="9" width="0.88671875" style="49" customWidth="1"/>
    <col min="10" max="10" width="12.88671875" style="49" customWidth="1"/>
    <col min="11" max="11" width="0.88671875" style="49" customWidth="1"/>
    <col min="12" max="12" width="14.44140625" style="49" customWidth="1"/>
    <col min="13" max="13" width="0.77734375" style="49" customWidth="1"/>
    <col min="14" max="14" width="16" style="49" bestFit="1" customWidth="1"/>
    <col min="15" max="16384" width="14.44140625" style="49"/>
  </cols>
  <sheetData>
    <row r="1" spans="1:14">
      <c r="A1" s="6" t="s">
        <v>1030</v>
      </c>
      <c r="B1" s="47"/>
      <c r="C1" s="47"/>
      <c r="D1" s="47"/>
      <c r="E1" s="47"/>
      <c r="F1" s="47"/>
      <c r="G1" s="47"/>
      <c r="H1" s="47"/>
      <c r="I1" s="47"/>
      <c r="J1" s="47"/>
      <c r="K1" s="47"/>
      <c r="L1" s="47"/>
      <c r="M1" s="47"/>
      <c r="N1" s="48" t="str">
        <f>'Cover Rev 2'!C1</f>
        <v>2015 Workpapers</v>
      </c>
    </row>
    <row r="2" spans="1:14">
      <c r="A2" s="6" t="s">
        <v>1035</v>
      </c>
      <c r="B2" s="47"/>
      <c r="C2" s="47"/>
      <c r="D2" s="47"/>
      <c r="E2" s="47"/>
      <c r="F2" s="47"/>
      <c r="G2" s="47"/>
      <c r="H2" s="47"/>
      <c r="I2" s="47"/>
      <c r="J2" s="47"/>
      <c r="K2" s="47"/>
      <c r="L2" s="47"/>
      <c r="M2" s="47"/>
      <c r="N2" s="50"/>
    </row>
    <row r="3" spans="1:14">
      <c r="A3" s="6" t="s">
        <v>337</v>
      </c>
      <c r="B3" s="47"/>
      <c r="C3" s="47"/>
      <c r="D3" s="47"/>
      <c r="E3" s="47"/>
      <c r="F3" s="47"/>
      <c r="G3" s="47"/>
      <c r="H3" s="47"/>
      <c r="I3" s="47"/>
      <c r="J3" s="47"/>
      <c r="K3" s="47"/>
      <c r="L3" s="47"/>
      <c r="M3" s="47"/>
    </row>
    <row r="4" spans="1:14">
      <c r="A4" s="483" t="s">
        <v>232</v>
      </c>
    </row>
    <row r="5" spans="1:14">
      <c r="B5" s="52"/>
      <c r="D5" s="185"/>
    </row>
    <row r="6" spans="1:14">
      <c r="B6" s="52"/>
    </row>
    <row r="7" spans="1:14">
      <c r="A7" s="19"/>
      <c r="B7" s="19"/>
      <c r="C7" s="19"/>
      <c r="E7" s="53"/>
      <c r="I7" s="54"/>
      <c r="K7" s="54"/>
      <c r="L7" s="54"/>
      <c r="M7" s="54"/>
      <c r="N7" s="55" t="s">
        <v>30</v>
      </c>
    </row>
    <row r="8" spans="1:14">
      <c r="D8" s="55"/>
      <c r="E8" s="53"/>
      <c r="I8" s="54"/>
      <c r="K8" s="54"/>
      <c r="L8" s="54"/>
      <c r="M8" s="54"/>
      <c r="N8" s="55" t="s">
        <v>1036</v>
      </c>
    </row>
    <row r="9" spans="1:14">
      <c r="A9" s="51" t="s">
        <v>46</v>
      </c>
      <c r="D9" s="54"/>
      <c r="E9" s="53"/>
      <c r="H9" s="56"/>
      <c r="J9" s="57" t="s">
        <v>90</v>
      </c>
      <c r="L9" s="57" t="s">
        <v>23</v>
      </c>
      <c r="N9" s="55" t="s">
        <v>6</v>
      </c>
    </row>
    <row r="10" spans="1:14">
      <c r="A10" s="58" t="s">
        <v>22</v>
      </c>
      <c r="D10" s="54" t="s">
        <v>4</v>
      </c>
      <c r="F10" s="54" t="s">
        <v>24</v>
      </c>
      <c r="H10" s="54" t="s">
        <v>25</v>
      </c>
      <c r="J10" s="54" t="s">
        <v>57</v>
      </c>
      <c r="L10" s="59" t="s">
        <v>1032</v>
      </c>
      <c r="M10" s="55"/>
      <c r="N10" s="59" t="s">
        <v>7</v>
      </c>
    </row>
    <row r="11" spans="1:14">
      <c r="A11" s="60" t="s">
        <v>27</v>
      </c>
      <c r="B11" s="61" t="s">
        <v>1031</v>
      </c>
      <c r="C11" s="62"/>
      <c r="D11" s="63"/>
      <c r="F11" s="63"/>
      <c r="H11" s="63"/>
      <c r="J11" s="63"/>
      <c r="N11" s="63"/>
    </row>
    <row r="12" spans="1:14">
      <c r="A12" s="64">
        <f t="shared" ref="A12:A43" si="0">+A11+1</f>
        <v>2</v>
      </c>
      <c r="C12" s="65" t="s">
        <v>250</v>
      </c>
      <c r="D12" s="66">
        <f t="shared" ref="D12:D23" si="1">+D34+D56</f>
        <v>3610896902.0696278</v>
      </c>
      <c r="E12" s="67"/>
      <c r="F12" s="66">
        <f t="shared" ref="F12:L12" si="2">+F34+F56</f>
        <v>930718017.80787063</v>
      </c>
      <c r="G12" s="66">
        <f t="shared" si="2"/>
        <v>0</v>
      </c>
      <c r="H12" s="66">
        <f t="shared" si="2"/>
        <v>1772599862.2763</v>
      </c>
      <c r="I12" s="66">
        <f t="shared" si="2"/>
        <v>0</v>
      </c>
      <c r="J12" s="66">
        <f t="shared" si="2"/>
        <v>263365754.361224</v>
      </c>
      <c r="K12" s="66">
        <f t="shared" si="2"/>
        <v>0</v>
      </c>
      <c r="L12" s="66">
        <f t="shared" si="2"/>
        <v>309181157.20562911</v>
      </c>
      <c r="M12" s="68"/>
      <c r="N12" s="66">
        <f t="shared" ref="N12:N24" si="3">SUM(D12:L12)</f>
        <v>6886761693.7206526</v>
      </c>
    </row>
    <row r="13" spans="1:14">
      <c r="A13" s="64">
        <f t="shared" si="0"/>
        <v>3</v>
      </c>
      <c r="C13" s="65" t="s">
        <v>340</v>
      </c>
      <c r="D13" s="69">
        <f t="shared" si="1"/>
        <v>3633193265.6196299</v>
      </c>
      <c r="E13" s="67"/>
      <c r="F13" s="69">
        <f t="shared" ref="F13:L13" si="4">+F35+F57</f>
        <v>935337120.84786701</v>
      </c>
      <c r="G13" s="69">
        <f t="shared" si="4"/>
        <v>0</v>
      </c>
      <c r="H13" s="69">
        <f t="shared" si="4"/>
        <v>1779327282.966301</v>
      </c>
      <c r="I13" s="69">
        <f t="shared" si="4"/>
        <v>0</v>
      </c>
      <c r="J13" s="69">
        <f t="shared" si="4"/>
        <v>268029160.18122399</v>
      </c>
      <c r="K13" s="69">
        <f t="shared" si="4"/>
        <v>0</v>
      </c>
      <c r="L13" s="69">
        <f t="shared" si="4"/>
        <v>313561807.38700664</v>
      </c>
      <c r="M13" s="70"/>
      <c r="N13" s="71">
        <f t="shared" si="3"/>
        <v>6929448637.0020285</v>
      </c>
    </row>
    <row r="14" spans="1:14">
      <c r="A14" s="64">
        <f t="shared" si="0"/>
        <v>4</v>
      </c>
      <c r="C14" s="65" t="s">
        <v>47</v>
      </c>
      <c r="D14" s="69">
        <f t="shared" si="1"/>
        <v>3655702315.5796328</v>
      </c>
      <c r="E14" s="67"/>
      <c r="F14" s="69">
        <f t="shared" ref="F14:L14" si="5">+F36+F58</f>
        <v>940135250.4578687</v>
      </c>
      <c r="G14" s="69">
        <f t="shared" si="5"/>
        <v>0</v>
      </c>
      <c r="H14" s="69">
        <f t="shared" si="5"/>
        <v>1786133919.2862988</v>
      </c>
      <c r="I14" s="69">
        <f t="shared" si="5"/>
        <v>0</v>
      </c>
      <c r="J14" s="69">
        <f t="shared" si="5"/>
        <v>272708971.15122396</v>
      </c>
      <c r="K14" s="69">
        <f t="shared" si="5"/>
        <v>0</v>
      </c>
      <c r="L14" s="69">
        <f t="shared" si="5"/>
        <v>317458208.49325645</v>
      </c>
      <c r="M14" s="70"/>
      <c r="N14" s="71">
        <f t="shared" si="3"/>
        <v>6972138664.9682808</v>
      </c>
    </row>
    <row r="15" spans="1:14">
      <c r="A15" s="64">
        <f t="shared" si="0"/>
        <v>5</v>
      </c>
      <c r="C15" s="65" t="s">
        <v>48</v>
      </c>
      <c r="D15" s="69">
        <f t="shared" si="1"/>
        <v>3677424022.0396309</v>
      </c>
      <c r="E15" s="67"/>
      <c r="F15" s="69">
        <f t="shared" ref="F15:L15" si="6">+F37+F59</f>
        <v>944894141.31786776</v>
      </c>
      <c r="G15" s="69">
        <f t="shared" si="6"/>
        <v>0</v>
      </c>
      <c r="H15" s="69">
        <f t="shared" si="6"/>
        <v>1792872103.5862999</v>
      </c>
      <c r="I15" s="69">
        <f t="shared" si="6"/>
        <v>0</v>
      </c>
      <c r="J15" s="69">
        <f t="shared" si="6"/>
        <v>277397071.32122409</v>
      </c>
      <c r="K15" s="69">
        <f t="shared" si="6"/>
        <v>0</v>
      </c>
      <c r="L15" s="69">
        <f t="shared" si="6"/>
        <v>321483568.68596381</v>
      </c>
      <c r="M15" s="70"/>
      <c r="N15" s="71">
        <f t="shared" si="3"/>
        <v>7014070906.9509859</v>
      </c>
    </row>
    <row r="16" spans="1:14">
      <c r="A16" s="64">
        <f t="shared" si="0"/>
        <v>6</v>
      </c>
      <c r="C16" s="65" t="s">
        <v>49</v>
      </c>
      <c r="D16" s="69">
        <f t="shared" si="1"/>
        <v>3698616285.2996278</v>
      </c>
      <c r="E16" s="67"/>
      <c r="F16" s="69">
        <f t="shared" ref="F16:L16" si="7">+F38+F60</f>
        <v>949678468.83786738</v>
      </c>
      <c r="G16" s="69">
        <f t="shared" si="7"/>
        <v>0</v>
      </c>
      <c r="H16" s="69">
        <f t="shared" si="7"/>
        <v>1799562467.6462996</v>
      </c>
      <c r="I16" s="69">
        <f t="shared" si="7"/>
        <v>0</v>
      </c>
      <c r="J16" s="69">
        <f t="shared" si="7"/>
        <v>282211337.51122397</v>
      </c>
      <c r="K16" s="69">
        <f t="shared" si="7"/>
        <v>0</v>
      </c>
      <c r="L16" s="69">
        <f t="shared" si="7"/>
        <v>325481900.53343362</v>
      </c>
      <c r="M16" s="70"/>
      <c r="N16" s="71">
        <f t="shared" si="3"/>
        <v>7055550459.8284521</v>
      </c>
    </row>
    <row r="17" spans="1:17">
      <c r="A17" s="64">
        <f t="shared" si="0"/>
        <v>7</v>
      </c>
      <c r="C17" s="65" t="s">
        <v>21</v>
      </c>
      <c r="D17" s="69">
        <f t="shared" si="1"/>
        <v>3720233044.6096268</v>
      </c>
      <c r="E17" s="67"/>
      <c r="F17" s="69">
        <f t="shared" ref="F17:L17" si="8">+F39+F61</f>
        <v>954685056.24786735</v>
      </c>
      <c r="G17" s="69">
        <f t="shared" si="8"/>
        <v>0</v>
      </c>
      <c r="H17" s="69">
        <f t="shared" si="8"/>
        <v>1806286359.7962999</v>
      </c>
      <c r="I17" s="69">
        <f t="shared" si="8"/>
        <v>0</v>
      </c>
      <c r="J17" s="69">
        <f t="shared" si="8"/>
        <v>287076477.53122395</v>
      </c>
      <c r="K17" s="69">
        <f t="shared" si="8"/>
        <v>0</v>
      </c>
      <c r="L17" s="69">
        <f t="shared" si="8"/>
        <v>329242568.21660841</v>
      </c>
      <c r="M17" s="70"/>
      <c r="N17" s="71">
        <f t="shared" si="3"/>
        <v>7097523506.4016266</v>
      </c>
    </row>
    <row r="18" spans="1:17">
      <c r="A18" s="64">
        <f t="shared" si="0"/>
        <v>8</v>
      </c>
      <c r="C18" s="65" t="s">
        <v>50</v>
      </c>
      <c r="D18" s="69">
        <f t="shared" si="1"/>
        <v>3742924389.22963</v>
      </c>
      <c r="E18" s="67"/>
      <c r="F18" s="69">
        <f t="shared" ref="F18:L18" si="9">+F40+F62</f>
        <v>960157663.85786843</v>
      </c>
      <c r="G18" s="69">
        <f t="shared" si="9"/>
        <v>0</v>
      </c>
      <c r="H18" s="69">
        <f t="shared" si="9"/>
        <v>1812859129.0862987</v>
      </c>
      <c r="I18" s="69">
        <f t="shared" si="9"/>
        <v>0</v>
      </c>
      <c r="J18" s="69">
        <f t="shared" si="9"/>
        <v>291964045.79122394</v>
      </c>
      <c r="K18" s="69">
        <f t="shared" si="9"/>
        <v>0</v>
      </c>
      <c r="L18" s="69">
        <f t="shared" si="9"/>
        <v>333175224.4843663</v>
      </c>
      <c r="M18" s="70"/>
      <c r="N18" s="71">
        <f t="shared" si="3"/>
        <v>7141080452.4493876</v>
      </c>
    </row>
    <row r="19" spans="1:17">
      <c r="A19" s="64">
        <f t="shared" si="0"/>
        <v>9</v>
      </c>
      <c r="C19" s="65" t="s">
        <v>51</v>
      </c>
      <c r="D19" s="69">
        <f t="shared" si="1"/>
        <v>3765700480.1396298</v>
      </c>
      <c r="E19" s="67"/>
      <c r="F19" s="69">
        <f t="shared" ref="F19:L19" si="10">+F41+F63</f>
        <v>965922775.15786803</v>
      </c>
      <c r="G19" s="69">
        <f t="shared" si="10"/>
        <v>0</v>
      </c>
      <c r="H19" s="69">
        <f t="shared" si="10"/>
        <v>1819704701.5662997</v>
      </c>
      <c r="I19" s="69">
        <f t="shared" si="10"/>
        <v>0</v>
      </c>
      <c r="J19" s="69">
        <f t="shared" si="10"/>
        <v>296983736.16122401</v>
      </c>
      <c r="K19" s="69">
        <f t="shared" si="10"/>
        <v>0</v>
      </c>
      <c r="L19" s="69">
        <f t="shared" si="10"/>
        <v>337182417.08908951</v>
      </c>
      <c r="M19" s="70"/>
      <c r="N19" s="71">
        <f t="shared" si="3"/>
        <v>7185494110.1141109</v>
      </c>
    </row>
    <row r="20" spans="1:17">
      <c r="A20" s="64">
        <f t="shared" si="0"/>
        <v>10</v>
      </c>
      <c r="C20" s="65" t="s">
        <v>52</v>
      </c>
      <c r="D20" s="69">
        <f t="shared" si="1"/>
        <v>3788563413.2996321</v>
      </c>
      <c r="E20" s="67"/>
      <c r="F20" s="69">
        <f t="shared" ref="F20:L20" si="11">+F42+F64</f>
        <v>971707945.20786619</v>
      </c>
      <c r="G20" s="69">
        <f t="shared" si="11"/>
        <v>0</v>
      </c>
      <c r="H20" s="69">
        <f t="shared" si="11"/>
        <v>1826481966.3663006</v>
      </c>
      <c r="I20" s="69">
        <f t="shared" si="11"/>
        <v>0</v>
      </c>
      <c r="J20" s="69">
        <f t="shared" si="11"/>
        <v>302148595.25122398</v>
      </c>
      <c r="K20" s="69">
        <f t="shared" si="11"/>
        <v>0</v>
      </c>
      <c r="L20" s="69">
        <f t="shared" si="11"/>
        <v>341287783.57715601</v>
      </c>
      <c r="M20" s="70"/>
      <c r="N20" s="71">
        <f t="shared" si="3"/>
        <v>7230189703.702178</v>
      </c>
    </row>
    <row r="21" spans="1:17">
      <c r="A21" s="64">
        <f t="shared" si="0"/>
        <v>11</v>
      </c>
      <c r="C21" s="65" t="s">
        <v>53</v>
      </c>
      <c r="D21" s="69">
        <f t="shared" si="1"/>
        <v>3808107983.0896292</v>
      </c>
      <c r="E21" s="67"/>
      <c r="F21" s="69">
        <f t="shared" ref="F21:L21" si="12">+F43+F65</f>
        <v>977547474.42786968</v>
      </c>
      <c r="G21" s="69">
        <f t="shared" si="12"/>
        <v>0</v>
      </c>
      <c r="H21" s="69">
        <f t="shared" si="12"/>
        <v>1833507331.8362999</v>
      </c>
      <c r="I21" s="69">
        <f t="shared" si="12"/>
        <v>0</v>
      </c>
      <c r="J21" s="69">
        <f t="shared" si="12"/>
        <v>307359697.17122394</v>
      </c>
      <c r="K21" s="69">
        <f t="shared" si="12"/>
        <v>0</v>
      </c>
      <c r="L21" s="69">
        <f t="shared" si="12"/>
        <v>345449455.82846498</v>
      </c>
      <c r="M21" s="70"/>
      <c r="N21" s="71">
        <f t="shared" si="3"/>
        <v>7271971942.353487</v>
      </c>
    </row>
    <row r="22" spans="1:17">
      <c r="A22" s="64">
        <f t="shared" si="0"/>
        <v>12</v>
      </c>
      <c r="C22" s="65" t="s">
        <v>54</v>
      </c>
      <c r="D22" s="69">
        <f t="shared" si="1"/>
        <v>3832738517.3896298</v>
      </c>
      <c r="E22" s="67"/>
      <c r="F22" s="69">
        <f t="shared" ref="F22:L22" si="13">+F44+F66</f>
        <v>983474295.17786777</v>
      </c>
      <c r="G22" s="69">
        <f t="shared" si="13"/>
        <v>0</v>
      </c>
      <c r="H22" s="69">
        <f t="shared" si="13"/>
        <v>1840440802.9063001</v>
      </c>
      <c r="I22" s="69">
        <f t="shared" si="13"/>
        <v>0</v>
      </c>
      <c r="J22" s="69">
        <f t="shared" si="13"/>
        <v>312595151.3412239</v>
      </c>
      <c r="K22" s="69">
        <f t="shared" si="13"/>
        <v>0</v>
      </c>
      <c r="L22" s="69">
        <f t="shared" si="13"/>
        <v>349660606.4867838</v>
      </c>
      <c r="M22" s="70"/>
      <c r="N22" s="71">
        <f t="shared" si="3"/>
        <v>7318909373.3018045</v>
      </c>
    </row>
    <row r="23" spans="1:17">
      <c r="A23" s="64">
        <f t="shared" si="0"/>
        <v>13</v>
      </c>
      <c r="C23" s="65" t="s">
        <v>55</v>
      </c>
      <c r="D23" s="69">
        <f t="shared" si="1"/>
        <v>3859516502.5996294</v>
      </c>
      <c r="E23" s="67"/>
      <c r="F23" s="69">
        <f t="shared" ref="F23:L23" si="14">+F45+F67</f>
        <v>989487149.50786722</v>
      </c>
      <c r="G23" s="69">
        <f t="shared" si="14"/>
        <v>0</v>
      </c>
      <c r="H23" s="69">
        <f t="shared" si="14"/>
        <v>1847648290.8162985</v>
      </c>
      <c r="I23" s="69">
        <f t="shared" si="14"/>
        <v>0</v>
      </c>
      <c r="J23" s="69">
        <f t="shared" si="14"/>
        <v>317785172.22122395</v>
      </c>
      <c r="K23" s="69">
        <f t="shared" si="14"/>
        <v>0</v>
      </c>
      <c r="L23" s="69">
        <f t="shared" si="14"/>
        <v>353886341.10477346</v>
      </c>
      <c r="M23" s="70"/>
      <c r="N23" s="71">
        <f t="shared" si="3"/>
        <v>7368323456.2497921</v>
      </c>
    </row>
    <row r="24" spans="1:17">
      <c r="A24" s="64">
        <f t="shared" si="0"/>
        <v>14</v>
      </c>
      <c r="C24" s="65" t="s">
        <v>339</v>
      </c>
      <c r="D24" s="69">
        <f t="shared" ref="D24:L24" si="15">+D46+D68</f>
        <v>3886265710.2796297</v>
      </c>
      <c r="E24" s="67"/>
      <c r="F24" s="69">
        <f t="shared" si="15"/>
        <v>995656646.73786628</v>
      </c>
      <c r="G24" s="69">
        <f t="shared" si="15"/>
        <v>0</v>
      </c>
      <c r="H24" s="69">
        <f t="shared" si="15"/>
        <v>1854795412.6762998</v>
      </c>
      <c r="I24" s="69">
        <f t="shared" si="15"/>
        <v>0</v>
      </c>
      <c r="J24" s="69">
        <f t="shared" si="15"/>
        <v>323614406.05122399</v>
      </c>
      <c r="K24" s="69">
        <f t="shared" si="15"/>
        <v>0</v>
      </c>
      <c r="L24" s="69">
        <f t="shared" si="15"/>
        <v>358637484.15237415</v>
      </c>
      <c r="M24" s="70"/>
      <c r="N24" s="71">
        <f t="shared" si="3"/>
        <v>7418969659.8973942</v>
      </c>
    </row>
    <row r="25" spans="1:17">
      <c r="A25" s="64">
        <f t="shared" si="0"/>
        <v>15</v>
      </c>
      <c r="C25" s="65"/>
      <c r="D25" s="72"/>
      <c r="F25" s="72"/>
      <c r="H25" s="72"/>
      <c r="I25" s="73"/>
      <c r="J25" s="72"/>
      <c r="K25" s="73"/>
      <c r="L25" s="74"/>
      <c r="M25" s="75"/>
      <c r="N25" s="76"/>
    </row>
    <row r="26" spans="1:17" ht="12.75" thickBot="1">
      <c r="A26" s="64">
        <f t="shared" si="0"/>
        <v>16</v>
      </c>
      <c r="C26" s="77" t="s">
        <v>29</v>
      </c>
      <c r="D26" s="78">
        <f>D48+D70</f>
        <v>3744606371.5815387</v>
      </c>
      <c r="F26" s="78">
        <f>F48+F70</f>
        <v>961492461.89615393</v>
      </c>
      <c r="G26" s="47"/>
      <c r="H26" s="78">
        <f>H48+H70</f>
        <v>1813247664.1461539</v>
      </c>
      <c r="I26" s="79"/>
      <c r="J26" s="78">
        <f>J48+J70</f>
        <v>292556890.25</v>
      </c>
      <c r="K26" s="80"/>
      <c r="L26" s="78">
        <f>L48+L70</f>
        <v>333514501.97769231</v>
      </c>
      <c r="M26" s="81"/>
      <c r="N26" s="78">
        <f>N48+N70</f>
        <v>7145417889.8515387</v>
      </c>
    </row>
    <row r="27" spans="1:17" ht="12.75" thickTop="1">
      <c r="A27" s="64">
        <f t="shared" si="0"/>
        <v>17</v>
      </c>
      <c r="D27" s="73"/>
      <c r="F27" s="73"/>
      <c r="H27" s="73"/>
      <c r="I27" s="73"/>
      <c r="J27" s="73"/>
      <c r="K27" s="73"/>
      <c r="L27" s="73"/>
      <c r="M27" s="73"/>
      <c r="N27" s="71"/>
    </row>
    <row r="28" spans="1:17">
      <c r="A28" s="64">
        <f t="shared" si="0"/>
        <v>18</v>
      </c>
      <c r="D28" s="73"/>
      <c r="E28" s="73"/>
      <c r="F28" s="73"/>
      <c r="G28" s="73"/>
      <c r="H28" s="73"/>
      <c r="I28" s="73"/>
      <c r="J28" s="73"/>
      <c r="K28" s="73"/>
      <c r="L28" s="73"/>
      <c r="M28" s="73"/>
      <c r="N28" s="73"/>
    </row>
    <row r="29" spans="1:17">
      <c r="A29" s="64">
        <f t="shared" si="0"/>
        <v>19</v>
      </c>
      <c r="E29" s="53"/>
      <c r="I29" s="54"/>
      <c r="K29" s="54"/>
      <c r="L29" s="54"/>
      <c r="M29" s="54"/>
      <c r="N29" s="55" t="s">
        <v>30</v>
      </c>
    </row>
    <row r="30" spans="1:17">
      <c r="A30" s="64">
        <f t="shared" si="0"/>
        <v>20</v>
      </c>
      <c r="D30" s="55"/>
      <c r="E30" s="53"/>
      <c r="I30" s="54"/>
      <c r="K30" s="54"/>
      <c r="L30" s="54"/>
      <c r="M30" s="54"/>
      <c r="N30" s="55" t="s">
        <v>1036</v>
      </c>
    </row>
    <row r="31" spans="1:17">
      <c r="A31" s="64">
        <f t="shared" si="0"/>
        <v>21</v>
      </c>
      <c r="D31" s="54"/>
      <c r="E31" s="53"/>
      <c r="H31" s="56"/>
      <c r="J31" s="57" t="s">
        <v>90</v>
      </c>
      <c r="L31" s="57" t="s">
        <v>23</v>
      </c>
      <c r="N31" s="55" t="s">
        <v>6</v>
      </c>
    </row>
    <row r="32" spans="1:17">
      <c r="A32" s="64">
        <f t="shared" si="0"/>
        <v>22</v>
      </c>
      <c r="C32" s="19"/>
      <c r="D32" s="54" t="s">
        <v>4</v>
      </c>
      <c r="F32" s="54" t="s">
        <v>24</v>
      </c>
      <c r="H32" s="54" t="s">
        <v>25</v>
      </c>
      <c r="J32" s="54" t="s">
        <v>57</v>
      </c>
      <c r="L32" s="59" t="s">
        <v>1032</v>
      </c>
      <c r="M32" s="55"/>
      <c r="N32" s="59" t="s">
        <v>7</v>
      </c>
      <c r="P32" s="407"/>
      <c r="Q32" s="407"/>
    </row>
    <row r="33" spans="1:14">
      <c r="A33" s="64">
        <f t="shared" si="0"/>
        <v>23</v>
      </c>
      <c r="B33" s="183" t="s">
        <v>113</v>
      </c>
      <c r="C33" s="184"/>
      <c r="D33" s="83"/>
      <c r="F33" s="63"/>
      <c r="H33" s="63"/>
      <c r="J33" s="63"/>
      <c r="N33" s="83"/>
    </row>
    <row r="34" spans="1:14">
      <c r="A34" s="64">
        <f t="shared" si="0"/>
        <v>24</v>
      </c>
      <c r="C34" s="65" t="s">
        <v>250</v>
      </c>
      <c r="D34" s="151">
        <v>3325512254.869628</v>
      </c>
      <c r="E34" s="142"/>
      <c r="F34" s="341">
        <v>713911964.81787074</v>
      </c>
      <c r="G34" s="142"/>
      <c r="H34" s="151">
        <v>1398212696.7062998</v>
      </c>
      <c r="I34" s="142"/>
      <c r="J34" s="151">
        <v>223374943.16122401</v>
      </c>
      <c r="K34" s="152"/>
      <c r="L34" s="151">
        <v>251564174.30562913</v>
      </c>
      <c r="M34" s="68"/>
      <c r="N34" s="66">
        <f t="shared" ref="N34:N46" si="16">SUM(D34:L34)</f>
        <v>5912576033.860652</v>
      </c>
    </row>
    <row r="35" spans="1:14">
      <c r="A35" s="64">
        <f t="shared" si="0"/>
        <v>25</v>
      </c>
      <c r="C35" s="65" t="s">
        <v>340</v>
      </c>
      <c r="D35" s="151">
        <v>3346580071.1396298</v>
      </c>
      <c r="E35" s="142"/>
      <c r="F35" s="341">
        <v>717157748.82786691</v>
      </c>
      <c r="G35" s="142"/>
      <c r="H35" s="151">
        <v>1403189971.2263007</v>
      </c>
      <c r="I35" s="142"/>
      <c r="J35" s="151">
        <v>227455190.06122398</v>
      </c>
      <c r="K35" s="152"/>
      <c r="L35" s="151">
        <v>255303997.7770066</v>
      </c>
      <c r="M35" s="70"/>
      <c r="N35" s="71">
        <f t="shared" si="16"/>
        <v>5949686979.0320282</v>
      </c>
    </row>
    <row r="36" spans="1:14">
      <c r="A36" s="64">
        <f t="shared" si="0"/>
        <v>26</v>
      </c>
      <c r="C36" s="65" t="s">
        <v>47</v>
      </c>
      <c r="D36" s="151">
        <v>3367718364.3696327</v>
      </c>
      <c r="E36" s="142"/>
      <c r="F36" s="341">
        <v>720575328.48786867</v>
      </c>
      <c r="G36" s="142"/>
      <c r="H36" s="151">
        <v>1408248086.4262989</v>
      </c>
      <c r="I36" s="142"/>
      <c r="J36" s="151">
        <v>231547494.88122395</v>
      </c>
      <c r="K36" s="152"/>
      <c r="L36" s="151">
        <v>258562908.91325644</v>
      </c>
      <c r="M36" s="70"/>
      <c r="N36" s="71">
        <f t="shared" si="16"/>
        <v>5986652183.0782804</v>
      </c>
    </row>
    <row r="37" spans="1:14">
      <c r="A37" s="64">
        <f t="shared" si="0"/>
        <v>27</v>
      </c>
      <c r="C37" s="65" t="s">
        <v>48</v>
      </c>
      <c r="D37" s="151">
        <v>3387938359.0896306</v>
      </c>
      <c r="E37" s="142"/>
      <c r="F37" s="341">
        <v>723935833.68786776</v>
      </c>
      <c r="G37" s="142"/>
      <c r="H37" s="151">
        <v>1413244716.7962999</v>
      </c>
      <c r="I37" s="142"/>
      <c r="J37" s="151">
        <v>235644352.11122409</v>
      </c>
      <c r="K37" s="152"/>
      <c r="L37" s="151">
        <v>261981175.46596378</v>
      </c>
      <c r="M37" s="70"/>
      <c r="N37" s="71">
        <f t="shared" si="16"/>
        <v>6022744437.1509857</v>
      </c>
    </row>
    <row r="38" spans="1:14">
      <c r="A38" s="64">
        <f t="shared" si="0"/>
        <v>28</v>
      </c>
      <c r="C38" s="65" t="s">
        <v>49</v>
      </c>
      <c r="D38" s="151">
        <v>3407624384.4196277</v>
      </c>
      <c r="E38" s="142"/>
      <c r="F38" s="341">
        <v>727309767.86786747</v>
      </c>
      <c r="G38" s="142"/>
      <c r="H38" s="151">
        <v>1418245385.5062995</v>
      </c>
      <c r="I38" s="142"/>
      <c r="J38" s="151">
        <v>239865980.89122397</v>
      </c>
      <c r="K38" s="152"/>
      <c r="L38" s="151">
        <v>265436426.10343361</v>
      </c>
      <c r="M38" s="70"/>
      <c r="N38" s="71">
        <f t="shared" si="16"/>
        <v>6058481944.7884521</v>
      </c>
    </row>
    <row r="39" spans="1:14">
      <c r="A39" s="64">
        <f t="shared" si="0"/>
        <v>29</v>
      </c>
      <c r="C39" s="65" t="s">
        <v>21</v>
      </c>
      <c r="D39" s="151">
        <v>3427712495.4496269</v>
      </c>
      <c r="E39" s="142"/>
      <c r="F39" s="341">
        <v>730888619.99786735</v>
      </c>
      <c r="G39" s="142"/>
      <c r="H39" s="151">
        <v>1423269315.2263</v>
      </c>
      <c r="I39" s="142"/>
      <c r="J39" s="151">
        <v>244127664.52122396</v>
      </c>
      <c r="K39" s="152"/>
      <c r="L39" s="151">
        <v>268839998.55660844</v>
      </c>
      <c r="M39" s="70"/>
      <c r="N39" s="71">
        <f t="shared" si="16"/>
        <v>6094838093.751627</v>
      </c>
    </row>
    <row r="40" spans="1:14">
      <c r="A40" s="64">
        <f t="shared" si="0"/>
        <v>30</v>
      </c>
      <c r="C40" s="65" t="s">
        <v>50</v>
      </c>
      <c r="D40" s="151">
        <v>3448860710.8596301</v>
      </c>
      <c r="E40" s="142"/>
      <c r="F40" s="341">
        <v>734789606.23786843</v>
      </c>
      <c r="G40" s="142"/>
      <c r="H40" s="151">
        <v>1428117756.7762988</v>
      </c>
      <c r="I40" s="142"/>
      <c r="J40" s="151">
        <v>248402275.58122393</v>
      </c>
      <c r="K40" s="152"/>
      <c r="L40" s="151">
        <v>272266726.28436631</v>
      </c>
      <c r="M40" s="70"/>
      <c r="N40" s="71">
        <f t="shared" si="16"/>
        <v>6132437075.7393875</v>
      </c>
    </row>
    <row r="41" spans="1:14">
      <c r="A41" s="64">
        <f t="shared" si="0"/>
        <v>31</v>
      </c>
      <c r="C41" s="65" t="s">
        <v>51</v>
      </c>
      <c r="D41" s="151">
        <v>3470102600.1796298</v>
      </c>
      <c r="E41" s="142"/>
      <c r="F41" s="341">
        <v>738854437.91786802</v>
      </c>
      <c r="G41" s="142"/>
      <c r="H41" s="151">
        <v>1433211261.0562997</v>
      </c>
      <c r="I41" s="142"/>
      <c r="J41" s="151">
        <v>252803616.34122398</v>
      </c>
      <c r="K41" s="152"/>
      <c r="L41" s="151">
        <v>275763851.49908954</v>
      </c>
      <c r="M41" s="70"/>
      <c r="N41" s="71">
        <f t="shared" si="16"/>
        <v>6170735766.9941101</v>
      </c>
    </row>
    <row r="42" spans="1:14">
      <c r="A42" s="64">
        <f t="shared" si="0"/>
        <v>32</v>
      </c>
      <c r="C42" s="65" t="s">
        <v>52</v>
      </c>
      <c r="D42" s="151">
        <v>3491416221.2396321</v>
      </c>
      <c r="E42" s="142"/>
      <c r="F42" s="341">
        <v>742914925.91786635</v>
      </c>
      <c r="G42" s="142"/>
      <c r="H42" s="151">
        <v>1438232672.4463007</v>
      </c>
      <c r="I42" s="142"/>
      <c r="J42" s="151">
        <v>257335721.41122401</v>
      </c>
      <c r="K42" s="152"/>
      <c r="L42" s="151">
        <v>279405188.32715601</v>
      </c>
      <c r="M42" s="70"/>
      <c r="N42" s="71">
        <f t="shared" si="16"/>
        <v>6209304729.3421793</v>
      </c>
    </row>
    <row r="43" spans="1:14">
      <c r="A43" s="64">
        <f t="shared" si="0"/>
        <v>33</v>
      </c>
      <c r="C43" s="65" t="s">
        <v>53</v>
      </c>
      <c r="D43" s="151">
        <v>3509454509.7096291</v>
      </c>
      <c r="E43" s="142"/>
      <c r="F43" s="341">
        <v>747013262.64786971</v>
      </c>
      <c r="G43" s="142"/>
      <c r="H43" s="151">
        <v>1443467047.9462998</v>
      </c>
      <c r="I43" s="142"/>
      <c r="J43" s="151">
        <v>261909716.65122393</v>
      </c>
      <c r="K43" s="152"/>
      <c r="L43" s="151">
        <v>283052334.18846494</v>
      </c>
      <c r="M43" s="70"/>
      <c r="N43" s="71">
        <f t="shared" si="16"/>
        <v>6244896871.1434879</v>
      </c>
    </row>
    <row r="44" spans="1:14">
      <c r="A44" s="64">
        <f t="shared" ref="A44:A70" si="17">+A43+1</f>
        <v>34</v>
      </c>
      <c r="C44" s="65" t="s">
        <v>54</v>
      </c>
      <c r="D44" s="151">
        <v>3532478502.6796298</v>
      </c>
      <c r="E44" s="142"/>
      <c r="F44" s="341">
        <v>751170770.27786779</v>
      </c>
      <c r="G44" s="142"/>
      <c r="H44" s="151">
        <v>1448622637.3763001</v>
      </c>
      <c r="I44" s="142"/>
      <c r="J44" s="151">
        <v>266503714.86122394</v>
      </c>
      <c r="K44" s="152"/>
      <c r="L44" s="151">
        <v>286695390.1767838</v>
      </c>
      <c r="M44" s="70"/>
      <c r="N44" s="71">
        <f t="shared" si="16"/>
        <v>6285471015.3718052</v>
      </c>
    </row>
    <row r="45" spans="1:14">
      <c r="A45" s="64">
        <f t="shared" si="17"/>
        <v>35</v>
      </c>
      <c r="C45" s="65" t="s">
        <v>55</v>
      </c>
      <c r="D45" s="151">
        <v>3557714955.5496292</v>
      </c>
      <c r="E45" s="142"/>
      <c r="F45" s="341">
        <v>755365300.1678673</v>
      </c>
      <c r="G45" s="142"/>
      <c r="H45" s="151">
        <v>1453974140.1862986</v>
      </c>
      <c r="I45" s="142"/>
      <c r="J45" s="151">
        <v>271038596.16122395</v>
      </c>
      <c r="K45" s="152"/>
      <c r="L45" s="151">
        <v>290352243.26477349</v>
      </c>
      <c r="M45" s="70"/>
      <c r="N45" s="71">
        <f t="shared" si="16"/>
        <v>6328445235.329793</v>
      </c>
    </row>
    <row r="46" spans="1:14">
      <c r="A46" s="64">
        <f t="shared" si="17"/>
        <v>36</v>
      </c>
      <c r="C46" s="65" t="s">
        <v>339</v>
      </c>
      <c r="D46" s="151">
        <v>3582865947.1296296</v>
      </c>
      <c r="E46" s="142"/>
      <c r="F46" s="341">
        <v>759643268.08786619</v>
      </c>
      <c r="G46" s="142"/>
      <c r="H46" s="151">
        <v>1459304657.2363</v>
      </c>
      <c r="I46" s="142"/>
      <c r="J46" s="151">
        <v>276094763.16122401</v>
      </c>
      <c r="K46" s="152"/>
      <c r="L46" s="151">
        <v>294384898.67237419</v>
      </c>
      <c r="M46" s="70"/>
      <c r="N46" s="71">
        <f t="shared" si="16"/>
        <v>6372293534.2873945</v>
      </c>
    </row>
    <row r="47" spans="1:14">
      <c r="A47" s="64">
        <f t="shared" si="17"/>
        <v>37</v>
      </c>
      <c r="C47" s="65"/>
      <c r="D47" s="76"/>
      <c r="F47" s="72"/>
      <c r="H47" s="72"/>
      <c r="I47" s="73"/>
      <c r="J47" s="72"/>
      <c r="K47" s="73"/>
      <c r="L47" s="74"/>
      <c r="M47" s="75"/>
      <c r="N47" s="76"/>
    </row>
    <row r="48" spans="1:14" ht="12.75" thickBot="1">
      <c r="A48" s="64">
        <f t="shared" si="17"/>
        <v>38</v>
      </c>
      <c r="C48" s="77" t="s">
        <v>29</v>
      </c>
      <c r="D48" s="82">
        <f>ROUND(SUM(D34:D47)/13,0)</f>
        <v>3450459952</v>
      </c>
      <c r="F48" s="82">
        <f>ROUND(SUM(F34:F47)/13,0)</f>
        <v>735656218</v>
      </c>
      <c r="G48" s="47"/>
      <c r="H48" s="82">
        <f>ROUND(SUM(H34:H47)/13,0)</f>
        <v>1428410796</v>
      </c>
      <c r="I48" s="79"/>
      <c r="J48" s="82">
        <f>ROUND(SUM(J34:J47)/13,0)</f>
        <v>248931079</v>
      </c>
      <c r="K48" s="80"/>
      <c r="L48" s="82">
        <f>ROUND(SUM(L34:L47)/13,0)</f>
        <v>272585332</v>
      </c>
      <c r="M48" s="81"/>
      <c r="N48" s="82">
        <f>ROUND(SUM(N34:N47)/13,0)</f>
        <v>6136043377</v>
      </c>
    </row>
    <row r="49" spans="1:14" ht="12.75" thickTop="1">
      <c r="A49" s="64">
        <f t="shared" si="17"/>
        <v>39</v>
      </c>
      <c r="C49" s="19"/>
      <c r="D49" s="19"/>
      <c r="E49" s="19"/>
      <c r="F49" s="19"/>
      <c r="G49" s="19"/>
      <c r="H49" s="19"/>
      <c r="I49" s="19"/>
      <c r="J49" s="19"/>
      <c r="K49" s="19"/>
      <c r="L49" s="19"/>
      <c r="M49" s="19"/>
      <c r="N49" s="19"/>
    </row>
    <row r="50" spans="1:14">
      <c r="A50" s="64">
        <f t="shared" si="17"/>
        <v>40</v>
      </c>
      <c r="C50" s="19"/>
      <c r="D50" s="19"/>
      <c r="E50" s="19"/>
      <c r="F50" s="19"/>
      <c r="G50" s="19"/>
      <c r="H50" s="19"/>
      <c r="I50" s="19"/>
      <c r="J50" s="19"/>
      <c r="K50" s="19"/>
      <c r="L50" s="19"/>
      <c r="M50" s="19"/>
      <c r="N50" s="19"/>
    </row>
    <row r="51" spans="1:14">
      <c r="A51" s="64">
        <f t="shared" si="17"/>
        <v>41</v>
      </c>
      <c r="C51" s="19"/>
      <c r="E51" s="53"/>
      <c r="I51" s="54"/>
      <c r="K51" s="54"/>
      <c r="L51" s="54"/>
      <c r="M51" s="54"/>
      <c r="N51" s="55" t="s">
        <v>30</v>
      </c>
    </row>
    <row r="52" spans="1:14">
      <c r="A52" s="64">
        <f t="shared" si="17"/>
        <v>42</v>
      </c>
      <c r="C52" s="19"/>
      <c r="D52" s="55"/>
      <c r="E52" s="53"/>
      <c r="I52" s="54"/>
      <c r="K52" s="54"/>
      <c r="L52" s="54"/>
      <c r="M52" s="54"/>
      <c r="N52" s="55" t="s">
        <v>1036</v>
      </c>
    </row>
    <row r="53" spans="1:14">
      <c r="A53" s="64">
        <f t="shared" si="17"/>
        <v>43</v>
      </c>
      <c r="C53" s="19"/>
      <c r="D53" s="54"/>
      <c r="E53" s="53"/>
      <c r="H53" s="56"/>
      <c r="J53" s="57" t="s">
        <v>90</v>
      </c>
      <c r="L53" s="57" t="s">
        <v>23</v>
      </c>
      <c r="N53" s="55" t="s">
        <v>6</v>
      </c>
    </row>
    <row r="54" spans="1:14">
      <c r="A54" s="64">
        <f t="shared" si="17"/>
        <v>44</v>
      </c>
      <c r="C54" s="19"/>
      <c r="D54" s="54" t="s">
        <v>4</v>
      </c>
      <c r="F54" s="54" t="s">
        <v>24</v>
      </c>
      <c r="H54" s="54" t="s">
        <v>25</v>
      </c>
      <c r="J54" s="54" t="s">
        <v>57</v>
      </c>
      <c r="L54" s="59" t="s">
        <v>1032</v>
      </c>
      <c r="M54" s="55"/>
      <c r="N54" s="59" t="s">
        <v>7</v>
      </c>
    </row>
    <row r="55" spans="1:14">
      <c r="A55" s="64">
        <f t="shared" si="17"/>
        <v>45</v>
      </c>
      <c r="B55" s="183" t="s">
        <v>114</v>
      </c>
      <c r="C55" s="184"/>
      <c r="D55" s="83"/>
      <c r="F55" s="63"/>
      <c r="H55" s="63"/>
      <c r="J55" s="63"/>
      <c r="N55" s="83"/>
    </row>
    <row r="56" spans="1:14">
      <c r="A56" s="64">
        <f t="shared" si="17"/>
        <v>46</v>
      </c>
      <c r="C56" s="65" t="s">
        <v>250</v>
      </c>
      <c r="D56" s="341">
        <v>285384647.19999999</v>
      </c>
      <c r="E56" s="340"/>
      <c r="F56" s="341">
        <v>216806052.98999995</v>
      </c>
      <c r="G56" s="340"/>
      <c r="H56" s="341">
        <v>374387165.57000011</v>
      </c>
      <c r="I56" s="340"/>
      <c r="J56" s="341">
        <v>39990811.200000003</v>
      </c>
      <c r="K56" s="482"/>
      <c r="L56" s="341">
        <v>57616982.899999946</v>
      </c>
      <c r="M56" s="68"/>
      <c r="N56" s="66">
        <f t="shared" ref="N56:N68" si="18">SUM(D56:L56)</f>
        <v>974185659.86000001</v>
      </c>
    </row>
    <row r="57" spans="1:14">
      <c r="A57" s="64">
        <f t="shared" si="17"/>
        <v>47</v>
      </c>
      <c r="C57" s="65" t="s">
        <v>340</v>
      </c>
      <c r="D57" s="340">
        <v>286613194.48000002</v>
      </c>
      <c r="E57" s="340"/>
      <c r="F57" s="340">
        <v>218179372.02000007</v>
      </c>
      <c r="G57" s="340"/>
      <c r="H57" s="340">
        <v>376137311.74000019</v>
      </c>
      <c r="I57" s="340"/>
      <c r="J57" s="340">
        <v>40573970.11999999</v>
      </c>
      <c r="K57" s="482"/>
      <c r="L57" s="340">
        <v>58257809.610000052</v>
      </c>
      <c r="M57" s="70"/>
      <c r="N57" s="71">
        <f t="shared" si="18"/>
        <v>979761657.97000027</v>
      </c>
    </row>
    <row r="58" spans="1:14">
      <c r="A58" s="64">
        <f t="shared" si="17"/>
        <v>48</v>
      </c>
      <c r="C58" s="65" t="s">
        <v>47</v>
      </c>
      <c r="D58" s="340">
        <v>287983951.21000004</v>
      </c>
      <c r="E58" s="340"/>
      <c r="F58" s="340">
        <v>219559921.97000003</v>
      </c>
      <c r="G58" s="340"/>
      <c r="H58" s="340">
        <v>377885832.85999984</v>
      </c>
      <c r="I58" s="340"/>
      <c r="J58" s="340">
        <v>41161476.270000003</v>
      </c>
      <c r="K58" s="482"/>
      <c r="L58" s="340">
        <v>58895299.579999991</v>
      </c>
      <c r="M58" s="70"/>
      <c r="N58" s="71">
        <f t="shared" si="18"/>
        <v>985486481.88999999</v>
      </c>
    </row>
    <row r="59" spans="1:14">
      <c r="A59" s="64">
        <f t="shared" si="17"/>
        <v>49</v>
      </c>
      <c r="C59" s="65" t="s">
        <v>48</v>
      </c>
      <c r="D59" s="340">
        <v>289485662.95000011</v>
      </c>
      <c r="E59" s="340"/>
      <c r="F59" s="340">
        <v>220958307.62999994</v>
      </c>
      <c r="G59" s="340"/>
      <c r="H59" s="340">
        <v>379627386.7899999</v>
      </c>
      <c r="I59" s="340"/>
      <c r="J59" s="340">
        <v>41752719.210000008</v>
      </c>
      <c r="K59" s="482"/>
      <c r="L59" s="340">
        <v>59502393.220000036</v>
      </c>
      <c r="M59" s="70"/>
      <c r="N59" s="71">
        <f t="shared" si="18"/>
        <v>991326469.79999995</v>
      </c>
    </row>
    <row r="60" spans="1:14">
      <c r="A60" s="64">
        <f t="shared" si="17"/>
        <v>50</v>
      </c>
      <c r="C60" s="65" t="s">
        <v>49</v>
      </c>
      <c r="D60" s="340">
        <v>290991900.87999994</v>
      </c>
      <c r="E60" s="340"/>
      <c r="F60" s="340">
        <v>222368700.96999991</v>
      </c>
      <c r="G60" s="340"/>
      <c r="H60" s="340">
        <v>381317082.14000005</v>
      </c>
      <c r="I60" s="340"/>
      <c r="J60" s="340">
        <v>42345356.619999997</v>
      </c>
      <c r="K60" s="482"/>
      <c r="L60" s="340">
        <v>60045474.429999992</v>
      </c>
      <c r="M60" s="70"/>
      <c r="N60" s="71">
        <f t="shared" si="18"/>
        <v>997068515.03999984</v>
      </c>
    </row>
    <row r="61" spans="1:14">
      <c r="A61" s="64">
        <f t="shared" si="17"/>
        <v>51</v>
      </c>
      <c r="C61" s="65" t="s">
        <v>21</v>
      </c>
      <c r="D61" s="340">
        <v>292520549.15999997</v>
      </c>
      <c r="E61" s="340"/>
      <c r="F61" s="340">
        <v>223796436.25</v>
      </c>
      <c r="G61" s="340"/>
      <c r="H61" s="340">
        <v>383017044.56999999</v>
      </c>
      <c r="I61" s="340"/>
      <c r="J61" s="340">
        <v>42948813.010000013</v>
      </c>
      <c r="K61" s="482"/>
      <c r="L61" s="340">
        <v>60402569.659999967</v>
      </c>
      <c r="M61" s="70"/>
      <c r="N61" s="71">
        <f t="shared" si="18"/>
        <v>1002685412.65</v>
      </c>
    </row>
    <row r="62" spans="1:14">
      <c r="A62" s="64">
        <f t="shared" si="17"/>
        <v>52</v>
      </c>
      <c r="C62" s="65" t="s">
        <v>50</v>
      </c>
      <c r="D62" s="340">
        <v>294063678.37000006</v>
      </c>
      <c r="E62" s="340"/>
      <c r="F62" s="340">
        <v>225368057.61999997</v>
      </c>
      <c r="G62" s="340"/>
      <c r="H62" s="340">
        <v>384741372.31</v>
      </c>
      <c r="I62" s="340"/>
      <c r="J62" s="340">
        <v>43561770.209999993</v>
      </c>
      <c r="K62" s="482"/>
      <c r="L62" s="340">
        <v>60908498.199999981</v>
      </c>
      <c r="M62" s="70"/>
      <c r="N62" s="71">
        <f t="shared" si="18"/>
        <v>1008643376.7099999</v>
      </c>
    </row>
    <row r="63" spans="1:14">
      <c r="A63" s="64">
        <f t="shared" si="17"/>
        <v>53</v>
      </c>
      <c r="C63" s="65" t="s">
        <v>51</v>
      </c>
      <c r="D63" s="340">
        <v>295597879.9600001</v>
      </c>
      <c r="E63" s="340"/>
      <c r="F63" s="340">
        <v>227068337.24000004</v>
      </c>
      <c r="G63" s="340"/>
      <c r="H63" s="340">
        <v>386493440.51000005</v>
      </c>
      <c r="I63" s="340"/>
      <c r="J63" s="340">
        <v>44180119.820000015</v>
      </c>
      <c r="K63" s="482"/>
      <c r="L63" s="340">
        <v>61418565.589999996</v>
      </c>
      <c r="M63" s="70"/>
      <c r="N63" s="71">
        <f t="shared" si="18"/>
        <v>1014758343.1200004</v>
      </c>
    </row>
    <row r="64" spans="1:14">
      <c r="A64" s="64">
        <f t="shared" si="17"/>
        <v>54</v>
      </c>
      <c r="C64" s="65" t="s">
        <v>52</v>
      </c>
      <c r="D64" s="340">
        <v>297147192.06</v>
      </c>
      <c r="E64" s="340"/>
      <c r="F64" s="340">
        <v>228793019.28999987</v>
      </c>
      <c r="G64" s="340"/>
      <c r="H64" s="340">
        <v>388249293.91999972</v>
      </c>
      <c r="I64" s="340"/>
      <c r="J64" s="340">
        <v>44812873.839999989</v>
      </c>
      <c r="K64" s="482"/>
      <c r="L64" s="340">
        <v>61882595.250000015</v>
      </c>
      <c r="M64" s="70"/>
      <c r="N64" s="71">
        <f t="shared" si="18"/>
        <v>1020884974.3599997</v>
      </c>
    </row>
    <row r="65" spans="1:14">
      <c r="A65" s="64">
        <f t="shared" si="17"/>
        <v>55</v>
      </c>
      <c r="C65" s="65" t="s">
        <v>53</v>
      </c>
      <c r="D65" s="340">
        <v>298653473.38</v>
      </c>
      <c r="E65" s="340"/>
      <c r="F65" s="340">
        <v>230534211.77999994</v>
      </c>
      <c r="G65" s="340"/>
      <c r="H65" s="340">
        <v>390040283.8900001</v>
      </c>
      <c r="I65" s="340"/>
      <c r="J65" s="340">
        <v>45449980.520000011</v>
      </c>
      <c r="K65" s="482"/>
      <c r="L65" s="340">
        <v>62397121.640000015</v>
      </c>
      <c r="M65" s="70"/>
      <c r="N65" s="71">
        <f t="shared" si="18"/>
        <v>1027075071.21</v>
      </c>
    </row>
    <row r="66" spans="1:14">
      <c r="A66" s="64">
        <f t="shared" si="17"/>
        <v>56</v>
      </c>
      <c r="C66" s="65" t="s">
        <v>54</v>
      </c>
      <c r="D66" s="340">
        <v>300260014.70999998</v>
      </c>
      <c r="E66" s="340"/>
      <c r="F66" s="340">
        <v>232303524.89999995</v>
      </c>
      <c r="G66" s="340"/>
      <c r="H66" s="340">
        <v>391818165.52999997</v>
      </c>
      <c r="I66" s="340"/>
      <c r="J66" s="340">
        <v>46091436.479999982</v>
      </c>
      <c r="K66" s="482"/>
      <c r="L66" s="340">
        <v>62965216.309999995</v>
      </c>
      <c r="M66" s="70"/>
      <c r="N66" s="71">
        <f t="shared" si="18"/>
        <v>1033438357.9299998</v>
      </c>
    </row>
    <row r="67" spans="1:14">
      <c r="A67" s="64">
        <f t="shared" si="17"/>
        <v>57</v>
      </c>
      <c r="C67" s="65" t="s">
        <v>55</v>
      </c>
      <c r="D67" s="340">
        <v>301801547.05000007</v>
      </c>
      <c r="E67" s="340"/>
      <c r="F67" s="340">
        <v>234121849.33999991</v>
      </c>
      <c r="G67" s="340"/>
      <c r="H67" s="340">
        <v>393674150.62999994</v>
      </c>
      <c r="I67" s="340"/>
      <c r="J67" s="340">
        <v>46746576.06000001</v>
      </c>
      <c r="K67" s="482"/>
      <c r="L67" s="340">
        <v>63534097.839999959</v>
      </c>
      <c r="M67" s="70"/>
      <c r="N67" s="71">
        <f t="shared" si="18"/>
        <v>1039878220.92</v>
      </c>
    </row>
    <row r="68" spans="1:14">
      <c r="A68" s="64">
        <f t="shared" si="17"/>
        <v>58</v>
      </c>
      <c r="C68" s="65" t="s">
        <v>339</v>
      </c>
      <c r="D68" s="340">
        <v>303399763.14999998</v>
      </c>
      <c r="E68" s="340"/>
      <c r="F68" s="340">
        <v>236013378.6500001</v>
      </c>
      <c r="G68" s="340"/>
      <c r="H68" s="340">
        <v>395490755.43999982</v>
      </c>
      <c r="I68" s="340"/>
      <c r="J68" s="340">
        <v>47519642.889999993</v>
      </c>
      <c r="K68" s="482"/>
      <c r="L68" s="340">
        <v>64252585.479999952</v>
      </c>
      <c r="M68" s="70"/>
      <c r="N68" s="71">
        <f t="shared" si="18"/>
        <v>1046676125.6099998</v>
      </c>
    </row>
    <row r="69" spans="1:14">
      <c r="A69" s="64">
        <f t="shared" si="17"/>
        <v>59</v>
      </c>
      <c r="C69" s="65"/>
      <c r="D69" s="76"/>
      <c r="F69" s="72"/>
      <c r="H69" s="72"/>
      <c r="I69" s="73"/>
      <c r="J69" s="72"/>
      <c r="K69" s="73"/>
      <c r="L69" s="74"/>
      <c r="M69" s="75"/>
      <c r="N69" s="76"/>
    </row>
    <row r="70" spans="1:14" ht="12.75" thickBot="1">
      <c r="A70" s="64">
        <f t="shared" si="17"/>
        <v>60</v>
      </c>
      <c r="C70" s="77" t="s">
        <v>29</v>
      </c>
      <c r="D70" s="82">
        <f>SUM(D56:D69)/13</f>
        <v>294146419.58153856</v>
      </c>
      <c r="F70" s="82">
        <f>SUM(F56:F69)/13</f>
        <v>225836243.89615387</v>
      </c>
      <c r="G70" s="47"/>
      <c r="H70" s="82">
        <f>SUM(H56:H69)/13</f>
        <v>384836868.14615381</v>
      </c>
      <c r="I70" s="79"/>
      <c r="J70" s="82">
        <f>SUM(J56:J69)/13</f>
        <v>43625811.25</v>
      </c>
      <c r="K70" s="80"/>
      <c r="L70" s="82">
        <f>SUM(L56:L69)/13</f>
        <v>60929169.977692284</v>
      </c>
      <c r="M70" s="81"/>
      <c r="N70" s="82">
        <f>SUM(N56:N69)/13</f>
        <v>1009374512.8515385</v>
      </c>
    </row>
    <row r="71" spans="1:14" ht="12.75" thickTop="1">
      <c r="D71" s="85"/>
    </row>
    <row r="72" spans="1:14">
      <c r="D72" s="85"/>
    </row>
    <row r="73" spans="1:14">
      <c r="D73" s="85"/>
    </row>
    <row r="74" spans="1:14">
      <c r="D74" s="85"/>
    </row>
    <row r="75" spans="1:14">
      <c r="D75" s="85"/>
    </row>
    <row r="76" spans="1:14">
      <c r="D76" s="85"/>
    </row>
    <row r="77" spans="1:14">
      <c r="D77" s="85"/>
    </row>
    <row r="78" spans="1:14">
      <c r="D78" s="85"/>
    </row>
    <row r="79" spans="1:14">
      <c r="D79" s="85"/>
    </row>
    <row r="80" spans="1:14">
      <c r="A80" s="190"/>
      <c r="D80" s="85"/>
    </row>
    <row r="81" spans="4:4">
      <c r="D81" s="85"/>
    </row>
    <row r="82" spans="4:4">
      <c r="D82" s="85"/>
    </row>
    <row r="83" spans="4:4">
      <c r="D83" s="85"/>
    </row>
    <row r="84" spans="4:4">
      <c r="D84" s="85"/>
    </row>
    <row r="85" spans="4:4">
      <c r="D85" s="85"/>
    </row>
    <row r="86" spans="4:4">
      <c r="D86" s="85"/>
    </row>
    <row r="87" spans="4:4">
      <c r="D87" s="85"/>
    </row>
    <row r="88" spans="4:4">
      <c r="D88" s="85"/>
    </row>
    <row r="89" spans="4:4">
      <c r="D89" s="85"/>
    </row>
    <row r="90" spans="4:4">
      <c r="D90" s="85"/>
    </row>
    <row r="91" spans="4:4">
      <c r="D91" s="85"/>
    </row>
  </sheetData>
  <phoneticPr fontId="10" type="noConversion"/>
  <pageMargins left="0.5" right="0.25" top="0.5" bottom="0.25" header="0.75" footer="0.5"/>
  <pageSetup scale="66" orientation="portrait" horizontalDpi="1200" verticalDpi="1200"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2"/>
    <pageSetUpPr autoPageBreaks="0" fitToPage="1"/>
  </sheetPr>
  <dimension ref="A1:R86"/>
  <sheetViews>
    <sheetView showGridLines="0" zoomScaleNormal="75" workbookViewId="0"/>
  </sheetViews>
  <sheetFormatPr defaultColWidth="14.44140625" defaultRowHeight="12"/>
  <cols>
    <col min="1" max="1" width="4.77734375" style="51" customWidth="1"/>
    <col min="2" max="2" width="2.77734375" style="49" customWidth="1"/>
    <col min="3" max="3" width="36.88671875" style="49" customWidth="1"/>
    <col min="4" max="4" width="16.33203125" style="49" hidden="1" customWidth="1"/>
    <col min="5" max="5" width="0.88671875" style="49" customWidth="1"/>
    <col min="6" max="6" width="14.33203125" style="49" hidden="1" customWidth="1"/>
    <col min="7" max="7" width="0.88671875" style="49" customWidth="1"/>
    <col min="8" max="8" width="18.21875" style="49" customWidth="1"/>
    <col min="9" max="9" width="0.88671875" style="49" customWidth="1"/>
    <col min="10" max="10" width="15.77734375" style="49" customWidth="1"/>
    <col min="11" max="11" width="0.6640625" style="49" customWidth="1"/>
    <col min="12" max="12" width="0" style="49" hidden="1" customWidth="1"/>
    <col min="13" max="13" width="0.77734375" style="49" hidden="1" customWidth="1"/>
    <col min="14" max="14" width="0" style="49" hidden="1" customWidth="1"/>
    <col min="15" max="15" width="0.6640625" style="49" customWidth="1"/>
    <col min="16" max="16" width="15.77734375" style="49" customWidth="1"/>
    <col min="17" max="17" width="1" style="49" customWidth="1"/>
    <col min="18" max="18" width="15.77734375" style="49" customWidth="1"/>
    <col min="19" max="16384" width="14.44140625" style="49"/>
  </cols>
  <sheetData>
    <row r="1" spans="1:18">
      <c r="A1" s="6" t="s">
        <v>1030</v>
      </c>
      <c r="B1" s="47"/>
      <c r="C1" s="47"/>
      <c r="D1" s="47"/>
      <c r="E1" s="47"/>
      <c r="F1" s="47"/>
      <c r="G1" s="47"/>
      <c r="H1" s="47"/>
      <c r="I1" s="47"/>
      <c r="R1" s="48" t="str">
        <f>'Cover Rev 2'!C1</f>
        <v>2015 Workpapers</v>
      </c>
    </row>
    <row r="2" spans="1:18">
      <c r="A2" s="6" t="s">
        <v>72</v>
      </c>
      <c r="B2" s="47"/>
      <c r="C2" s="47"/>
      <c r="D2" s="47"/>
      <c r="E2" s="47"/>
      <c r="F2" s="47"/>
      <c r="G2" s="47"/>
      <c r="H2" s="47"/>
      <c r="I2" s="47"/>
      <c r="R2" s="50"/>
    </row>
    <row r="3" spans="1:18">
      <c r="A3" s="6" t="s">
        <v>337</v>
      </c>
      <c r="B3" s="47"/>
      <c r="C3" s="47"/>
      <c r="D3" s="47"/>
      <c r="E3" s="47"/>
      <c r="F3" s="47"/>
      <c r="G3" s="47"/>
      <c r="H3" s="47"/>
      <c r="I3" s="47"/>
    </row>
    <row r="4" spans="1:18">
      <c r="A4" s="483" t="s">
        <v>232</v>
      </c>
      <c r="B4" s="52"/>
      <c r="C4" s="87"/>
    </row>
    <row r="5" spans="1:18">
      <c r="B5" s="52"/>
      <c r="D5" s="185"/>
    </row>
    <row r="6" spans="1:18">
      <c r="B6" s="52"/>
    </row>
    <row r="7" spans="1:18">
      <c r="A7" s="51" t="s">
        <v>46</v>
      </c>
      <c r="B7" s="52"/>
    </row>
    <row r="8" spans="1:18">
      <c r="A8" s="58" t="s">
        <v>22</v>
      </c>
      <c r="B8" s="131" t="s">
        <v>77</v>
      </c>
      <c r="C8" s="62"/>
    </row>
    <row r="9" spans="1:18">
      <c r="A9" s="60" t="s">
        <v>27</v>
      </c>
      <c r="B9" s="132"/>
      <c r="C9" s="53" t="s">
        <v>78</v>
      </c>
    </row>
    <row r="10" spans="1:18">
      <c r="A10" s="133">
        <f t="shared" ref="A10:A41" si="0">+A9+1</f>
        <v>2</v>
      </c>
      <c r="B10" s="134"/>
      <c r="C10" s="53" t="s">
        <v>79</v>
      </c>
    </row>
    <row r="11" spans="1:18">
      <c r="A11" s="133">
        <f t="shared" si="0"/>
        <v>3</v>
      </c>
      <c r="B11" s="134"/>
      <c r="C11" s="53" t="s">
        <v>80</v>
      </c>
    </row>
    <row r="12" spans="1:18">
      <c r="A12" s="133">
        <f t="shared" si="0"/>
        <v>4</v>
      </c>
      <c r="B12" s="134"/>
      <c r="C12" s="53" t="s">
        <v>81</v>
      </c>
    </row>
    <row r="13" spans="1:18">
      <c r="A13" s="133">
        <f t="shared" si="0"/>
        <v>5</v>
      </c>
    </row>
    <row r="14" spans="1:18">
      <c r="A14" s="133">
        <f t="shared" si="0"/>
        <v>6</v>
      </c>
      <c r="D14" s="53"/>
      <c r="E14" s="53"/>
      <c r="F14" s="55"/>
    </row>
    <row r="15" spans="1:18">
      <c r="A15" s="133">
        <f t="shared" si="0"/>
        <v>7</v>
      </c>
      <c r="B15" s="134"/>
      <c r="C15" s="53"/>
      <c r="E15" s="53"/>
      <c r="F15" s="55"/>
      <c r="H15" s="135" t="s">
        <v>76</v>
      </c>
    </row>
    <row r="16" spans="1:18">
      <c r="A16" s="133">
        <f t="shared" si="0"/>
        <v>8</v>
      </c>
      <c r="B16" s="52"/>
      <c r="C16" s="49" t="s">
        <v>82</v>
      </c>
      <c r="E16" s="361"/>
      <c r="F16" s="360"/>
      <c r="G16" s="136"/>
      <c r="H16" s="363" t="s">
        <v>106</v>
      </c>
    </row>
    <row r="17" spans="1:18">
      <c r="A17" s="133">
        <f t="shared" si="0"/>
        <v>9</v>
      </c>
      <c r="B17" s="52"/>
      <c r="C17" s="49" t="s">
        <v>83</v>
      </c>
      <c r="E17" s="361"/>
      <c r="F17" s="362"/>
      <c r="G17" s="136"/>
      <c r="H17" s="364" t="s">
        <v>234</v>
      </c>
    </row>
    <row r="18" spans="1:18">
      <c r="A18" s="133">
        <f t="shared" si="0"/>
        <v>10</v>
      </c>
    </row>
    <row r="19" spans="1:18">
      <c r="A19" s="133">
        <f t="shared" si="0"/>
        <v>11</v>
      </c>
      <c r="B19" s="19"/>
      <c r="C19" s="19"/>
      <c r="G19" s="54"/>
      <c r="I19" s="54"/>
    </row>
    <row r="20" spans="1:18">
      <c r="A20" s="133">
        <f t="shared" si="0"/>
        <v>12</v>
      </c>
      <c r="D20" s="1024" t="s">
        <v>84</v>
      </c>
      <c r="E20" s="1024"/>
      <c r="F20" s="1024"/>
      <c r="G20" s="1024"/>
      <c r="H20" s="1024"/>
      <c r="I20" s="1024"/>
      <c r="J20" s="1024"/>
      <c r="K20" s="137"/>
      <c r="L20" s="1024" t="s">
        <v>85</v>
      </c>
      <c r="M20" s="1024"/>
      <c r="N20" s="1024"/>
      <c r="O20" s="1024"/>
      <c r="P20" s="1024"/>
      <c r="Q20" s="1024"/>
      <c r="R20" s="1024"/>
    </row>
    <row r="21" spans="1:18">
      <c r="A21" s="133">
        <f t="shared" si="0"/>
        <v>13</v>
      </c>
      <c r="F21" s="54" t="s">
        <v>73</v>
      </c>
      <c r="J21" s="55" t="s">
        <v>30</v>
      </c>
      <c r="K21" s="137"/>
      <c r="N21" s="54" t="s">
        <v>73</v>
      </c>
      <c r="R21" s="55" t="s">
        <v>30</v>
      </c>
    </row>
    <row r="22" spans="1:18">
      <c r="A22" s="133">
        <f t="shared" si="0"/>
        <v>14</v>
      </c>
      <c r="D22" s="54" t="s">
        <v>74</v>
      </c>
      <c r="F22" s="54" t="s">
        <v>75</v>
      </c>
      <c r="H22" s="54" t="s">
        <v>76</v>
      </c>
      <c r="J22" s="59" t="s">
        <v>86</v>
      </c>
      <c r="K22" s="137"/>
      <c r="L22" s="54" t="s">
        <v>74</v>
      </c>
      <c r="N22" s="54" t="s">
        <v>75</v>
      </c>
      <c r="P22" s="54" t="s">
        <v>76</v>
      </c>
      <c r="R22" s="59" t="s">
        <v>86</v>
      </c>
    </row>
    <row r="23" spans="1:18">
      <c r="A23" s="133">
        <f t="shared" si="0"/>
        <v>15</v>
      </c>
      <c r="B23" s="61" t="s">
        <v>1031</v>
      </c>
      <c r="C23" s="62"/>
      <c r="D23" s="63"/>
      <c r="F23" s="63"/>
      <c r="H23" s="63"/>
      <c r="J23" s="63"/>
      <c r="K23" s="137"/>
      <c r="L23" s="63"/>
      <c r="N23" s="63"/>
      <c r="P23" s="63"/>
      <c r="R23" s="63"/>
    </row>
    <row r="24" spans="1:18">
      <c r="A24" s="133">
        <f t="shared" si="0"/>
        <v>16</v>
      </c>
      <c r="C24" s="65" t="s">
        <v>250</v>
      </c>
      <c r="D24" s="66">
        <f t="shared" ref="D24:H36" si="1">+D46+D68</f>
        <v>0</v>
      </c>
      <c r="E24" s="66">
        <f t="shared" si="1"/>
        <v>0</v>
      </c>
      <c r="F24" s="66">
        <f t="shared" si="1"/>
        <v>0</v>
      </c>
      <c r="G24" s="66">
        <f t="shared" si="1"/>
        <v>0</v>
      </c>
      <c r="H24" s="66">
        <f t="shared" si="1"/>
        <v>338826269.85094285</v>
      </c>
      <c r="I24" s="66"/>
      <c r="J24" s="66">
        <f t="shared" ref="J24:J36" si="2">SUM(D24:I24)</f>
        <v>338826269.85094285</v>
      </c>
      <c r="K24" s="137"/>
      <c r="L24" s="66">
        <f t="shared" ref="L24:P36" si="3">+L46+L68</f>
        <v>0</v>
      </c>
      <c r="M24" s="66">
        <f t="shared" si="3"/>
        <v>0</v>
      </c>
      <c r="N24" s="66">
        <f t="shared" si="3"/>
        <v>0</v>
      </c>
      <c r="O24" s="66">
        <f t="shared" si="3"/>
        <v>0</v>
      </c>
      <c r="P24" s="66">
        <f t="shared" si="3"/>
        <v>338826269.85094285</v>
      </c>
      <c r="Q24" s="66"/>
      <c r="R24" s="66">
        <f t="shared" ref="R24:R36" si="4">SUM(L24:Q24)</f>
        <v>338826269.85094285</v>
      </c>
    </row>
    <row r="25" spans="1:18">
      <c r="A25" s="133">
        <f t="shared" si="0"/>
        <v>17</v>
      </c>
      <c r="C25" s="65" t="s">
        <v>340</v>
      </c>
      <c r="D25" s="69">
        <f t="shared" si="1"/>
        <v>0</v>
      </c>
      <c r="E25" s="69">
        <f t="shared" si="1"/>
        <v>0</v>
      </c>
      <c r="F25" s="69">
        <f t="shared" si="1"/>
        <v>0</v>
      </c>
      <c r="G25" s="69">
        <f t="shared" si="1"/>
        <v>0</v>
      </c>
      <c r="H25" s="69">
        <f t="shared" si="1"/>
        <v>289358478.44988507</v>
      </c>
      <c r="I25" s="69"/>
      <c r="J25" s="71">
        <f t="shared" si="2"/>
        <v>289358478.44988507</v>
      </c>
      <c r="K25" s="137"/>
      <c r="L25" s="69">
        <f t="shared" si="3"/>
        <v>0</v>
      </c>
      <c r="M25" s="69">
        <f t="shared" si="3"/>
        <v>0</v>
      </c>
      <c r="N25" s="69">
        <f t="shared" si="3"/>
        <v>0</v>
      </c>
      <c r="O25" s="69">
        <f t="shared" si="3"/>
        <v>0</v>
      </c>
      <c r="P25" s="69">
        <f t="shared" si="3"/>
        <v>289358478.44988507</v>
      </c>
      <c r="Q25" s="69"/>
      <c r="R25" s="71">
        <f t="shared" si="4"/>
        <v>289358478.44988507</v>
      </c>
    </row>
    <row r="26" spans="1:18">
      <c r="A26" s="133">
        <f t="shared" si="0"/>
        <v>18</v>
      </c>
      <c r="C26" s="65" t="s">
        <v>47</v>
      </c>
      <c r="D26" s="69">
        <f t="shared" si="1"/>
        <v>0</v>
      </c>
      <c r="E26" s="69">
        <f t="shared" si="1"/>
        <v>0</v>
      </c>
      <c r="F26" s="69">
        <f t="shared" si="1"/>
        <v>0</v>
      </c>
      <c r="G26" s="69">
        <f t="shared" si="1"/>
        <v>0</v>
      </c>
      <c r="H26" s="69">
        <f t="shared" si="1"/>
        <v>291749860.66288894</v>
      </c>
      <c r="I26" s="69"/>
      <c r="J26" s="71">
        <f t="shared" si="2"/>
        <v>291749860.66288894</v>
      </c>
      <c r="K26" s="137"/>
      <c r="L26" s="69">
        <f t="shared" si="3"/>
        <v>0</v>
      </c>
      <c r="M26" s="69">
        <f t="shared" si="3"/>
        <v>0</v>
      </c>
      <c r="N26" s="69">
        <f t="shared" si="3"/>
        <v>0</v>
      </c>
      <c r="O26" s="69">
        <f t="shared" si="3"/>
        <v>0</v>
      </c>
      <c r="P26" s="69">
        <f t="shared" si="3"/>
        <v>291749860.66288894</v>
      </c>
      <c r="Q26" s="69"/>
      <c r="R26" s="71">
        <f t="shared" si="4"/>
        <v>291749860.66288894</v>
      </c>
    </row>
    <row r="27" spans="1:18">
      <c r="A27" s="133">
        <f t="shared" si="0"/>
        <v>19</v>
      </c>
      <c r="C27" s="65" t="s">
        <v>48</v>
      </c>
      <c r="D27" s="69">
        <f t="shared" si="1"/>
        <v>0</v>
      </c>
      <c r="E27" s="69">
        <f t="shared" si="1"/>
        <v>0</v>
      </c>
      <c r="F27" s="69">
        <f t="shared" si="1"/>
        <v>0</v>
      </c>
      <c r="G27" s="69">
        <f t="shared" si="1"/>
        <v>0</v>
      </c>
      <c r="H27" s="69">
        <f t="shared" si="1"/>
        <v>271844363.51144671</v>
      </c>
      <c r="I27" s="69"/>
      <c r="J27" s="71">
        <f t="shared" si="2"/>
        <v>271844363.51144671</v>
      </c>
      <c r="K27" s="137"/>
      <c r="L27" s="69">
        <f t="shared" si="3"/>
        <v>0</v>
      </c>
      <c r="M27" s="69">
        <f t="shared" si="3"/>
        <v>0</v>
      </c>
      <c r="N27" s="69">
        <f t="shared" si="3"/>
        <v>0</v>
      </c>
      <c r="O27" s="69">
        <f t="shared" si="3"/>
        <v>0</v>
      </c>
      <c r="P27" s="69">
        <f t="shared" si="3"/>
        <v>271844363.51144671</v>
      </c>
      <c r="Q27" s="69"/>
      <c r="R27" s="71">
        <f t="shared" si="4"/>
        <v>271844363.51144671</v>
      </c>
    </row>
    <row r="28" spans="1:18">
      <c r="A28" s="133">
        <f t="shared" si="0"/>
        <v>20</v>
      </c>
      <c r="C28" s="65" t="s">
        <v>49</v>
      </c>
      <c r="D28" s="69">
        <f t="shared" si="1"/>
        <v>0</v>
      </c>
      <c r="E28" s="69">
        <f t="shared" si="1"/>
        <v>0</v>
      </c>
      <c r="F28" s="69">
        <f t="shared" si="1"/>
        <v>0</v>
      </c>
      <c r="G28" s="69">
        <f t="shared" si="1"/>
        <v>0</v>
      </c>
      <c r="H28" s="69">
        <f t="shared" si="1"/>
        <v>283062530.82028478</v>
      </c>
      <c r="I28" s="69"/>
      <c r="J28" s="71">
        <f t="shared" si="2"/>
        <v>283062530.82028478</v>
      </c>
      <c r="K28" s="137"/>
      <c r="L28" s="69">
        <f t="shared" si="3"/>
        <v>0</v>
      </c>
      <c r="M28" s="69">
        <f t="shared" si="3"/>
        <v>0</v>
      </c>
      <c r="N28" s="69">
        <f t="shared" si="3"/>
        <v>0</v>
      </c>
      <c r="O28" s="69">
        <f t="shared" si="3"/>
        <v>0</v>
      </c>
      <c r="P28" s="69">
        <f t="shared" si="3"/>
        <v>283062530.82028478</v>
      </c>
      <c r="Q28" s="69"/>
      <c r="R28" s="71">
        <f t="shared" si="4"/>
        <v>283062530.82028478</v>
      </c>
    </row>
    <row r="29" spans="1:18">
      <c r="A29" s="133">
        <f t="shared" si="0"/>
        <v>21</v>
      </c>
      <c r="C29" s="65" t="s">
        <v>21</v>
      </c>
      <c r="D29" s="69">
        <f t="shared" si="1"/>
        <v>0</v>
      </c>
      <c r="E29" s="69">
        <f t="shared" si="1"/>
        <v>0</v>
      </c>
      <c r="F29" s="69">
        <f t="shared" si="1"/>
        <v>0</v>
      </c>
      <c r="G29" s="69">
        <f t="shared" si="1"/>
        <v>0</v>
      </c>
      <c r="H29" s="69">
        <f t="shared" si="1"/>
        <v>193785349.61681485</v>
      </c>
      <c r="I29" s="69"/>
      <c r="J29" s="71">
        <f t="shared" si="2"/>
        <v>193785349.61681485</v>
      </c>
      <c r="K29" s="137"/>
      <c r="L29" s="69">
        <f t="shared" si="3"/>
        <v>0</v>
      </c>
      <c r="M29" s="69">
        <f t="shared" si="3"/>
        <v>0</v>
      </c>
      <c r="N29" s="69">
        <f t="shared" si="3"/>
        <v>0</v>
      </c>
      <c r="O29" s="69">
        <f t="shared" si="3"/>
        <v>0</v>
      </c>
      <c r="P29" s="69">
        <f t="shared" si="3"/>
        <v>193785349.61681485</v>
      </c>
      <c r="Q29" s="69"/>
      <c r="R29" s="71">
        <f t="shared" si="4"/>
        <v>193785349.61681485</v>
      </c>
    </row>
    <row r="30" spans="1:18">
      <c r="A30" s="133">
        <f t="shared" si="0"/>
        <v>22</v>
      </c>
      <c r="C30" s="65" t="s">
        <v>50</v>
      </c>
      <c r="D30" s="69">
        <f t="shared" si="1"/>
        <v>0</v>
      </c>
      <c r="E30" s="69">
        <f t="shared" si="1"/>
        <v>0</v>
      </c>
      <c r="F30" s="69">
        <f t="shared" si="1"/>
        <v>0</v>
      </c>
      <c r="G30" s="69">
        <f t="shared" si="1"/>
        <v>0</v>
      </c>
      <c r="H30" s="69">
        <f t="shared" si="1"/>
        <v>57408398.950587019</v>
      </c>
      <c r="I30" s="69"/>
      <c r="J30" s="71">
        <f t="shared" si="2"/>
        <v>57408398.950587019</v>
      </c>
      <c r="K30" s="137"/>
      <c r="L30" s="69">
        <f t="shared" si="3"/>
        <v>0</v>
      </c>
      <c r="M30" s="69">
        <f t="shared" si="3"/>
        <v>0</v>
      </c>
      <c r="N30" s="69">
        <f t="shared" si="3"/>
        <v>0</v>
      </c>
      <c r="O30" s="69">
        <f t="shared" si="3"/>
        <v>0</v>
      </c>
      <c r="P30" s="69">
        <f t="shared" si="3"/>
        <v>57408398.950587019</v>
      </c>
      <c r="Q30" s="69"/>
      <c r="R30" s="71">
        <f t="shared" si="4"/>
        <v>57408398.950587019</v>
      </c>
    </row>
    <row r="31" spans="1:18">
      <c r="A31" s="133">
        <f t="shared" si="0"/>
        <v>23</v>
      </c>
      <c r="C31" s="65" t="s">
        <v>51</v>
      </c>
      <c r="D31" s="69">
        <f t="shared" si="1"/>
        <v>0</v>
      </c>
      <c r="E31" s="69">
        <f t="shared" si="1"/>
        <v>0</v>
      </c>
      <c r="F31" s="69">
        <f t="shared" si="1"/>
        <v>0</v>
      </c>
      <c r="G31" s="69">
        <f t="shared" si="1"/>
        <v>0</v>
      </c>
      <c r="H31" s="69">
        <f t="shared" si="1"/>
        <v>62048854.223168857</v>
      </c>
      <c r="I31" s="69"/>
      <c r="J31" s="71">
        <f t="shared" si="2"/>
        <v>62048854.223168857</v>
      </c>
      <c r="K31" s="137"/>
      <c r="L31" s="69">
        <f t="shared" si="3"/>
        <v>0</v>
      </c>
      <c r="M31" s="69">
        <f t="shared" si="3"/>
        <v>0</v>
      </c>
      <c r="N31" s="69">
        <f t="shared" si="3"/>
        <v>0</v>
      </c>
      <c r="O31" s="69">
        <f t="shared" si="3"/>
        <v>0</v>
      </c>
      <c r="P31" s="69">
        <f t="shared" si="3"/>
        <v>62048854.223168857</v>
      </c>
      <c r="Q31" s="69"/>
      <c r="R31" s="71">
        <f t="shared" si="4"/>
        <v>62048854.223168857</v>
      </c>
    </row>
    <row r="32" spans="1:18">
      <c r="A32" s="133">
        <f t="shared" si="0"/>
        <v>24</v>
      </c>
      <c r="C32" s="65" t="s">
        <v>52</v>
      </c>
      <c r="D32" s="69">
        <f t="shared" si="1"/>
        <v>0</v>
      </c>
      <c r="E32" s="69">
        <f t="shared" si="1"/>
        <v>0</v>
      </c>
      <c r="F32" s="69">
        <f t="shared" si="1"/>
        <v>0</v>
      </c>
      <c r="G32" s="69">
        <f t="shared" si="1"/>
        <v>0</v>
      </c>
      <c r="H32" s="69">
        <f t="shared" si="1"/>
        <v>66961645.177718922</v>
      </c>
      <c r="I32" s="69"/>
      <c r="J32" s="71">
        <f t="shared" si="2"/>
        <v>66961645.177718922</v>
      </c>
      <c r="K32" s="137"/>
      <c r="L32" s="69">
        <f t="shared" si="3"/>
        <v>0</v>
      </c>
      <c r="M32" s="69">
        <f t="shared" si="3"/>
        <v>0</v>
      </c>
      <c r="N32" s="69">
        <f t="shared" si="3"/>
        <v>0</v>
      </c>
      <c r="O32" s="69">
        <f t="shared" si="3"/>
        <v>0</v>
      </c>
      <c r="P32" s="69">
        <f t="shared" si="3"/>
        <v>66961645.177718922</v>
      </c>
      <c r="Q32" s="69"/>
      <c r="R32" s="71">
        <f t="shared" si="4"/>
        <v>66961645.177718922</v>
      </c>
    </row>
    <row r="33" spans="1:18">
      <c r="A33" s="133">
        <f t="shared" si="0"/>
        <v>25</v>
      </c>
      <c r="C33" s="65" t="s">
        <v>53</v>
      </c>
      <c r="D33" s="69">
        <f t="shared" si="1"/>
        <v>0</v>
      </c>
      <c r="E33" s="69">
        <f t="shared" si="1"/>
        <v>0</v>
      </c>
      <c r="F33" s="69">
        <f t="shared" si="1"/>
        <v>0</v>
      </c>
      <c r="G33" s="69">
        <f t="shared" si="1"/>
        <v>0</v>
      </c>
      <c r="H33" s="69">
        <f t="shared" si="1"/>
        <v>70379289.329248205</v>
      </c>
      <c r="I33" s="69"/>
      <c r="J33" s="71">
        <f t="shared" si="2"/>
        <v>70379289.329248205</v>
      </c>
      <c r="K33" s="137"/>
      <c r="L33" s="69">
        <f t="shared" si="3"/>
        <v>0</v>
      </c>
      <c r="M33" s="69">
        <f t="shared" si="3"/>
        <v>0</v>
      </c>
      <c r="N33" s="69">
        <f t="shared" si="3"/>
        <v>0</v>
      </c>
      <c r="O33" s="69">
        <f t="shared" si="3"/>
        <v>0</v>
      </c>
      <c r="P33" s="69">
        <f t="shared" si="3"/>
        <v>70379289.329248205</v>
      </c>
      <c r="Q33" s="69"/>
      <c r="R33" s="71">
        <f t="shared" si="4"/>
        <v>70379289.329248205</v>
      </c>
    </row>
    <row r="34" spans="1:18">
      <c r="A34" s="133">
        <f t="shared" si="0"/>
        <v>26</v>
      </c>
      <c r="C34" s="65" t="s">
        <v>54</v>
      </c>
      <c r="D34" s="69">
        <f t="shared" si="1"/>
        <v>0</v>
      </c>
      <c r="E34" s="69">
        <f t="shared" si="1"/>
        <v>0</v>
      </c>
      <c r="F34" s="69">
        <f t="shared" si="1"/>
        <v>0</v>
      </c>
      <c r="G34" s="69">
        <f t="shared" si="1"/>
        <v>0</v>
      </c>
      <c r="H34" s="69">
        <f t="shared" si="1"/>
        <v>50227025.870270394</v>
      </c>
      <c r="I34" s="69"/>
      <c r="J34" s="71">
        <f t="shared" si="2"/>
        <v>50227025.870270394</v>
      </c>
      <c r="K34" s="137"/>
      <c r="L34" s="69">
        <f t="shared" si="3"/>
        <v>0</v>
      </c>
      <c r="M34" s="69">
        <f t="shared" si="3"/>
        <v>0</v>
      </c>
      <c r="N34" s="69">
        <f t="shared" si="3"/>
        <v>0</v>
      </c>
      <c r="O34" s="69">
        <f t="shared" si="3"/>
        <v>0</v>
      </c>
      <c r="P34" s="69">
        <f t="shared" si="3"/>
        <v>50227025.870270394</v>
      </c>
      <c r="Q34" s="69"/>
      <c r="R34" s="71">
        <f t="shared" si="4"/>
        <v>50227025.870270394</v>
      </c>
    </row>
    <row r="35" spans="1:18">
      <c r="A35" s="133">
        <f t="shared" si="0"/>
        <v>27</v>
      </c>
      <c r="C35" s="65" t="s">
        <v>55</v>
      </c>
      <c r="D35" s="69">
        <f t="shared" si="1"/>
        <v>0</v>
      </c>
      <c r="E35" s="69">
        <f t="shared" si="1"/>
        <v>0</v>
      </c>
      <c r="F35" s="69">
        <f t="shared" si="1"/>
        <v>0</v>
      </c>
      <c r="G35" s="69">
        <f t="shared" si="1"/>
        <v>0</v>
      </c>
      <c r="H35" s="69">
        <f t="shared" si="1"/>
        <v>52182295.215678312</v>
      </c>
      <c r="I35" s="69"/>
      <c r="J35" s="71">
        <f t="shared" si="2"/>
        <v>52182295.215678312</v>
      </c>
      <c r="K35" s="137"/>
      <c r="L35" s="69">
        <f t="shared" si="3"/>
        <v>0</v>
      </c>
      <c r="M35" s="69">
        <f t="shared" si="3"/>
        <v>0</v>
      </c>
      <c r="N35" s="69">
        <f t="shared" si="3"/>
        <v>0</v>
      </c>
      <c r="O35" s="69">
        <f t="shared" si="3"/>
        <v>0</v>
      </c>
      <c r="P35" s="69">
        <f t="shared" si="3"/>
        <v>52182295.215678312</v>
      </c>
      <c r="Q35" s="69"/>
      <c r="R35" s="71">
        <f t="shared" si="4"/>
        <v>52182295.215678312</v>
      </c>
    </row>
    <row r="36" spans="1:18">
      <c r="A36" s="133">
        <f t="shared" si="0"/>
        <v>28</v>
      </c>
      <c r="C36" s="65" t="s">
        <v>339</v>
      </c>
      <c r="D36" s="69">
        <f t="shared" si="1"/>
        <v>0</v>
      </c>
      <c r="E36" s="69">
        <f t="shared" si="1"/>
        <v>0</v>
      </c>
      <c r="F36" s="69">
        <f t="shared" si="1"/>
        <v>0</v>
      </c>
      <c r="G36" s="69">
        <f t="shared" si="1"/>
        <v>0</v>
      </c>
      <c r="H36" s="69">
        <f t="shared" si="1"/>
        <v>2050648.4317877577</v>
      </c>
      <c r="I36" s="69"/>
      <c r="J36" s="71">
        <f t="shared" si="2"/>
        <v>2050648.4317877577</v>
      </c>
      <c r="K36" s="137"/>
      <c r="L36" s="69">
        <f t="shared" si="3"/>
        <v>0</v>
      </c>
      <c r="M36" s="69">
        <f t="shared" si="3"/>
        <v>0</v>
      </c>
      <c r="N36" s="69">
        <f t="shared" si="3"/>
        <v>0</v>
      </c>
      <c r="O36" s="69">
        <f t="shared" si="3"/>
        <v>0</v>
      </c>
      <c r="P36" s="69">
        <f t="shared" si="3"/>
        <v>2050648.4317877577</v>
      </c>
      <c r="Q36" s="69"/>
      <c r="R36" s="71">
        <f t="shared" si="4"/>
        <v>2050648.4317877577</v>
      </c>
    </row>
    <row r="37" spans="1:18">
      <c r="A37" s="133">
        <f t="shared" si="0"/>
        <v>29</v>
      </c>
      <c r="C37" s="65"/>
      <c r="D37" s="72"/>
      <c r="F37" s="72"/>
      <c r="G37" s="73"/>
      <c r="H37" s="72"/>
      <c r="I37" s="73"/>
      <c r="J37" s="76"/>
      <c r="K37" s="137"/>
      <c r="L37" s="72"/>
      <c r="N37" s="72"/>
      <c r="O37" s="73"/>
      <c r="P37" s="72"/>
      <c r="Q37" s="73"/>
      <c r="R37" s="76"/>
    </row>
    <row r="38" spans="1:18" ht="12.75" thickBot="1">
      <c r="A38" s="133">
        <f t="shared" si="0"/>
        <v>30</v>
      </c>
      <c r="C38" s="77" t="s">
        <v>29</v>
      </c>
      <c r="D38" s="78">
        <f>SUM(D24:D36)/13</f>
        <v>0</v>
      </c>
      <c r="E38" s="47"/>
      <c r="F38" s="78">
        <f>SUM(F24:F36)/13</f>
        <v>0</v>
      </c>
      <c r="G38" s="79"/>
      <c r="H38" s="78">
        <f>SUM(H24:H36)/13</f>
        <v>156145000.7777479</v>
      </c>
      <c r="I38" s="80"/>
      <c r="J38" s="82">
        <f>SUM(J24:J36)/13</f>
        <v>156145000.7777479</v>
      </c>
      <c r="K38" s="137"/>
      <c r="L38" s="78">
        <f>SUM(L24:L36)/13</f>
        <v>0</v>
      </c>
      <c r="M38" s="47"/>
      <c r="N38" s="78">
        <f>SUM(N24:N36)/13</f>
        <v>0</v>
      </c>
      <c r="O38" s="79"/>
      <c r="P38" s="78">
        <f>SUM(P24:P36)/13</f>
        <v>156145000.7777479</v>
      </c>
      <c r="Q38" s="80"/>
      <c r="R38" s="82">
        <f>SUM(R24:R36)/13</f>
        <v>156145000.7777479</v>
      </c>
    </row>
    <row r="39" spans="1:18" ht="12.75" thickTop="1">
      <c r="A39" s="133">
        <f t="shared" si="0"/>
        <v>31</v>
      </c>
      <c r="D39" s="73"/>
      <c r="F39" s="73"/>
      <c r="G39" s="73"/>
      <c r="H39" s="73"/>
      <c r="I39" s="73"/>
      <c r="J39" s="71"/>
      <c r="K39" s="137"/>
    </row>
    <row r="40" spans="1:18">
      <c r="A40" s="133">
        <f t="shared" si="0"/>
        <v>32</v>
      </c>
      <c r="D40" s="73"/>
      <c r="F40" s="73"/>
      <c r="G40" s="73"/>
      <c r="H40" s="73"/>
      <c r="I40" s="73"/>
      <c r="J40" s="71"/>
      <c r="K40" s="137"/>
    </row>
    <row r="41" spans="1:18">
      <c r="A41" s="133">
        <f t="shared" si="0"/>
        <v>33</v>
      </c>
      <c r="G41" s="54"/>
      <c r="I41" s="54"/>
      <c r="K41" s="137"/>
    </row>
    <row r="42" spans="1:18">
      <c r="A42" s="133">
        <f t="shared" ref="A42:A73" si="5">+A41+1</f>
        <v>34</v>
      </c>
      <c r="D42" s="1024" t="s">
        <v>84</v>
      </c>
      <c r="E42" s="1024"/>
      <c r="F42" s="1024"/>
      <c r="G42" s="1024"/>
      <c r="H42" s="1024"/>
      <c r="I42" s="1024"/>
      <c r="J42" s="1024"/>
      <c r="K42" s="137"/>
      <c r="L42" s="1024" t="s">
        <v>85</v>
      </c>
      <c r="M42" s="1024"/>
      <c r="N42" s="1024"/>
      <c r="O42" s="1024"/>
      <c r="P42" s="1024"/>
      <c r="Q42" s="1024"/>
      <c r="R42" s="1024"/>
    </row>
    <row r="43" spans="1:18">
      <c r="A43" s="133">
        <f t="shared" si="5"/>
        <v>35</v>
      </c>
      <c r="F43" s="54" t="s">
        <v>73</v>
      </c>
      <c r="J43" s="55" t="s">
        <v>30</v>
      </c>
      <c r="K43" s="137"/>
      <c r="N43" s="54" t="s">
        <v>73</v>
      </c>
      <c r="R43" s="55" t="s">
        <v>30</v>
      </c>
    </row>
    <row r="44" spans="1:18">
      <c r="A44" s="133">
        <f t="shared" si="5"/>
        <v>36</v>
      </c>
      <c r="C44" s="19"/>
      <c r="D44" s="54" t="s">
        <v>74</v>
      </c>
      <c r="F44" s="54" t="s">
        <v>75</v>
      </c>
      <c r="H44" s="54" t="s">
        <v>76</v>
      </c>
      <c r="J44" s="59" t="s">
        <v>86</v>
      </c>
      <c r="K44" s="137"/>
      <c r="L44" s="135" t="s">
        <v>74</v>
      </c>
      <c r="N44" s="135" t="s">
        <v>75</v>
      </c>
      <c r="P44" s="135" t="s">
        <v>76</v>
      </c>
      <c r="R44" s="59" t="s">
        <v>86</v>
      </c>
    </row>
    <row r="45" spans="1:18">
      <c r="A45" s="133">
        <f t="shared" si="5"/>
        <v>37</v>
      </c>
      <c r="B45" s="183" t="s">
        <v>1033</v>
      </c>
      <c r="C45" s="184"/>
      <c r="D45" s="63"/>
      <c r="F45" s="63"/>
      <c r="H45" s="63"/>
      <c r="J45" s="83"/>
      <c r="K45" s="137"/>
    </row>
    <row r="46" spans="1:18">
      <c r="A46" s="133">
        <f t="shared" si="5"/>
        <v>38</v>
      </c>
      <c r="C46" s="65" t="s">
        <v>250</v>
      </c>
      <c r="D46" s="151"/>
      <c r="E46" s="142"/>
      <c r="F46" s="151">
        <v>0</v>
      </c>
      <c r="G46" s="142"/>
      <c r="H46" s="341">
        <v>338826269.85094285</v>
      </c>
      <c r="I46" s="152"/>
      <c r="J46" s="166">
        <f t="shared" ref="J46:J58" si="6">SUM(D46:I46)</f>
        <v>338826269.85094285</v>
      </c>
      <c r="K46" s="137"/>
      <c r="L46" s="151"/>
      <c r="M46" s="142"/>
      <c r="N46" s="151">
        <v>0</v>
      </c>
      <c r="O46" s="142"/>
      <c r="P46" s="151">
        <f>H46</f>
        <v>338826269.85094285</v>
      </c>
      <c r="Q46" s="152"/>
      <c r="R46" s="166">
        <f t="shared" ref="R46:R58" si="7">SUM(L46:Q46)</f>
        <v>338826269.85094285</v>
      </c>
    </row>
    <row r="47" spans="1:18">
      <c r="A47" s="133">
        <f t="shared" si="5"/>
        <v>39</v>
      </c>
      <c r="C47" s="65" t="s">
        <v>340</v>
      </c>
      <c r="D47" s="142"/>
      <c r="E47" s="142"/>
      <c r="F47" s="142">
        <v>0</v>
      </c>
      <c r="G47" s="142"/>
      <c r="H47" s="340">
        <v>289358478.44988507</v>
      </c>
      <c r="I47" s="152"/>
      <c r="J47" s="167">
        <f t="shared" si="6"/>
        <v>289358478.44988507</v>
      </c>
      <c r="K47" s="137"/>
      <c r="L47" s="142"/>
      <c r="M47" s="142"/>
      <c r="N47" s="142">
        <v>0</v>
      </c>
      <c r="O47" s="142"/>
      <c r="P47" s="142">
        <f>H47</f>
        <v>289358478.44988507</v>
      </c>
      <c r="Q47" s="152"/>
      <c r="R47" s="167">
        <f t="shared" si="7"/>
        <v>289358478.44988507</v>
      </c>
    </row>
    <row r="48" spans="1:18">
      <c r="A48" s="133">
        <f t="shared" si="5"/>
        <v>40</v>
      </c>
      <c r="C48" s="65" t="s">
        <v>47</v>
      </c>
      <c r="D48" s="142"/>
      <c r="E48" s="142"/>
      <c r="F48" s="142">
        <v>0</v>
      </c>
      <c r="G48" s="142"/>
      <c r="H48" s="340">
        <v>291749860.66288894</v>
      </c>
      <c r="I48" s="152"/>
      <c r="J48" s="167">
        <f t="shared" si="6"/>
        <v>291749860.66288894</v>
      </c>
      <c r="K48" s="137"/>
      <c r="L48" s="142"/>
      <c r="M48" s="142"/>
      <c r="N48" s="142">
        <v>0</v>
      </c>
      <c r="O48" s="142"/>
      <c r="P48" s="142">
        <f t="shared" ref="P48:P58" si="8">H48</f>
        <v>291749860.66288894</v>
      </c>
      <c r="Q48" s="152"/>
      <c r="R48" s="167">
        <f t="shared" si="7"/>
        <v>291749860.66288894</v>
      </c>
    </row>
    <row r="49" spans="1:18">
      <c r="A49" s="133">
        <f t="shared" si="5"/>
        <v>41</v>
      </c>
      <c r="C49" s="65" t="s">
        <v>48</v>
      </c>
      <c r="D49" s="142"/>
      <c r="E49" s="142"/>
      <c r="F49" s="142">
        <v>0</v>
      </c>
      <c r="G49" s="142"/>
      <c r="H49" s="340">
        <v>271844363.51144671</v>
      </c>
      <c r="I49" s="152"/>
      <c r="J49" s="167">
        <f t="shared" si="6"/>
        <v>271844363.51144671</v>
      </c>
      <c r="K49" s="137"/>
      <c r="L49" s="142"/>
      <c r="M49" s="142"/>
      <c r="N49" s="142">
        <v>0</v>
      </c>
      <c r="O49" s="142"/>
      <c r="P49" s="142">
        <f t="shared" si="8"/>
        <v>271844363.51144671</v>
      </c>
      <c r="Q49" s="152"/>
      <c r="R49" s="167">
        <f t="shared" si="7"/>
        <v>271844363.51144671</v>
      </c>
    </row>
    <row r="50" spans="1:18">
      <c r="A50" s="133">
        <f t="shared" si="5"/>
        <v>42</v>
      </c>
      <c r="C50" s="65" t="s">
        <v>49</v>
      </c>
      <c r="D50" s="142"/>
      <c r="E50" s="142"/>
      <c r="F50" s="142">
        <v>0</v>
      </c>
      <c r="G50" s="142"/>
      <c r="H50" s="340">
        <v>283062530.82028478</v>
      </c>
      <c r="I50" s="152"/>
      <c r="J50" s="167">
        <f>SUM(D50:I50)</f>
        <v>283062530.82028478</v>
      </c>
      <c r="K50" s="137"/>
      <c r="L50" s="142"/>
      <c r="M50" s="142"/>
      <c r="N50" s="142">
        <v>0</v>
      </c>
      <c r="O50" s="142"/>
      <c r="P50" s="142">
        <f t="shared" si="8"/>
        <v>283062530.82028478</v>
      </c>
      <c r="Q50" s="152"/>
      <c r="R50" s="167">
        <f t="shared" si="7"/>
        <v>283062530.82028478</v>
      </c>
    </row>
    <row r="51" spans="1:18">
      <c r="A51" s="133">
        <f t="shared" si="5"/>
        <v>43</v>
      </c>
      <c r="C51" s="65" t="s">
        <v>21</v>
      </c>
      <c r="D51" s="142"/>
      <c r="E51" s="142"/>
      <c r="F51" s="142">
        <v>0</v>
      </c>
      <c r="G51" s="142"/>
      <c r="H51" s="340">
        <v>193785349.61681485</v>
      </c>
      <c r="I51" s="152"/>
      <c r="J51" s="167">
        <f t="shared" si="6"/>
        <v>193785349.61681485</v>
      </c>
      <c r="K51" s="137"/>
      <c r="L51" s="142"/>
      <c r="M51" s="142"/>
      <c r="N51" s="142">
        <v>0</v>
      </c>
      <c r="O51" s="142"/>
      <c r="P51" s="142">
        <f t="shared" si="8"/>
        <v>193785349.61681485</v>
      </c>
      <c r="Q51" s="152"/>
      <c r="R51" s="167">
        <f t="shared" si="7"/>
        <v>193785349.61681485</v>
      </c>
    </row>
    <row r="52" spans="1:18">
      <c r="A52" s="133">
        <f t="shared" si="5"/>
        <v>44</v>
      </c>
      <c r="C52" s="65" t="s">
        <v>50</v>
      </c>
      <c r="D52" s="142"/>
      <c r="E52" s="142"/>
      <c r="F52" s="142">
        <v>0</v>
      </c>
      <c r="G52" s="142"/>
      <c r="H52" s="340">
        <v>57408398.950587019</v>
      </c>
      <c r="I52" s="152"/>
      <c r="J52" s="167">
        <f t="shared" si="6"/>
        <v>57408398.950587019</v>
      </c>
      <c r="K52" s="137"/>
      <c r="L52" s="142"/>
      <c r="M52" s="142"/>
      <c r="N52" s="142">
        <v>0</v>
      </c>
      <c r="O52" s="142"/>
      <c r="P52" s="142">
        <f t="shared" si="8"/>
        <v>57408398.950587019</v>
      </c>
      <c r="Q52" s="152"/>
      <c r="R52" s="167">
        <f t="shared" si="7"/>
        <v>57408398.950587019</v>
      </c>
    </row>
    <row r="53" spans="1:18">
      <c r="A53" s="133">
        <f t="shared" si="5"/>
        <v>45</v>
      </c>
      <c r="C53" s="65" t="s">
        <v>51</v>
      </c>
      <c r="D53" s="142"/>
      <c r="E53" s="142"/>
      <c r="F53" s="142">
        <v>0</v>
      </c>
      <c r="G53" s="142"/>
      <c r="H53" s="340">
        <v>62048854.223168857</v>
      </c>
      <c r="I53" s="152"/>
      <c r="J53" s="167">
        <f t="shared" si="6"/>
        <v>62048854.223168857</v>
      </c>
      <c r="K53" s="137"/>
      <c r="L53" s="142"/>
      <c r="M53" s="142"/>
      <c r="N53" s="142">
        <v>0</v>
      </c>
      <c r="O53" s="142"/>
      <c r="P53" s="142">
        <f t="shared" si="8"/>
        <v>62048854.223168857</v>
      </c>
      <c r="Q53" s="152"/>
      <c r="R53" s="167">
        <f t="shared" si="7"/>
        <v>62048854.223168857</v>
      </c>
    </row>
    <row r="54" spans="1:18">
      <c r="A54" s="133">
        <f t="shared" si="5"/>
        <v>46</v>
      </c>
      <c r="C54" s="65" t="s">
        <v>52</v>
      </c>
      <c r="D54" s="142"/>
      <c r="E54" s="142"/>
      <c r="F54" s="142">
        <v>0</v>
      </c>
      <c r="G54" s="142"/>
      <c r="H54" s="340">
        <v>66961645.177718922</v>
      </c>
      <c r="I54" s="152"/>
      <c r="J54" s="167">
        <f>SUM(D54:I54)</f>
        <v>66961645.177718922</v>
      </c>
      <c r="K54" s="137"/>
      <c r="L54" s="142"/>
      <c r="M54" s="142"/>
      <c r="N54" s="142">
        <v>0</v>
      </c>
      <c r="O54" s="142"/>
      <c r="P54" s="142">
        <f t="shared" si="8"/>
        <v>66961645.177718922</v>
      </c>
      <c r="Q54" s="152"/>
      <c r="R54" s="167">
        <f t="shared" si="7"/>
        <v>66961645.177718922</v>
      </c>
    </row>
    <row r="55" spans="1:18">
      <c r="A55" s="133">
        <f t="shared" si="5"/>
        <v>47</v>
      </c>
      <c r="C55" s="65" t="s">
        <v>53</v>
      </c>
      <c r="D55" s="142"/>
      <c r="E55" s="142"/>
      <c r="F55" s="142">
        <v>0</v>
      </c>
      <c r="G55" s="142"/>
      <c r="H55" s="340">
        <v>70379289.329248205</v>
      </c>
      <c r="I55" s="152"/>
      <c r="J55" s="167">
        <f>SUM(D55:I55)</f>
        <v>70379289.329248205</v>
      </c>
      <c r="K55" s="137"/>
      <c r="L55" s="142"/>
      <c r="M55" s="142"/>
      <c r="N55" s="142">
        <v>0</v>
      </c>
      <c r="O55" s="142"/>
      <c r="P55" s="142">
        <f t="shared" si="8"/>
        <v>70379289.329248205</v>
      </c>
      <c r="Q55" s="152"/>
      <c r="R55" s="167">
        <f t="shared" si="7"/>
        <v>70379289.329248205</v>
      </c>
    </row>
    <row r="56" spans="1:18">
      <c r="A56" s="133">
        <f t="shared" si="5"/>
        <v>48</v>
      </c>
      <c r="C56" s="65" t="s">
        <v>54</v>
      </c>
      <c r="D56" s="142"/>
      <c r="E56" s="142"/>
      <c r="F56" s="142">
        <v>0</v>
      </c>
      <c r="G56" s="142"/>
      <c r="H56" s="340">
        <v>50227025.870270394</v>
      </c>
      <c r="I56" s="152"/>
      <c r="J56" s="167">
        <f t="shared" si="6"/>
        <v>50227025.870270394</v>
      </c>
      <c r="K56" s="137"/>
      <c r="L56" s="142"/>
      <c r="M56" s="142"/>
      <c r="N56" s="142">
        <v>0</v>
      </c>
      <c r="O56" s="142"/>
      <c r="P56" s="142">
        <f t="shared" si="8"/>
        <v>50227025.870270394</v>
      </c>
      <c r="Q56" s="152"/>
      <c r="R56" s="167">
        <f t="shared" si="7"/>
        <v>50227025.870270394</v>
      </c>
    </row>
    <row r="57" spans="1:18">
      <c r="A57" s="133">
        <f t="shared" si="5"/>
        <v>49</v>
      </c>
      <c r="C57" s="65" t="s">
        <v>55</v>
      </c>
      <c r="D57" s="142"/>
      <c r="E57" s="142"/>
      <c r="F57" s="142">
        <v>0</v>
      </c>
      <c r="G57" s="142"/>
      <c r="H57" s="340">
        <v>52182295.215678312</v>
      </c>
      <c r="I57" s="152"/>
      <c r="J57" s="167">
        <f t="shared" si="6"/>
        <v>52182295.215678312</v>
      </c>
      <c r="K57" s="137"/>
      <c r="L57" s="142"/>
      <c r="M57" s="142"/>
      <c r="N57" s="142">
        <v>0</v>
      </c>
      <c r="O57" s="142"/>
      <c r="P57" s="142">
        <f t="shared" si="8"/>
        <v>52182295.215678312</v>
      </c>
      <c r="Q57" s="152"/>
      <c r="R57" s="167">
        <f t="shared" si="7"/>
        <v>52182295.215678312</v>
      </c>
    </row>
    <row r="58" spans="1:18">
      <c r="A58" s="133">
        <f t="shared" si="5"/>
        <v>50</v>
      </c>
      <c r="C58" s="65" t="s">
        <v>339</v>
      </c>
      <c r="D58" s="142"/>
      <c r="E58" s="142"/>
      <c r="F58" s="142">
        <v>0</v>
      </c>
      <c r="G58" s="142"/>
      <c r="H58" s="340">
        <v>2050648.4317877577</v>
      </c>
      <c r="I58" s="152"/>
      <c r="J58" s="167">
        <f t="shared" si="6"/>
        <v>2050648.4317877577</v>
      </c>
      <c r="K58" s="137"/>
      <c r="L58" s="142"/>
      <c r="M58" s="142"/>
      <c r="N58" s="142">
        <v>0</v>
      </c>
      <c r="O58" s="142"/>
      <c r="P58" s="142">
        <f t="shared" si="8"/>
        <v>2050648.4317877577</v>
      </c>
      <c r="Q58" s="152"/>
      <c r="R58" s="167">
        <f t="shared" si="7"/>
        <v>2050648.4317877577</v>
      </c>
    </row>
    <row r="59" spans="1:18">
      <c r="A59" s="133">
        <f t="shared" si="5"/>
        <v>51</v>
      </c>
      <c r="C59" s="65"/>
      <c r="D59" s="72"/>
      <c r="F59" s="72"/>
      <c r="G59" s="73"/>
      <c r="H59" s="72"/>
      <c r="I59" s="73"/>
      <c r="J59" s="76"/>
      <c r="K59" s="137"/>
      <c r="L59" s="72"/>
      <c r="N59" s="72"/>
      <c r="O59" s="73"/>
      <c r="P59" s="72"/>
      <c r="Q59" s="73"/>
      <c r="R59" s="76"/>
    </row>
    <row r="60" spans="1:18" ht="12.75" thickBot="1">
      <c r="A60" s="133">
        <f t="shared" si="5"/>
        <v>52</v>
      </c>
      <c r="C60" s="77" t="s">
        <v>29</v>
      </c>
      <c r="D60" s="78">
        <f>SUM(D46:D58)/13</f>
        <v>0</v>
      </c>
      <c r="E60" s="47"/>
      <c r="F60" s="78">
        <f>SUM(F46:F58)/13</f>
        <v>0</v>
      </c>
      <c r="G60" s="79"/>
      <c r="H60" s="78">
        <f>SUM(H46:H58)/13</f>
        <v>156145000.7777479</v>
      </c>
      <c r="I60" s="80"/>
      <c r="J60" s="82">
        <f>SUM(J46:J58)/13</f>
        <v>156145000.7777479</v>
      </c>
      <c r="K60" s="137"/>
      <c r="L60" s="78">
        <f>SUM(L46:L58)/13</f>
        <v>0</v>
      </c>
      <c r="M60" s="47"/>
      <c r="N60" s="78">
        <f>SUM(N46:N58)/13</f>
        <v>0</v>
      </c>
      <c r="O60" s="79"/>
      <c r="P60" s="78">
        <f>SUM(P46:P58)/13</f>
        <v>156145000.7777479</v>
      </c>
      <c r="Q60" s="80"/>
      <c r="R60" s="82">
        <f>SUM(R46:R58)/13</f>
        <v>156145000.7777479</v>
      </c>
    </row>
    <row r="61" spans="1:18" ht="12.75" thickTop="1">
      <c r="A61" s="133">
        <f t="shared" si="5"/>
        <v>53</v>
      </c>
      <c r="C61" s="19"/>
      <c r="D61" s="19"/>
      <c r="E61" s="19"/>
      <c r="F61" s="19"/>
      <c r="G61" s="19"/>
      <c r="H61" s="19"/>
      <c r="I61" s="19"/>
      <c r="J61" s="19"/>
      <c r="K61" s="137"/>
    </row>
    <row r="62" spans="1:18">
      <c r="A62" s="133">
        <f t="shared" si="5"/>
        <v>54</v>
      </c>
      <c r="C62" s="19"/>
      <c r="D62" s="19"/>
      <c r="E62" s="19"/>
      <c r="F62" s="19"/>
      <c r="G62" s="19"/>
      <c r="H62" s="19"/>
      <c r="I62" s="19"/>
      <c r="J62" s="19"/>
      <c r="K62" s="137"/>
    </row>
    <row r="63" spans="1:18">
      <c r="A63" s="133">
        <f t="shared" si="5"/>
        <v>55</v>
      </c>
      <c r="C63" s="19"/>
      <c r="G63" s="54"/>
      <c r="I63" s="54"/>
      <c r="K63" s="137"/>
    </row>
    <row r="64" spans="1:18">
      <c r="A64" s="133">
        <f t="shared" si="5"/>
        <v>56</v>
      </c>
      <c r="C64" s="19"/>
      <c r="D64" s="1024" t="s">
        <v>84</v>
      </c>
      <c r="E64" s="1024"/>
      <c r="F64" s="1024"/>
      <c r="G64" s="1024"/>
      <c r="H64" s="1024"/>
      <c r="I64" s="1024"/>
      <c r="J64" s="1024"/>
      <c r="K64" s="137"/>
      <c r="L64" s="1024" t="s">
        <v>85</v>
      </c>
      <c r="M64" s="1024"/>
      <c r="N64" s="1024"/>
      <c r="O64" s="1024"/>
      <c r="P64" s="1024"/>
      <c r="Q64" s="1024"/>
      <c r="R64" s="1024"/>
    </row>
    <row r="65" spans="1:18">
      <c r="A65" s="133">
        <f t="shared" si="5"/>
        <v>57</v>
      </c>
      <c r="C65" s="19"/>
      <c r="F65" s="54" t="s">
        <v>73</v>
      </c>
      <c r="J65" s="55" t="s">
        <v>30</v>
      </c>
      <c r="K65" s="137"/>
      <c r="N65" s="54" t="s">
        <v>73</v>
      </c>
      <c r="R65" s="55" t="s">
        <v>30</v>
      </c>
    </row>
    <row r="66" spans="1:18">
      <c r="A66" s="133">
        <f t="shared" si="5"/>
        <v>58</v>
      </c>
      <c r="C66" s="19"/>
      <c r="D66" s="54" t="s">
        <v>74</v>
      </c>
      <c r="F66" s="54" t="s">
        <v>75</v>
      </c>
      <c r="H66" s="54" t="s">
        <v>76</v>
      </c>
      <c r="J66" s="59" t="s">
        <v>86</v>
      </c>
      <c r="K66" s="137"/>
      <c r="L66" s="135" t="s">
        <v>74</v>
      </c>
      <c r="N66" s="135" t="s">
        <v>75</v>
      </c>
      <c r="P66" s="135" t="s">
        <v>76</v>
      </c>
      <c r="R66" s="59" t="s">
        <v>86</v>
      </c>
    </row>
    <row r="67" spans="1:18">
      <c r="A67" s="133">
        <f t="shared" si="5"/>
        <v>59</v>
      </c>
      <c r="B67" s="183" t="s">
        <v>1034</v>
      </c>
      <c r="C67" s="184"/>
      <c r="D67" s="63"/>
      <c r="F67" s="63"/>
      <c r="H67" s="63"/>
      <c r="J67" s="83"/>
      <c r="K67" s="137"/>
    </row>
    <row r="68" spans="1:18">
      <c r="A68" s="133">
        <f t="shared" si="5"/>
        <v>60</v>
      </c>
      <c r="C68" s="65" t="s">
        <v>250</v>
      </c>
      <c r="D68" s="151"/>
      <c r="E68" s="142"/>
      <c r="F68" s="151">
        <v>0</v>
      </c>
      <c r="G68" s="142"/>
      <c r="H68" s="151">
        <v>0</v>
      </c>
      <c r="I68" s="84"/>
      <c r="J68" s="66">
        <f t="shared" ref="J68:J80" si="9">SUM(D68:I68)</f>
        <v>0</v>
      </c>
      <c r="K68" s="137"/>
      <c r="L68" s="151"/>
      <c r="M68" s="142"/>
      <c r="N68" s="151">
        <v>0</v>
      </c>
      <c r="O68" s="142"/>
      <c r="P68" s="151">
        <v>0</v>
      </c>
      <c r="Q68" s="84"/>
      <c r="R68" s="66">
        <f t="shared" ref="R68:R80" si="10">SUM(L68:Q68)</f>
        <v>0</v>
      </c>
    </row>
    <row r="69" spans="1:18">
      <c r="A69" s="133">
        <f t="shared" si="5"/>
        <v>61</v>
      </c>
      <c r="C69" s="65" t="s">
        <v>340</v>
      </c>
      <c r="D69" s="142"/>
      <c r="E69" s="142"/>
      <c r="F69" s="142">
        <v>0</v>
      </c>
      <c r="G69" s="142"/>
      <c r="H69" s="142">
        <v>0</v>
      </c>
      <c r="I69" s="84"/>
      <c r="J69" s="71">
        <f t="shared" si="9"/>
        <v>0</v>
      </c>
      <c r="K69" s="137"/>
      <c r="L69" s="142"/>
      <c r="M69" s="142"/>
      <c r="N69" s="142">
        <v>0</v>
      </c>
      <c r="O69" s="142"/>
      <c r="P69" s="142">
        <v>0</v>
      </c>
      <c r="Q69" s="84"/>
      <c r="R69" s="71">
        <f t="shared" si="10"/>
        <v>0</v>
      </c>
    </row>
    <row r="70" spans="1:18">
      <c r="A70" s="133">
        <f t="shared" si="5"/>
        <v>62</v>
      </c>
      <c r="C70" s="65" t="s">
        <v>47</v>
      </c>
      <c r="D70" s="142"/>
      <c r="E70" s="142"/>
      <c r="F70" s="142">
        <v>0</v>
      </c>
      <c r="G70" s="142"/>
      <c r="H70" s="142">
        <v>0</v>
      </c>
      <c r="I70" s="84"/>
      <c r="J70" s="71">
        <f t="shared" si="9"/>
        <v>0</v>
      </c>
      <c r="K70" s="137"/>
      <c r="L70" s="142"/>
      <c r="M70" s="142"/>
      <c r="N70" s="142">
        <v>0</v>
      </c>
      <c r="O70" s="142"/>
      <c r="P70" s="142">
        <v>0</v>
      </c>
      <c r="Q70" s="84"/>
      <c r="R70" s="71">
        <f t="shared" si="10"/>
        <v>0</v>
      </c>
    </row>
    <row r="71" spans="1:18">
      <c r="A71" s="133">
        <f t="shared" si="5"/>
        <v>63</v>
      </c>
      <c r="C71" s="65" t="s">
        <v>48</v>
      </c>
      <c r="D71" s="142"/>
      <c r="E71" s="142"/>
      <c r="F71" s="142">
        <v>0</v>
      </c>
      <c r="G71" s="142"/>
      <c r="H71" s="142">
        <v>0</v>
      </c>
      <c r="I71" s="84"/>
      <c r="J71" s="71">
        <f t="shared" si="9"/>
        <v>0</v>
      </c>
      <c r="K71" s="137"/>
      <c r="L71" s="142"/>
      <c r="M71" s="142"/>
      <c r="N71" s="142">
        <v>0</v>
      </c>
      <c r="O71" s="142"/>
      <c r="P71" s="142">
        <v>0</v>
      </c>
      <c r="Q71" s="84"/>
      <c r="R71" s="71">
        <f t="shared" si="10"/>
        <v>0</v>
      </c>
    </row>
    <row r="72" spans="1:18">
      <c r="A72" s="133">
        <f t="shared" si="5"/>
        <v>64</v>
      </c>
      <c r="C72" s="65" t="s">
        <v>49</v>
      </c>
      <c r="D72" s="142"/>
      <c r="E72" s="142"/>
      <c r="F72" s="142">
        <v>0</v>
      </c>
      <c r="G72" s="142"/>
      <c r="H72" s="142">
        <v>0</v>
      </c>
      <c r="I72" s="84"/>
      <c r="J72" s="71">
        <f t="shared" si="9"/>
        <v>0</v>
      </c>
      <c r="K72" s="137"/>
      <c r="L72" s="142"/>
      <c r="M72" s="142"/>
      <c r="N72" s="142">
        <v>0</v>
      </c>
      <c r="O72" s="142"/>
      <c r="P72" s="142">
        <v>0</v>
      </c>
      <c r="Q72" s="84"/>
      <c r="R72" s="71">
        <f t="shared" si="10"/>
        <v>0</v>
      </c>
    </row>
    <row r="73" spans="1:18">
      <c r="A73" s="133">
        <f t="shared" si="5"/>
        <v>65</v>
      </c>
      <c r="C73" s="65" t="s">
        <v>21</v>
      </c>
      <c r="D73" s="142"/>
      <c r="E73" s="142"/>
      <c r="F73" s="142">
        <v>0</v>
      </c>
      <c r="G73" s="142"/>
      <c r="H73" s="142">
        <v>0</v>
      </c>
      <c r="I73" s="84"/>
      <c r="J73" s="71">
        <f t="shared" si="9"/>
        <v>0</v>
      </c>
      <c r="K73" s="137"/>
      <c r="L73" s="142"/>
      <c r="M73" s="142"/>
      <c r="N73" s="142">
        <v>0</v>
      </c>
      <c r="O73" s="142"/>
      <c r="P73" s="142">
        <v>0</v>
      </c>
      <c r="Q73" s="84"/>
      <c r="R73" s="71">
        <f t="shared" si="10"/>
        <v>0</v>
      </c>
    </row>
    <row r="74" spans="1:18">
      <c r="A74" s="133">
        <f t="shared" ref="A74:A82" si="11">+A73+1</f>
        <v>66</v>
      </c>
      <c r="C74" s="65" t="s">
        <v>50</v>
      </c>
      <c r="D74" s="142"/>
      <c r="E74" s="142"/>
      <c r="F74" s="142">
        <v>0</v>
      </c>
      <c r="G74" s="142"/>
      <c r="H74" s="142">
        <v>0</v>
      </c>
      <c r="I74" s="84"/>
      <c r="J74" s="71">
        <f t="shared" si="9"/>
        <v>0</v>
      </c>
      <c r="K74" s="137"/>
      <c r="L74" s="142"/>
      <c r="M74" s="142"/>
      <c r="N74" s="142">
        <v>0</v>
      </c>
      <c r="O74" s="142"/>
      <c r="P74" s="142">
        <v>0</v>
      </c>
      <c r="Q74" s="84"/>
      <c r="R74" s="71">
        <f t="shared" si="10"/>
        <v>0</v>
      </c>
    </row>
    <row r="75" spans="1:18">
      <c r="A75" s="133">
        <f t="shared" si="11"/>
        <v>67</v>
      </c>
      <c r="C75" s="65" t="s">
        <v>51</v>
      </c>
      <c r="D75" s="142"/>
      <c r="E75" s="142"/>
      <c r="F75" s="142">
        <v>0</v>
      </c>
      <c r="G75" s="142"/>
      <c r="H75" s="142">
        <v>0</v>
      </c>
      <c r="I75" s="84"/>
      <c r="J75" s="71">
        <f t="shared" si="9"/>
        <v>0</v>
      </c>
      <c r="K75" s="137"/>
      <c r="L75" s="142"/>
      <c r="M75" s="142"/>
      <c r="N75" s="142">
        <v>0</v>
      </c>
      <c r="O75" s="142"/>
      <c r="P75" s="142">
        <v>0</v>
      </c>
      <c r="Q75" s="84"/>
      <c r="R75" s="71">
        <f t="shared" si="10"/>
        <v>0</v>
      </c>
    </row>
    <row r="76" spans="1:18">
      <c r="A76" s="133">
        <f t="shared" si="11"/>
        <v>68</v>
      </c>
      <c r="C76" s="65" t="s">
        <v>52</v>
      </c>
      <c r="D76" s="142"/>
      <c r="E76" s="142"/>
      <c r="F76" s="142">
        <v>0</v>
      </c>
      <c r="G76" s="142"/>
      <c r="H76" s="142">
        <v>0</v>
      </c>
      <c r="I76" s="84"/>
      <c r="J76" s="71">
        <f t="shared" si="9"/>
        <v>0</v>
      </c>
      <c r="K76" s="137"/>
      <c r="L76" s="142"/>
      <c r="M76" s="142"/>
      <c r="N76" s="142">
        <v>0</v>
      </c>
      <c r="O76" s="142"/>
      <c r="P76" s="142">
        <v>0</v>
      </c>
      <c r="Q76" s="84"/>
      <c r="R76" s="71">
        <f t="shared" si="10"/>
        <v>0</v>
      </c>
    </row>
    <row r="77" spans="1:18">
      <c r="A77" s="133">
        <f t="shared" si="11"/>
        <v>69</v>
      </c>
      <c r="C77" s="65" t="s">
        <v>53</v>
      </c>
      <c r="D77" s="142"/>
      <c r="E77" s="142"/>
      <c r="F77" s="142">
        <v>0</v>
      </c>
      <c r="G77" s="142"/>
      <c r="H77" s="142">
        <v>0</v>
      </c>
      <c r="I77" s="84"/>
      <c r="J77" s="71">
        <f t="shared" si="9"/>
        <v>0</v>
      </c>
      <c r="K77" s="137"/>
      <c r="L77" s="142"/>
      <c r="M77" s="142"/>
      <c r="N77" s="142">
        <v>0</v>
      </c>
      <c r="O77" s="142"/>
      <c r="P77" s="142">
        <v>0</v>
      </c>
      <c r="Q77" s="84"/>
      <c r="R77" s="71">
        <f t="shared" si="10"/>
        <v>0</v>
      </c>
    </row>
    <row r="78" spans="1:18">
      <c r="A78" s="133">
        <f t="shared" si="11"/>
        <v>70</v>
      </c>
      <c r="C78" s="65" t="s">
        <v>54</v>
      </c>
      <c r="D78" s="142"/>
      <c r="E78" s="142"/>
      <c r="F78" s="142">
        <v>0</v>
      </c>
      <c r="G78" s="142"/>
      <c r="H78" s="142">
        <v>0</v>
      </c>
      <c r="I78" s="84"/>
      <c r="J78" s="71">
        <f t="shared" si="9"/>
        <v>0</v>
      </c>
      <c r="K78" s="137"/>
      <c r="L78" s="142"/>
      <c r="M78" s="142"/>
      <c r="N78" s="142">
        <v>0</v>
      </c>
      <c r="O78" s="142"/>
      <c r="P78" s="142">
        <v>0</v>
      </c>
      <c r="Q78" s="84"/>
      <c r="R78" s="71">
        <f t="shared" si="10"/>
        <v>0</v>
      </c>
    </row>
    <row r="79" spans="1:18">
      <c r="A79" s="133">
        <f t="shared" si="11"/>
        <v>71</v>
      </c>
      <c r="C79" s="65" t="s">
        <v>55</v>
      </c>
      <c r="D79" s="142"/>
      <c r="E79" s="142"/>
      <c r="F79" s="142">
        <v>0</v>
      </c>
      <c r="G79" s="142"/>
      <c r="H79" s="142">
        <v>0</v>
      </c>
      <c r="I79" s="84"/>
      <c r="J79" s="71">
        <f t="shared" si="9"/>
        <v>0</v>
      </c>
      <c r="K79" s="137"/>
      <c r="L79" s="142"/>
      <c r="M79" s="142"/>
      <c r="N79" s="142">
        <v>0</v>
      </c>
      <c r="O79" s="142"/>
      <c r="P79" s="142">
        <v>0</v>
      </c>
      <c r="Q79" s="84"/>
      <c r="R79" s="71">
        <f t="shared" si="10"/>
        <v>0</v>
      </c>
    </row>
    <row r="80" spans="1:18">
      <c r="A80" s="133">
        <f t="shared" si="11"/>
        <v>72</v>
      </c>
      <c r="C80" s="65" t="s">
        <v>339</v>
      </c>
      <c r="D80" s="142"/>
      <c r="E80" s="142"/>
      <c r="F80" s="142">
        <v>0</v>
      </c>
      <c r="G80" s="142"/>
      <c r="H80" s="142">
        <v>0</v>
      </c>
      <c r="I80" s="84"/>
      <c r="J80" s="71">
        <f t="shared" si="9"/>
        <v>0</v>
      </c>
      <c r="K80" s="137"/>
      <c r="L80" s="142"/>
      <c r="M80" s="142"/>
      <c r="N80" s="142">
        <v>0</v>
      </c>
      <c r="O80" s="142"/>
      <c r="P80" s="142">
        <v>0</v>
      </c>
      <c r="Q80" s="84"/>
      <c r="R80" s="71">
        <f t="shared" si="10"/>
        <v>0</v>
      </c>
    </row>
    <row r="81" spans="1:18">
      <c r="A81" s="133">
        <f t="shared" si="11"/>
        <v>73</v>
      </c>
      <c r="C81" s="65"/>
      <c r="D81" s="72"/>
      <c r="F81" s="72"/>
      <c r="G81" s="73"/>
      <c r="H81" s="72"/>
      <c r="I81" s="73"/>
      <c r="J81" s="76"/>
      <c r="K81" s="137"/>
      <c r="L81" s="72"/>
      <c r="N81" s="72"/>
      <c r="O81" s="73"/>
      <c r="P81" s="72"/>
      <c r="Q81" s="73"/>
      <c r="R81" s="76"/>
    </row>
    <row r="82" spans="1:18" ht="12.75" thickBot="1">
      <c r="A82" s="133">
        <f t="shared" si="11"/>
        <v>74</v>
      </c>
      <c r="C82" s="77" t="s">
        <v>29</v>
      </c>
      <c r="D82" s="78">
        <f>SUM(D68:D80)/13</f>
        <v>0</v>
      </c>
      <c r="E82" s="47"/>
      <c r="F82" s="78">
        <f>SUM(F68:F80)/13</f>
        <v>0</v>
      </c>
      <c r="G82" s="79"/>
      <c r="H82" s="78">
        <f>SUM(H68:H80)/13</f>
        <v>0</v>
      </c>
      <c r="I82" s="80"/>
      <c r="J82" s="82">
        <f>SUM(J68:J80)/13</f>
        <v>0</v>
      </c>
      <c r="K82" s="137"/>
      <c r="L82" s="78">
        <f>SUM(L68:L80)/13</f>
        <v>0</v>
      </c>
      <c r="M82" s="47"/>
      <c r="N82" s="78">
        <f>SUM(N68:N80)/13</f>
        <v>0</v>
      </c>
      <c r="O82" s="79"/>
      <c r="P82" s="78">
        <f>SUM(P68:P80)/13</f>
        <v>0</v>
      </c>
      <c r="Q82" s="80"/>
      <c r="R82" s="82">
        <f>SUM(R68:R80)/13</f>
        <v>0</v>
      </c>
    </row>
    <row r="83" spans="1:18" ht="12.75" thickTop="1"/>
    <row r="86" spans="1:18" ht="15.75" customHeight="1">
      <c r="A86" s="1023" t="s">
        <v>233</v>
      </c>
      <c r="B86" s="1023"/>
      <c r="C86" s="1023"/>
      <c r="D86" s="1023"/>
      <c r="E86" s="1023"/>
      <c r="F86" s="1023"/>
      <c r="G86" s="1023"/>
      <c r="H86" s="1023"/>
      <c r="I86" s="1023"/>
      <c r="J86" s="1023"/>
      <c r="K86" s="1023"/>
      <c r="L86" s="1023"/>
      <c r="M86" s="1023"/>
      <c r="N86" s="1023"/>
      <c r="O86" s="1023"/>
      <c r="P86" s="1023"/>
      <c r="Q86" s="1023"/>
      <c r="R86" s="1023"/>
    </row>
  </sheetData>
  <mergeCells count="7">
    <mergeCell ref="A86:R86"/>
    <mergeCell ref="L20:R20"/>
    <mergeCell ref="L42:R42"/>
    <mergeCell ref="L64:R64"/>
    <mergeCell ref="D20:J20"/>
    <mergeCell ref="D42:J42"/>
    <mergeCell ref="D64:J64"/>
  </mergeCells>
  <phoneticPr fontId="10" type="noConversion"/>
  <pageMargins left="0.5" right="0.25" top="0.5" bottom="0.25" header="0.75" footer="0.5"/>
  <pageSetup scale="71" orientation="portrait" horizontalDpi="1200" verticalDpi="1200" r:id="rId1"/>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42"/>
    <pageSetUpPr autoPageBreaks="0" fitToPage="1"/>
  </sheetPr>
  <dimension ref="A1:T83"/>
  <sheetViews>
    <sheetView showGridLines="0" topLeftCell="A31" zoomScaleNormal="75" workbookViewId="0">
      <selection activeCell="R52" sqref="R52"/>
    </sheetView>
  </sheetViews>
  <sheetFormatPr defaultColWidth="14.44140625" defaultRowHeight="12"/>
  <cols>
    <col min="1" max="1" width="4.77734375" style="51" customWidth="1"/>
    <col min="2" max="2" width="2.77734375" style="49" customWidth="1"/>
    <col min="3" max="3" width="26" style="49" customWidth="1"/>
    <col min="4" max="4" width="14.44140625" style="49" customWidth="1"/>
    <col min="5" max="5" width="0.88671875" style="49" customWidth="1"/>
    <col min="6" max="6" width="16.77734375" style="49" bestFit="1" customWidth="1"/>
    <col min="7" max="7" width="0.88671875" style="49" customWidth="1"/>
    <col min="8" max="8" width="14" style="49" bestFit="1" customWidth="1"/>
    <col min="9" max="9" width="0.88671875" style="49" customWidth="1"/>
    <col min="10" max="10" width="14" style="49" bestFit="1" customWidth="1"/>
    <col min="11" max="11" width="0.88671875" style="87" hidden="1" customWidth="1"/>
    <col min="12" max="12" width="14" style="87" hidden="1" customWidth="1"/>
    <col min="13" max="13" width="0.88671875" style="49" customWidth="1"/>
    <col min="14" max="14" width="9.88671875" style="49" bestFit="1" customWidth="1"/>
    <col min="15" max="15" width="0.88671875" style="49" customWidth="1"/>
    <col min="16" max="16" width="12.6640625" style="49" bestFit="1" customWidth="1"/>
    <col min="17" max="17" width="0.6640625" style="49" customWidth="1"/>
    <col min="18" max="18" width="12.5546875" style="49" bestFit="1" customWidth="1"/>
    <col min="19" max="19" width="0.6640625" style="49" customWidth="1"/>
    <col min="20" max="20" width="15.44140625" style="49" bestFit="1" customWidth="1"/>
    <col min="21" max="16384" width="14.44140625" style="49"/>
  </cols>
  <sheetData>
    <row r="1" spans="1:20">
      <c r="A1" s="6" t="s">
        <v>1030</v>
      </c>
      <c r="B1" s="47"/>
      <c r="C1" s="47"/>
      <c r="D1" s="47"/>
      <c r="E1" s="47"/>
      <c r="F1" s="47"/>
      <c r="G1" s="47"/>
      <c r="H1" s="47"/>
      <c r="I1" s="47"/>
      <c r="J1" s="47"/>
      <c r="K1" s="141"/>
      <c r="L1" s="141"/>
      <c r="M1" s="47"/>
      <c r="N1" s="47"/>
      <c r="O1" s="47"/>
      <c r="P1" s="47"/>
      <c r="Q1" s="47"/>
      <c r="R1" s="47"/>
      <c r="S1" s="47"/>
      <c r="T1" s="48" t="str">
        <f>'Cover Rev 2'!C1</f>
        <v>2015 Workpapers</v>
      </c>
    </row>
    <row r="2" spans="1:20">
      <c r="A2" s="6" t="s">
        <v>1037</v>
      </c>
      <c r="B2" s="47"/>
      <c r="C2" s="47"/>
      <c r="D2" s="47"/>
      <c r="E2" s="47"/>
      <c r="F2" s="47"/>
      <c r="G2" s="47"/>
      <c r="H2" s="451"/>
      <c r="I2" s="47"/>
      <c r="J2" s="47"/>
      <c r="K2" s="141"/>
      <c r="L2" s="141"/>
      <c r="M2" s="47"/>
      <c r="N2" s="47"/>
      <c r="O2" s="47"/>
      <c r="P2" s="47"/>
      <c r="Q2" s="47"/>
      <c r="R2" s="47"/>
      <c r="S2" s="47"/>
      <c r="T2" s="50"/>
    </row>
    <row r="3" spans="1:20">
      <c r="A3" s="6" t="s">
        <v>337</v>
      </c>
      <c r="B3" s="47"/>
      <c r="C3" s="47"/>
      <c r="D3" s="47" t="s">
        <v>5</v>
      </c>
      <c r="E3" s="47"/>
      <c r="G3" s="47"/>
      <c r="H3" s="87"/>
      <c r="I3" s="141"/>
      <c r="J3" s="176"/>
      <c r="K3" s="141"/>
      <c r="L3" s="176"/>
      <c r="M3" s="141"/>
      <c r="N3" s="141"/>
      <c r="O3" s="47"/>
      <c r="P3" s="47"/>
      <c r="Q3" s="47"/>
      <c r="R3" s="47"/>
      <c r="S3" s="47"/>
    </row>
    <row r="4" spans="1:20">
      <c r="A4" s="483" t="s">
        <v>232</v>
      </c>
      <c r="H4" s="87"/>
      <c r="I4" s="87"/>
      <c r="J4" s="87"/>
      <c r="M4" s="87"/>
      <c r="N4" s="87"/>
    </row>
    <row r="5" spans="1:20">
      <c r="B5" s="52"/>
    </row>
    <row r="6" spans="1:20">
      <c r="B6" s="52"/>
    </row>
    <row r="7" spans="1:20">
      <c r="A7" s="19"/>
      <c r="B7" s="19"/>
      <c r="C7" s="19"/>
      <c r="D7" s="1025" t="s">
        <v>1038</v>
      </c>
      <c r="E7" s="1025"/>
      <c r="F7" s="1025"/>
      <c r="G7" s="1025"/>
      <c r="H7" s="1025"/>
      <c r="I7" s="1025"/>
      <c r="J7" s="1025"/>
      <c r="K7" s="365"/>
      <c r="L7" s="366" t="s">
        <v>112</v>
      </c>
      <c r="M7" s="54"/>
      <c r="N7" s="1024" t="s">
        <v>1039</v>
      </c>
      <c r="O7" s="1024"/>
      <c r="P7" s="1024"/>
      <c r="Q7" s="1024"/>
      <c r="R7" s="1024"/>
      <c r="S7" s="54"/>
      <c r="T7" s="55"/>
    </row>
    <row r="8" spans="1:20">
      <c r="D8" s="69"/>
      <c r="E8" s="67"/>
      <c r="F8" s="69"/>
      <c r="G8" s="67"/>
      <c r="H8" s="69"/>
      <c r="I8" s="69"/>
      <c r="J8" s="69"/>
      <c r="K8" s="365"/>
      <c r="L8" s="367"/>
      <c r="M8" s="54"/>
      <c r="N8" s="69"/>
      <c r="O8" s="69"/>
      <c r="P8" s="69"/>
      <c r="Q8" s="54"/>
      <c r="R8" s="57" t="s">
        <v>1043</v>
      </c>
      <c r="S8" s="54"/>
      <c r="T8" s="55" t="s">
        <v>23</v>
      </c>
    </row>
    <row r="9" spans="1:20">
      <c r="A9" s="51" t="s">
        <v>46</v>
      </c>
      <c r="D9" s="54" t="s">
        <v>56</v>
      </c>
      <c r="E9" s="57"/>
      <c r="F9" s="54" t="s">
        <v>56</v>
      </c>
      <c r="G9" s="57"/>
      <c r="H9" s="57" t="s">
        <v>56</v>
      </c>
      <c r="I9" s="57"/>
      <c r="J9" s="54" t="s">
        <v>56</v>
      </c>
      <c r="L9" s="365" t="s">
        <v>56</v>
      </c>
      <c r="N9" s="57" t="s">
        <v>1041</v>
      </c>
      <c r="O9" s="57"/>
      <c r="P9" s="57" t="s">
        <v>97</v>
      </c>
      <c r="R9" s="55" t="s">
        <v>1044</v>
      </c>
      <c r="T9" s="55" t="s">
        <v>42</v>
      </c>
    </row>
    <row r="10" spans="1:20">
      <c r="A10" s="58" t="s">
        <v>22</v>
      </c>
      <c r="D10" s="54">
        <v>281</v>
      </c>
      <c r="E10" s="57"/>
      <c r="F10" s="55">
        <v>282</v>
      </c>
      <c r="G10" s="57"/>
      <c r="H10" s="54">
        <v>283</v>
      </c>
      <c r="J10" s="54">
        <v>190</v>
      </c>
      <c r="L10" s="365">
        <v>255</v>
      </c>
      <c r="N10" s="54" t="s">
        <v>1042</v>
      </c>
      <c r="P10" s="59" t="s">
        <v>1044</v>
      </c>
      <c r="Q10" s="55"/>
      <c r="R10" s="59" t="s">
        <v>95</v>
      </c>
      <c r="S10" s="55"/>
      <c r="T10" s="59" t="s">
        <v>1040</v>
      </c>
    </row>
    <row r="11" spans="1:20">
      <c r="A11" s="60" t="s">
        <v>27</v>
      </c>
      <c r="B11" s="61" t="s">
        <v>1031</v>
      </c>
      <c r="C11" s="62"/>
      <c r="D11" s="63"/>
      <c r="F11" s="63"/>
      <c r="H11" s="63"/>
      <c r="J11" s="63"/>
      <c r="L11" s="368"/>
      <c r="N11" s="63"/>
      <c r="T11" s="63"/>
    </row>
    <row r="12" spans="1:20">
      <c r="A12" s="64">
        <f t="shared" ref="A12:A77" si="0">+A11+1</f>
        <v>2</v>
      </c>
      <c r="C12" s="65" t="s">
        <v>250</v>
      </c>
      <c r="D12" s="66">
        <f t="shared" ref="D12:D24" si="1">+D38+D64</f>
        <v>-36872084</v>
      </c>
      <c r="E12" s="67"/>
      <c r="F12" s="66">
        <f t="shared" ref="F12:F24" si="2">+F38+F64</f>
        <v>-2807678156.730113</v>
      </c>
      <c r="G12" s="67"/>
      <c r="H12" s="66">
        <f t="shared" ref="H12:Q24" si="3">+H38+H64</f>
        <v>-212835944.93644845</v>
      </c>
      <c r="I12" s="66">
        <f t="shared" si="3"/>
        <v>0</v>
      </c>
      <c r="J12" s="66">
        <f t="shared" si="3"/>
        <v>701031485.27220213</v>
      </c>
      <c r="K12" s="166">
        <f t="shared" si="3"/>
        <v>0</v>
      </c>
      <c r="L12" s="166">
        <f t="shared" ref="L12:L24" si="4">+L38+L64</f>
        <v>0</v>
      </c>
      <c r="M12" s="66"/>
      <c r="N12" s="66">
        <f t="shared" si="3"/>
        <v>0</v>
      </c>
      <c r="O12" s="66">
        <f t="shared" si="3"/>
        <v>0</v>
      </c>
      <c r="P12" s="66">
        <f t="shared" si="3"/>
        <v>0</v>
      </c>
      <c r="Q12" s="66">
        <f t="shared" si="3"/>
        <v>0</v>
      </c>
      <c r="R12" s="66">
        <f t="shared" ref="R12:R24" si="5">+R38+R64</f>
        <v>-34216779.375598058</v>
      </c>
      <c r="S12" s="66">
        <f t="shared" ref="S12:S24" si="6">+S38+S64</f>
        <v>0</v>
      </c>
      <c r="T12" s="66"/>
    </row>
    <row r="13" spans="1:20">
      <c r="A13" s="64">
        <f t="shared" si="0"/>
        <v>3</v>
      </c>
      <c r="C13" s="65" t="s">
        <v>340</v>
      </c>
      <c r="D13" s="69">
        <f t="shared" si="1"/>
        <v>0</v>
      </c>
      <c r="E13" s="67"/>
      <c r="F13" s="69">
        <f t="shared" si="2"/>
        <v>0</v>
      </c>
      <c r="G13" s="67"/>
      <c r="H13" s="69">
        <f t="shared" si="3"/>
        <v>0</v>
      </c>
      <c r="I13" s="69">
        <f t="shared" si="3"/>
        <v>0</v>
      </c>
      <c r="J13" s="69">
        <f t="shared" si="3"/>
        <v>0</v>
      </c>
      <c r="K13" s="367">
        <f t="shared" si="3"/>
        <v>0</v>
      </c>
      <c r="L13" s="367">
        <f t="shared" si="4"/>
        <v>0</v>
      </c>
      <c r="M13" s="69"/>
      <c r="N13" s="69">
        <f t="shared" si="3"/>
        <v>0</v>
      </c>
      <c r="O13" s="69">
        <f t="shared" si="3"/>
        <v>0</v>
      </c>
      <c r="P13" s="69">
        <f t="shared" si="3"/>
        <v>0</v>
      </c>
      <c r="Q13" s="69">
        <f t="shared" si="3"/>
        <v>0</v>
      </c>
      <c r="R13" s="191">
        <f t="shared" si="5"/>
        <v>-38736484.376353368</v>
      </c>
      <c r="S13" s="69">
        <f t="shared" si="6"/>
        <v>0</v>
      </c>
      <c r="T13" s="66"/>
    </row>
    <row r="14" spans="1:20">
      <c r="A14" s="64">
        <f t="shared" si="0"/>
        <v>4</v>
      </c>
      <c r="C14" s="65" t="s">
        <v>47</v>
      </c>
      <c r="D14" s="69">
        <f t="shared" si="1"/>
        <v>0</v>
      </c>
      <c r="E14" s="67"/>
      <c r="F14" s="69">
        <f t="shared" si="2"/>
        <v>0</v>
      </c>
      <c r="G14" s="67"/>
      <c r="H14" s="69">
        <f t="shared" si="3"/>
        <v>0</v>
      </c>
      <c r="I14" s="69">
        <f t="shared" si="3"/>
        <v>0</v>
      </c>
      <c r="J14" s="69">
        <f t="shared" si="3"/>
        <v>0</v>
      </c>
      <c r="K14" s="367">
        <f t="shared" si="3"/>
        <v>0</v>
      </c>
      <c r="L14" s="367">
        <f t="shared" si="4"/>
        <v>0</v>
      </c>
      <c r="M14" s="69"/>
      <c r="N14" s="69">
        <f t="shared" si="3"/>
        <v>0</v>
      </c>
      <c r="O14" s="69">
        <f t="shared" si="3"/>
        <v>0</v>
      </c>
      <c r="P14" s="69">
        <f t="shared" si="3"/>
        <v>0</v>
      </c>
      <c r="Q14" s="69">
        <f t="shared" si="3"/>
        <v>0</v>
      </c>
      <c r="R14" s="191">
        <f t="shared" si="5"/>
        <v>-41341276.99080801</v>
      </c>
      <c r="S14" s="69">
        <f t="shared" si="6"/>
        <v>0</v>
      </c>
      <c r="T14" s="66"/>
    </row>
    <row r="15" spans="1:20">
      <c r="A15" s="64">
        <f t="shared" si="0"/>
        <v>5</v>
      </c>
      <c r="C15" s="65" t="s">
        <v>48</v>
      </c>
      <c r="D15" s="69">
        <f t="shared" si="1"/>
        <v>0</v>
      </c>
      <c r="E15" s="67"/>
      <c r="F15" s="69">
        <f t="shared" si="2"/>
        <v>0</v>
      </c>
      <c r="G15" s="67"/>
      <c r="H15" s="69">
        <f t="shared" si="3"/>
        <v>0</v>
      </c>
      <c r="I15" s="69">
        <f t="shared" si="3"/>
        <v>0</v>
      </c>
      <c r="J15" s="69">
        <f t="shared" si="3"/>
        <v>0</v>
      </c>
      <c r="K15" s="367">
        <f t="shared" si="3"/>
        <v>0</v>
      </c>
      <c r="L15" s="367">
        <f t="shared" si="4"/>
        <v>0</v>
      </c>
      <c r="M15" s="69"/>
      <c r="N15" s="69">
        <f t="shared" si="3"/>
        <v>0</v>
      </c>
      <c r="O15" s="69">
        <f t="shared" si="3"/>
        <v>0</v>
      </c>
      <c r="P15" s="69">
        <f t="shared" si="3"/>
        <v>0</v>
      </c>
      <c r="Q15" s="69">
        <f t="shared" si="3"/>
        <v>0</v>
      </c>
      <c r="R15" s="191">
        <f t="shared" si="5"/>
        <v>-46331747.544776082</v>
      </c>
      <c r="S15" s="69">
        <f t="shared" si="6"/>
        <v>0</v>
      </c>
      <c r="T15" s="66"/>
    </row>
    <row r="16" spans="1:20">
      <c r="A16" s="64">
        <f t="shared" si="0"/>
        <v>6</v>
      </c>
      <c r="C16" s="65" t="s">
        <v>49</v>
      </c>
      <c r="D16" s="69">
        <f t="shared" si="1"/>
        <v>0</v>
      </c>
      <c r="E16" s="67"/>
      <c r="F16" s="69">
        <f t="shared" si="2"/>
        <v>0</v>
      </c>
      <c r="G16" s="67"/>
      <c r="H16" s="69">
        <f t="shared" si="3"/>
        <v>0</v>
      </c>
      <c r="I16" s="69">
        <f t="shared" si="3"/>
        <v>0</v>
      </c>
      <c r="J16" s="69">
        <f t="shared" si="3"/>
        <v>0</v>
      </c>
      <c r="K16" s="367">
        <f t="shared" si="3"/>
        <v>0</v>
      </c>
      <c r="L16" s="367">
        <f t="shared" si="4"/>
        <v>0</v>
      </c>
      <c r="M16" s="69"/>
      <c r="N16" s="69">
        <f t="shared" si="3"/>
        <v>0</v>
      </c>
      <c r="O16" s="69">
        <f t="shared" si="3"/>
        <v>0</v>
      </c>
      <c r="P16" s="69">
        <f t="shared" si="3"/>
        <v>0</v>
      </c>
      <c r="Q16" s="69">
        <f t="shared" si="3"/>
        <v>0</v>
      </c>
      <c r="R16" s="191">
        <f t="shared" si="5"/>
        <v>-46267654.04969126</v>
      </c>
      <c r="S16" s="69">
        <f t="shared" si="6"/>
        <v>0</v>
      </c>
      <c r="T16" s="66"/>
    </row>
    <row r="17" spans="1:20">
      <c r="A17" s="64">
        <f t="shared" si="0"/>
        <v>7</v>
      </c>
      <c r="C17" s="65" t="s">
        <v>21</v>
      </c>
      <c r="D17" s="69">
        <f t="shared" si="1"/>
        <v>0</v>
      </c>
      <c r="E17" s="67"/>
      <c r="F17" s="69">
        <f t="shared" si="2"/>
        <v>0</v>
      </c>
      <c r="G17" s="67"/>
      <c r="H17" s="69">
        <f t="shared" si="3"/>
        <v>0</v>
      </c>
      <c r="I17" s="69">
        <f t="shared" si="3"/>
        <v>0</v>
      </c>
      <c r="J17" s="69">
        <f t="shared" si="3"/>
        <v>0</v>
      </c>
      <c r="K17" s="367">
        <f t="shared" si="3"/>
        <v>0</v>
      </c>
      <c r="L17" s="367">
        <f t="shared" si="4"/>
        <v>0</v>
      </c>
      <c r="M17" s="69"/>
      <c r="N17" s="69">
        <f t="shared" si="3"/>
        <v>0</v>
      </c>
      <c r="O17" s="69">
        <f t="shared" si="3"/>
        <v>0</v>
      </c>
      <c r="P17" s="69">
        <f t="shared" si="3"/>
        <v>0</v>
      </c>
      <c r="Q17" s="69">
        <f t="shared" si="3"/>
        <v>0</v>
      </c>
      <c r="R17" s="191">
        <f t="shared" si="5"/>
        <v>-58416708.075593501</v>
      </c>
      <c r="S17" s="69">
        <f t="shared" si="6"/>
        <v>0</v>
      </c>
      <c r="T17" s="66"/>
    </row>
    <row r="18" spans="1:20">
      <c r="A18" s="64">
        <f t="shared" si="0"/>
        <v>8</v>
      </c>
      <c r="C18" s="65" t="s">
        <v>50</v>
      </c>
      <c r="D18" s="69">
        <f t="shared" si="1"/>
        <v>0</v>
      </c>
      <c r="E18" s="67"/>
      <c r="F18" s="69">
        <f t="shared" si="2"/>
        <v>0</v>
      </c>
      <c r="G18" s="67"/>
      <c r="H18" s="69">
        <f t="shared" si="3"/>
        <v>0</v>
      </c>
      <c r="I18" s="69">
        <f t="shared" si="3"/>
        <v>0</v>
      </c>
      <c r="J18" s="69">
        <f t="shared" si="3"/>
        <v>0</v>
      </c>
      <c r="K18" s="367">
        <f t="shared" si="3"/>
        <v>0</v>
      </c>
      <c r="L18" s="367">
        <f t="shared" si="4"/>
        <v>0</v>
      </c>
      <c r="M18" s="69"/>
      <c r="N18" s="69">
        <f t="shared" si="3"/>
        <v>0</v>
      </c>
      <c r="O18" s="69">
        <f t="shared" si="3"/>
        <v>0</v>
      </c>
      <c r="P18" s="69">
        <f t="shared" si="3"/>
        <v>0</v>
      </c>
      <c r="Q18" s="69">
        <f t="shared" si="3"/>
        <v>0</v>
      </c>
      <c r="R18" s="191">
        <f t="shared" si="5"/>
        <v>-66072950.184214264</v>
      </c>
      <c r="S18" s="69">
        <f t="shared" si="6"/>
        <v>0</v>
      </c>
      <c r="T18" s="66"/>
    </row>
    <row r="19" spans="1:20">
      <c r="A19" s="64">
        <f t="shared" si="0"/>
        <v>9</v>
      </c>
      <c r="C19" s="65" t="s">
        <v>51</v>
      </c>
      <c r="D19" s="69">
        <f t="shared" si="1"/>
        <v>0</v>
      </c>
      <c r="E19" s="67"/>
      <c r="F19" s="69">
        <f t="shared" si="2"/>
        <v>0</v>
      </c>
      <c r="G19" s="67"/>
      <c r="H19" s="69">
        <f t="shared" si="3"/>
        <v>0</v>
      </c>
      <c r="I19" s="69">
        <f t="shared" si="3"/>
        <v>0</v>
      </c>
      <c r="J19" s="69">
        <f t="shared" si="3"/>
        <v>0</v>
      </c>
      <c r="K19" s="367">
        <f t="shared" si="3"/>
        <v>0</v>
      </c>
      <c r="L19" s="367">
        <f t="shared" si="4"/>
        <v>0</v>
      </c>
      <c r="M19" s="69"/>
      <c r="N19" s="69">
        <f t="shared" si="3"/>
        <v>0</v>
      </c>
      <c r="O19" s="69">
        <f t="shared" si="3"/>
        <v>0</v>
      </c>
      <c r="P19" s="69">
        <f t="shared" si="3"/>
        <v>0</v>
      </c>
      <c r="Q19" s="69">
        <f t="shared" si="3"/>
        <v>0</v>
      </c>
      <c r="R19" s="191">
        <f t="shared" si="5"/>
        <v>-65982304.222266793</v>
      </c>
      <c r="S19" s="69">
        <f t="shared" si="6"/>
        <v>0</v>
      </c>
      <c r="T19" s="66"/>
    </row>
    <row r="20" spans="1:20">
      <c r="A20" s="64">
        <f t="shared" si="0"/>
        <v>10</v>
      </c>
      <c r="C20" s="65" t="s">
        <v>52</v>
      </c>
      <c r="D20" s="69">
        <f t="shared" si="1"/>
        <v>0</v>
      </c>
      <c r="E20" s="67"/>
      <c r="F20" s="69">
        <f t="shared" si="2"/>
        <v>0</v>
      </c>
      <c r="G20" s="67"/>
      <c r="H20" s="69">
        <f t="shared" si="3"/>
        <v>0</v>
      </c>
      <c r="I20" s="69">
        <f t="shared" si="3"/>
        <v>0</v>
      </c>
      <c r="J20" s="69">
        <f t="shared" si="3"/>
        <v>0</v>
      </c>
      <c r="K20" s="367">
        <f t="shared" si="3"/>
        <v>0</v>
      </c>
      <c r="L20" s="367">
        <f t="shared" si="4"/>
        <v>0</v>
      </c>
      <c r="M20" s="69"/>
      <c r="N20" s="69">
        <f t="shared" si="3"/>
        <v>0</v>
      </c>
      <c r="O20" s="69">
        <f t="shared" si="3"/>
        <v>0</v>
      </c>
      <c r="P20" s="69">
        <f t="shared" si="3"/>
        <v>0</v>
      </c>
      <c r="Q20" s="69">
        <f t="shared" si="3"/>
        <v>0</v>
      </c>
      <c r="R20" s="191">
        <f t="shared" si="5"/>
        <v>-65891658.250319347</v>
      </c>
      <c r="S20" s="69">
        <f t="shared" si="6"/>
        <v>0</v>
      </c>
      <c r="T20" s="66"/>
    </row>
    <row r="21" spans="1:20">
      <c r="A21" s="64">
        <f t="shared" si="0"/>
        <v>11</v>
      </c>
      <c r="C21" s="65" t="s">
        <v>53</v>
      </c>
      <c r="D21" s="69">
        <f t="shared" si="1"/>
        <v>0</v>
      </c>
      <c r="E21" s="67"/>
      <c r="F21" s="69">
        <f t="shared" si="2"/>
        <v>0</v>
      </c>
      <c r="G21" s="67"/>
      <c r="H21" s="69">
        <f t="shared" si="3"/>
        <v>0</v>
      </c>
      <c r="I21" s="69">
        <f t="shared" si="3"/>
        <v>0</v>
      </c>
      <c r="J21" s="69">
        <f t="shared" si="3"/>
        <v>0</v>
      </c>
      <c r="K21" s="367">
        <f t="shared" si="3"/>
        <v>0</v>
      </c>
      <c r="L21" s="367">
        <f t="shared" si="4"/>
        <v>0</v>
      </c>
      <c r="M21" s="69"/>
      <c r="N21" s="69">
        <f t="shared" si="3"/>
        <v>0</v>
      </c>
      <c r="O21" s="69">
        <f t="shared" si="3"/>
        <v>0</v>
      </c>
      <c r="P21" s="69">
        <f t="shared" si="3"/>
        <v>0</v>
      </c>
      <c r="Q21" s="69">
        <f t="shared" si="3"/>
        <v>0</v>
      </c>
      <c r="R21" s="191">
        <f t="shared" si="5"/>
        <v>-65801012.26837188</v>
      </c>
      <c r="S21" s="69">
        <f t="shared" si="6"/>
        <v>0</v>
      </c>
      <c r="T21" s="66"/>
    </row>
    <row r="22" spans="1:20">
      <c r="A22" s="64">
        <f t="shared" si="0"/>
        <v>12</v>
      </c>
      <c r="C22" s="65" t="s">
        <v>54</v>
      </c>
      <c r="D22" s="69">
        <f t="shared" si="1"/>
        <v>0</v>
      </c>
      <c r="E22" s="67"/>
      <c r="F22" s="69">
        <f t="shared" si="2"/>
        <v>0</v>
      </c>
      <c r="G22" s="67"/>
      <c r="H22" s="69">
        <f t="shared" si="3"/>
        <v>0</v>
      </c>
      <c r="I22" s="69">
        <f t="shared" si="3"/>
        <v>0</v>
      </c>
      <c r="J22" s="69">
        <f t="shared" si="3"/>
        <v>0</v>
      </c>
      <c r="K22" s="367">
        <f t="shared" si="3"/>
        <v>0</v>
      </c>
      <c r="L22" s="367">
        <f t="shared" si="4"/>
        <v>0</v>
      </c>
      <c r="M22" s="69"/>
      <c r="N22" s="69">
        <f t="shared" si="3"/>
        <v>0</v>
      </c>
      <c r="O22" s="69">
        <f t="shared" si="3"/>
        <v>0</v>
      </c>
      <c r="P22" s="69">
        <f t="shared" si="3"/>
        <v>0</v>
      </c>
      <c r="Q22" s="69">
        <f t="shared" si="3"/>
        <v>0</v>
      </c>
      <c r="R22" s="191">
        <f t="shared" si="5"/>
        <v>-65710366.276424423</v>
      </c>
      <c r="S22" s="69">
        <f t="shared" si="6"/>
        <v>0</v>
      </c>
      <c r="T22" s="66"/>
    </row>
    <row r="23" spans="1:20">
      <c r="A23" s="64">
        <f t="shared" si="0"/>
        <v>13</v>
      </c>
      <c r="C23" s="65" t="s">
        <v>55</v>
      </c>
      <c r="D23" s="69">
        <f t="shared" si="1"/>
        <v>0</v>
      </c>
      <c r="E23" s="67"/>
      <c r="F23" s="69">
        <f t="shared" si="2"/>
        <v>0</v>
      </c>
      <c r="G23" s="67"/>
      <c r="H23" s="69">
        <f t="shared" si="3"/>
        <v>0</v>
      </c>
      <c r="I23" s="69">
        <f t="shared" si="3"/>
        <v>0</v>
      </c>
      <c r="J23" s="69">
        <f t="shared" si="3"/>
        <v>0</v>
      </c>
      <c r="K23" s="367">
        <f t="shared" si="3"/>
        <v>0</v>
      </c>
      <c r="L23" s="367">
        <f t="shared" si="4"/>
        <v>0</v>
      </c>
      <c r="M23" s="69"/>
      <c r="N23" s="69">
        <f t="shared" si="3"/>
        <v>0</v>
      </c>
      <c r="O23" s="69">
        <f t="shared" si="3"/>
        <v>0</v>
      </c>
      <c r="P23" s="69">
        <f t="shared" si="3"/>
        <v>0</v>
      </c>
      <c r="Q23" s="69">
        <f t="shared" si="3"/>
        <v>0</v>
      </c>
      <c r="R23" s="191">
        <f t="shared" si="5"/>
        <v>-65619720.27447696</v>
      </c>
      <c r="S23" s="69">
        <f t="shared" si="6"/>
        <v>0</v>
      </c>
      <c r="T23" s="66"/>
    </row>
    <row r="24" spans="1:20">
      <c r="A24" s="64">
        <f t="shared" si="0"/>
        <v>14</v>
      </c>
      <c r="C24" s="65" t="s">
        <v>339</v>
      </c>
      <c r="D24" s="66">
        <f t="shared" si="1"/>
        <v>-36872084</v>
      </c>
      <c r="E24" s="67"/>
      <c r="F24" s="66">
        <f t="shared" si="2"/>
        <v>-2807678156.730113</v>
      </c>
      <c r="G24" s="67"/>
      <c r="H24" s="66">
        <f t="shared" si="3"/>
        <v>-216931637.93644845</v>
      </c>
      <c r="I24" s="69">
        <f t="shared" si="3"/>
        <v>0</v>
      </c>
      <c r="J24" s="69">
        <f t="shared" si="3"/>
        <v>690820529.27220213</v>
      </c>
      <c r="K24" s="367">
        <f t="shared" si="3"/>
        <v>0</v>
      </c>
      <c r="L24" s="166">
        <f t="shared" si="4"/>
        <v>0</v>
      </c>
      <c r="M24" s="69"/>
      <c r="N24" s="69">
        <f t="shared" si="3"/>
        <v>0</v>
      </c>
      <c r="O24" s="69">
        <f t="shared" si="3"/>
        <v>0</v>
      </c>
      <c r="P24" s="69">
        <f t="shared" si="3"/>
        <v>0</v>
      </c>
      <c r="Q24" s="69">
        <f t="shared" si="3"/>
        <v>0</v>
      </c>
      <c r="R24" s="191">
        <f t="shared" si="5"/>
        <v>-65529074.272529505</v>
      </c>
      <c r="S24" s="69">
        <f t="shared" si="6"/>
        <v>0</v>
      </c>
      <c r="T24" s="66"/>
    </row>
    <row r="25" spans="1:20">
      <c r="A25" s="64">
        <f t="shared" si="0"/>
        <v>15</v>
      </c>
      <c r="C25" s="65"/>
      <c r="D25" s="72"/>
      <c r="E25" s="73"/>
      <c r="F25" s="72"/>
      <c r="H25" s="72"/>
      <c r="J25" s="72"/>
      <c r="K25" s="143"/>
      <c r="L25" s="160"/>
      <c r="M25" s="73"/>
      <c r="N25" s="72"/>
      <c r="O25" s="73"/>
      <c r="P25" s="74"/>
      <c r="Q25" s="75"/>
      <c r="R25" s="74"/>
      <c r="S25" s="75"/>
      <c r="T25" s="76"/>
    </row>
    <row r="26" spans="1:20">
      <c r="A26" s="64">
        <f t="shared" si="0"/>
        <v>16</v>
      </c>
      <c r="C26" s="121" t="s">
        <v>91</v>
      </c>
      <c r="D26" s="120">
        <f>D52+D78</f>
        <v>-36872084</v>
      </c>
      <c r="E26" s="118"/>
      <c r="F26" s="120">
        <f>F52+F78</f>
        <v>-2807678156.730113</v>
      </c>
      <c r="G26" s="53"/>
      <c r="H26" s="120">
        <f>H52+H78</f>
        <v>-214883791.43644845</v>
      </c>
      <c r="I26" s="126"/>
      <c r="J26" s="120">
        <f>J52+J78</f>
        <v>695926007.27220213</v>
      </c>
      <c r="K26" s="155"/>
      <c r="L26" s="277">
        <f>L52+L78</f>
        <v>0</v>
      </c>
      <c r="M26" s="127"/>
      <c r="N26" s="120">
        <f>N52+N78</f>
        <v>0</v>
      </c>
      <c r="O26" s="125"/>
      <c r="P26" s="120">
        <f>P52+P78</f>
        <v>0</v>
      </c>
      <c r="Q26" s="81"/>
      <c r="R26" s="120">
        <f>R52+R78</f>
        <v>-55839825.858571045</v>
      </c>
      <c r="S26" s="81"/>
      <c r="T26" s="120">
        <f>T52+T78</f>
        <v>-2419347850.7529306</v>
      </c>
    </row>
    <row r="27" spans="1:20">
      <c r="A27" s="64">
        <f t="shared" si="0"/>
        <v>17</v>
      </c>
      <c r="C27" s="121" t="s">
        <v>1049</v>
      </c>
      <c r="D27" s="69">
        <f t="shared" ref="D27:F28" si="7">D53+D79</f>
        <v>0</v>
      </c>
      <c r="E27" s="118"/>
      <c r="F27" s="69">
        <f t="shared" si="7"/>
        <v>0</v>
      </c>
      <c r="G27" s="53"/>
      <c r="H27" s="69">
        <f>H53+H79</f>
        <v>0</v>
      </c>
      <c r="I27" s="126"/>
      <c r="J27" s="69">
        <f>J53+J79</f>
        <v>28327003</v>
      </c>
      <c r="K27" s="155"/>
      <c r="L27" s="367">
        <f>L53+L79</f>
        <v>0</v>
      </c>
      <c r="M27" s="127"/>
      <c r="N27" s="69">
        <f>N53+N79</f>
        <v>0</v>
      </c>
      <c r="O27" s="125"/>
      <c r="P27" s="69">
        <f>P53+P79</f>
        <v>0</v>
      </c>
      <c r="Q27" s="81"/>
      <c r="R27" s="69">
        <f>R53+R79</f>
        <v>0</v>
      </c>
      <c r="S27" s="81"/>
      <c r="T27" s="69">
        <f>T53+T79</f>
        <v>28327003</v>
      </c>
    </row>
    <row r="28" spans="1:20">
      <c r="A28" s="64">
        <f t="shared" si="0"/>
        <v>18</v>
      </c>
      <c r="C28" s="121" t="s">
        <v>1050</v>
      </c>
      <c r="D28" s="116">
        <f t="shared" si="7"/>
        <v>0</v>
      </c>
      <c r="E28" s="118"/>
      <c r="F28" s="116">
        <f t="shared" si="7"/>
        <v>0</v>
      </c>
      <c r="G28" s="53"/>
      <c r="H28" s="116">
        <f>H54+H80</f>
        <v>0</v>
      </c>
      <c r="I28" s="126"/>
      <c r="J28" s="116">
        <f>J54+J80</f>
        <v>0</v>
      </c>
      <c r="K28" s="155"/>
      <c r="L28" s="369">
        <f>L54+L80</f>
        <v>0</v>
      </c>
      <c r="M28" s="127"/>
      <c r="N28" s="116">
        <f>N54+N80</f>
        <v>0</v>
      </c>
      <c r="O28" s="125"/>
      <c r="P28" s="116">
        <f>P54+P80</f>
        <v>0</v>
      </c>
      <c r="Q28" s="81"/>
      <c r="R28" s="116">
        <f>R54+R80</f>
        <v>0</v>
      </c>
      <c r="S28" s="81"/>
      <c r="T28" s="116">
        <f>T54+T80</f>
        <v>0</v>
      </c>
    </row>
    <row r="29" spans="1:20">
      <c r="A29" s="64">
        <f t="shared" si="0"/>
        <v>19</v>
      </c>
      <c r="C29" s="121"/>
      <c r="D29" s="120"/>
      <c r="E29" s="118"/>
      <c r="F29" s="120"/>
      <c r="G29" s="53"/>
      <c r="H29" s="120"/>
      <c r="I29" s="126"/>
      <c r="J29" s="120"/>
      <c r="K29" s="155"/>
      <c r="L29" s="277"/>
      <c r="M29" s="127"/>
      <c r="N29" s="120"/>
      <c r="O29" s="125"/>
      <c r="P29" s="277"/>
      <c r="Q29" s="178"/>
      <c r="R29" s="179" t="s">
        <v>29</v>
      </c>
      <c r="S29" s="81"/>
      <c r="T29" s="120"/>
    </row>
    <row r="30" spans="1:20" ht="12.75" thickBot="1">
      <c r="A30" s="64">
        <f t="shared" si="0"/>
        <v>20</v>
      </c>
      <c r="C30" s="121" t="s">
        <v>92</v>
      </c>
      <c r="D30" s="78">
        <f>+D26-D27-D28</f>
        <v>-36872084</v>
      </c>
      <c r="E30" s="118"/>
      <c r="F30" s="78">
        <f>+F26-F27-F28</f>
        <v>-2807678156.730113</v>
      </c>
      <c r="G30" s="53"/>
      <c r="H30" s="78">
        <f>+H26-H27-H28</f>
        <v>-214883791.43644845</v>
      </c>
      <c r="I30" s="126"/>
      <c r="J30" s="78">
        <f>+J26-J27-J28</f>
        <v>667599004.27220213</v>
      </c>
      <c r="K30" s="155"/>
      <c r="L30" s="86">
        <f>+L26-L27-L28</f>
        <v>0</v>
      </c>
      <c r="M30" s="127"/>
      <c r="N30" s="78">
        <f>+N26-N27-N28</f>
        <v>0</v>
      </c>
      <c r="O30" s="125"/>
      <c r="P30" s="86">
        <f>+P26-P27-P28</f>
        <v>0</v>
      </c>
      <c r="Q30" s="178"/>
      <c r="R30" s="277">
        <f>+R26-R27-R28</f>
        <v>-55839825.858571045</v>
      </c>
      <c r="S30" s="81"/>
      <c r="T30" s="78">
        <f>+T26-T27-T28</f>
        <v>-2447674853.7529306</v>
      </c>
    </row>
    <row r="31" spans="1:20" ht="13.5" customHeight="1" thickTop="1">
      <c r="A31" s="64">
        <f t="shared" si="0"/>
        <v>21</v>
      </c>
      <c r="D31" s="73"/>
      <c r="E31" s="73"/>
      <c r="F31" s="73"/>
      <c r="H31" s="73"/>
      <c r="J31" s="73"/>
      <c r="K31" s="143"/>
      <c r="L31" s="143"/>
      <c r="M31" s="73"/>
      <c r="N31" s="73"/>
      <c r="O31" s="73"/>
      <c r="P31" s="277"/>
      <c r="Q31" s="178"/>
      <c r="R31" s="278">
        <f>SUM(P30:R30)</f>
        <v>-55839825.858571045</v>
      </c>
      <c r="S31" s="73"/>
      <c r="T31" s="71"/>
    </row>
    <row r="32" spans="1:20">
      <c r="A32" s="64">
        <f t="shared" si="0"/>
        <v>22</v>
      </c>
      <c r="D32" s="19"/>
      <c r="E32" s="19"/>
      <c r="F32" s="19"/>
      <c r="G32" s="19"/>
      <c r="K32" s="365"/>
      <c r="M32" s="54"/>
      <c r="O32" s="54"/>
      <c r="P32" s="54"/>
      <c r="Q32" s="54"/>
      <c r="R32" s="54"/>
      <c r="S32" s="54"/>
      <c r="T32" s="55"/>
    </row>
    <row r="33" spans="1:20">
      <c r="A33" s="19"/>
      <c r="B33" s="19"/>
      <c r="C33" s="19"/>
      <c r="D33" s="1025" t="s">
        <v>1038</v>
      </c>
      <c r="E33" s="1025"/>
      <c r="F33" s="1025"/>
      <c r="G33" s="1025"/>
      <c r="H33" s="1025"/>
      <c r="I33" s="1025"/>
      <c r="J33" s="1025"/>
      <c r="K33" s="365"/>
      <c r="L33" s="366" t="s">
        <v>112</v>
      </c>
      <c r="M33" s="54"/>
      <c r="N33" s="1024" t="s">
        <v>1039</v>
      </c>
      <c r="O33" s="1024"/>
      <c r="P33" s="1024"/>
      <c r="Q33" s="1024"/>
      <c r="R33" s="1024"/>
      <c r="S33" s="54"/>
      <c r="T33" s="55"/>
    </row>
    <row r="34" spans="1:20">
      <c r="A34" s="64">
        <f>+A32+1</f>
        <v>23</v>
      </c>
      <c r="D34" s="69"/>
      <c r="E34" s="67"/>
      <c r="F34" s="69"/>
      <c r="G34" s="67"/>
      <c r="H34" s="69"/>
      <c r="I34" s="69"/>
      <c r="J34" s="69"/>
      <c r="K34" s="365"/>
      <c r="L34" s="367"/>
      <c r="M34" s="54"/>
      <c r="N34" s="69"/>
      <c r="O34" s="69"/>
      <c r="P34" s="69"/>
      <c r="Q34" s="54"/>
      <c r="R34" s="57" t="s">
        <v>1043</v>
      </c>
      <c r="S34" s="54"/>
      <c r="T34" s="55" t="s">
        <v>23</v>
      </c>
    </row>
    <row r="35" spans="1:20">
      <c r="A35" s="64">
        <f t="shared" si="0"/>
        <v>24</v>
      </c>
      <c r="D35" s="54" t="s">
        <v>56</v>
      </c>
      <c r="E35" s="57"/>
      <c r="F35" s="54" t="s">
        <v>56</v>
      </c>
      <c r="G35" s="57"/>
      <c r="H35" s="57" t="s">
        <v>56</v>
      </c>
      <c r="I35" s="57"/>
      <c r="J35" s="54" t="s">
        <v>56</v>
      </c>
      <c r="L35" s="365" t="s">
        <v>56</v>
      </c>
      <c r="N35" s="57" t="s">
        <v>1041</v>
      </c>
      <c r="O35" s="57"/>
      <c r="P35" s="57" t="s">
        <v>97</v>
      </c>
      <c r="R35" s="55" t="s">
        <v>1044</v>
      </c>
      <c r="T35" s="55" t="s">
        <v>42</v>
      </c>
    </row>
    <row r="36" spans="1:20">
      <c r="A36" s="64">
        <f t="shared" si="0"/>
        <v>25</v>
      </c>
      <c r="C36" s="19"/>
      <c r="D36" s="54">
        <v>281</v>
      </c>
      <c r="E36" s="57"/>
      <c r="F36" s="55">
        <v>282</v>
      </c>
      <c r="G36" s="57"/>
      <c r="H36" s="54">
        <v>283</v>
      </c>
      <c r="J36" s="54">
        <v>190</v>
      </c>
      <c r="L36" s="365">
        <v>255</v>
      </c>
      <c r="N36" s="54" t="s">
        <v>1042</v>
      </c>
      <c r="P36" s="59" t="s">
        <v>1044</v>
      </c>
      <c r="Q36" s="55"/>
      <c r="R36" s="59" t="s">
        <v>95</v>
      </c>
      <c r="S36" s="55"/>
      <c r="T36" s="59" t="s">
        <v>1040</v>
      </c>
    </row>
    <row r="37" spans="1:20">
      <c r="A37" s="64">
        <f t="shared" si="0"/>
        <v>26</v>
      </c>
      <c r="B37" s="183" t="s">
        <v>113</v>
      </c>
      <c r="C37" s="184"/>
      <c r="D37" s="63"/>
      <c r="F37" s="63"/>
      <c r="H37" s="63"/>
      <c r="J37" s="63"/>
      <c r="L37" s="368"/>
      <c r="N37" s="63"/>
      <c r="T37" s="83"/>
    </row>
    <row r="38" spans="1:20">
      <c r="A38" s="64">
        <f t="shared" si="0"/>
        <v>27</v>
      </c>
      <c r="C38" s="65" t="s">
        <v>250</v>
      </c>
      <c r="D38" s="151">
        <v>-36189219</v>
      </c>
      <c r="E38" s="142"/>
      <c r="F38" s="151">
        <v>-2513979598</v>
      </c>
      <c r="G38" s="142"/>
      <c r="H38" s="151">
        <v>-177526238</v>
      </c>
      <c r="I38" s="142"/>
      <c r="J38" s="151">
        <v>654966207</v>
      </c>
      <c r="K38" s="142"/>
      <c r="L38" s="151">
        <v>0</v>
      </c>
      <c r="M38" s="142"/>
      <c r="N38" s="151">
        <v>0</v>
      </c>
      <c r="O38" s="152"/>
      <c r="P38" s="151">
        <v>0</v>
      </c>
      <c r="Q38" s="68"/>
      <c r="R38" s="151">
        <f>'Prefunded AFUDC'!H5</f>
        <v>-34216779.375598058</v>
      </c>
      <c r="S38" s="68"/>
      <c r="T38" s="66"/>
    </row>
    <row r="39" spans="1:20">
      <c r="A39" s="64">
        <f t="shared" si="0"/>
        <v>28</v>
      </c>
      <c r="C39" s="65" t="s">
        <v>340</v>
      </c>
      <c r="D39" s="67"/>
      <c r="E39" s="142"/>
      <c r="F39" s="67"/>
      <c r="G39" s="142"/>
      <c r="H39" s="142"/>
      <c r="I39" s="142"/>
      <c r="J39" s="142"/>
      <c r="K39" s="142"/>
      <c r="L39" s="142"/>
      <c r="M39" s="142"/>
      <c r="N39" s="142"/>
      <c r="O39" s="152"/>
      <c r="P39" s="67"/>
      <c r="Q39" s="70"/>
      <c r="R39" s="153">
        <f>'Prefunded AFUDC'!H6</f>
        <v>-38736484.376353368</v>
      </c>
      <c r="S39" s="70"/>
      <c r="T39" s="66"/>
    </row>
    <row r="40" spans="1:20">
      <c r="A40" s="64">
        <f t="shared" si="0"/>
        <v>29</v>
      </c>
      <c r="C40" s="65" t="s">
        <v>47</v>
      </c>
      <c r="D40" s="67"/>
      <c r="E40" s="142"/>
      <c r="F40" s="67"/>
      <c r="G40" s="142"/>
      <c r="H40" s="142"/>
      <c r="I40" s="142"/>
      <c r="J40" s="142"/>
      <c r="K40" s="142"/>
      <c r="L40" s="142"/>
      <c r="M40" s="142"/>
      <c r="N40" s="142"/>
      <c r="O40" s="152"/>
      <c r="P40" s="67"/>
      <c r="Q40" s="70"/>
      <c r="R40" s="153">
        <f>'Prefunded AFUDC'!H7</f>
        <v>-41341276.99080801</v>
      </c>
      <c r="S40" s="70"/>
      <c r="T40" s="66"/>
    </row>
    <row r="41" spans="1:20">
      <c r="A41" s="64">
        <f t="shared" si="0"/>
        <v>30</v>
      </c>
      <c r="C41" s="65" t="s">
        <v>48</v>
      </c>
      <c r="D41" s="67"/>
      <c r="E41" s="142"/>
      <c r="F41" s="67"/>
      <c r="G41" s="142"/>
      <c r="H41" s="142"/>
      <c r="I41" s="142"/>
      <c r="J41" s="142"/>
      <c r="K41" s="142"/>
      <c r="L41" s="142"/>
      <c r="M41" s="142"/>
      <c r="N41" s="142"/>
      <c r="O41" s="152"/>
      <c r="P41" s="67"/>
      <c r="Q41" s="70"/>
      <c r="R41" s="153">
        <f>'Prefunded AFUDC'!H8</f>
        <v>-46331747.544776082</v>
      </c>
      <c r="S41" s="70"/>
      <c r="T41" s="66"/>
    </row>
    <row r="42" spans="1:20">
      <c r="A42" s="64">
        <f t="shared" si="0"/>
        <v>31</v>
      </c>
      <c r="C42" s="65" t="s">
        <v>49</v>
      </c>
      <c r="D42" s="67"/>
      <c r="E42" s="142"/>
      <c r="F42" s="67"/>
      <c r="G42" s="142"/>
      <c r="H42" s="142"/>
      <c r="I42" s="142"/>
      <c r="J42" s="142"/>
      <c r="K42" s="142"/>
      <c r="L42" s="142"/>
      <c r="M42" s="142"/>
      <c r="N42" s="142"/>
      <c r="O42" s="152"/>
      <c r="P42" s="67"/>
      <c r="Q42" s="70"/>
      <c r="R42" s="153">
        <f>'Prefunded AFUDC'!H9</f>
        <v>-46267654.04969126</v>
      </c>
      <c r="S42" s="70"/>
      <c r="T42" s="66"/>
    </row>
    <row r="43" spans="1:20">
      <c r="A43" s="64">
        <f t="shared" si="0"/>
        <v>32</v>
      </c>
      <c r="C43" s="65" t="s">
        <v>21</v>
      </c>
      <c r="D43" s="67"/>
      <c r="E43" s="142"/>
      <c r="F43" s="67"/>
      <c r="G43" s="142"/>
      <c r="H43" s="142"/>
      <c r="I43" s="142"/>
      <c r="J43" s="142"/>
      <c r="K43" s="142"/>
      <c r="L43" s="142"/>
      <c r="M43" s="142"/>
      <c r="N43" s="142"/>
      <c r="O43" s="152"/>
      <c r="P43" s="67"/>
      <c r="Q43" s="70"/>
      <c r="R43" s="153">
        <f>'Prefunded AFUDC'!H10</f>
        <v>-58416708.075593501</v>
      </c>
      <c r="S43" s="70"/>
      <c r="T43" s="66"/>
    </row>
    <row r="44" spans="1:20">
      <c r="A44" s="64">
        <f t="shared" si="0"/>
        <v>33</v>
      </c>
      <c r="C44" s="65" t="s">
        <v>50</v>
      </c>
      <c r="D44" s="67"/>
      <c r="E44" s="142"/>
      <c r="F44" s="67"/>
      <c r="G44" s="142"/>
      <c r="H44" s="142"/>
      <c r="I44" s="142"/>
      <c r="J44" s="142"/>
      <c r="K44" s="142"/>
      <c r="L44" s="142"/>
      <c r="M44" s="142"/>
      <c r="N44" s="142"/>
      <c r="O44" s="152"/>
      <c r="P44" s="67"/>
      <c r="Q44" s="70"/>
      <c r="R44" s="153">
        <f>'Prefunded AFUDC'!H11</f>
        <v>-66072950.184214264</v>
      </c>
      <c r="S44" s="70"/>
      <c r="T44" s="66"/>
    </row>
    <row r="45" spans="1:20">
      <c r="A45" s="64">
        <f t="shared" si="0"/>
        <v>34</v>
      </c>
      <c r="C45" s="65" t="s">
        <v>51</v>
      </c>
      <c r="D45" s="67"/>
      <c r="E45" s="142"/>
      <c r="F45" s="67"/>
      <c r="G45" s="142"/>
      <c r="H45" s="142"/>
      <c r="I45" s="142"/>
      <c r="J45" s="142"/>
      <c r="K45" s="142"/>
      <c r="L45" s="142"/>
      <c r="M45" s="142"/>
      <c r="N45" s="142"/>
      <c r="O45" s="152"/>
      <c r="P45" s="67"/>
      <c r="Q45" s="70"/>
      <c r="R45" s="153">
        <f>'Prefunded AFUDC'!H12</f>
        <v>-65982304.222266793</v>
      </c>
      <c r="S45" s="70"/>
      <c r="T45" s="66"/>
    </row>
    <row r="46" spans="1:20">
      <c r="A46" s="64">
        <f t="shared" si="0"/>
        <v>35</v>
      </c>
      <c r="C46" s="65" t="s">
        <v>52</v>
      </c>
      <c r="D46" s="67"/>
      <c r="E46" s="142"/>
      <c r="F46" s="67"/>
      <c r="G46" s="142"/>
      <c r="H46" s="142"/>
      <c r="I46" s="142"/>
      <c r="J46" s="142"/>
      <c r="K46" s="142"/>
      <c r="L46" s="142"/>
      <c r="M46" s="142"/>
      <c r="N46" s="142"/>
      <c r="O46" s="152"/>
      <c r="P46" s="67"/>
      <c r="Q46" s="70"/>
      <c r="R46" s="153">
        <f>'Prefunded AFUDC'!H13</f>
        <v>-65891658.250319347</v>
      </c>
      <c r="S46" s="70"/>
      <c r="T46" s="66"/>
    </row>
    <row r="47" spans="1:20">
      <c r="A47" s="64">
        <f t="shared" si="0"/>
        <v>36</v>
      </c>
      <c r="C47" s="65" t="s">
        <v>53</v>
      </c>
      <c r="D47" s="67"/>
      <c r="E47" s="142"/>
      <c r="F47" s="67"/>
      <c r="G47" s="142"/>
      <c r="H47" s="142"/>
      <c r="I47" s="142"/>
      <c r="J47" s="142"/>
      <c r="K47" s="142"/>
      <c r="L47" s="142"/>
      <c r="M47" s="142"/>
      <c r="N47" s="142"/>
      <c r="O47" s="152"/>
      <c r="P47" s="67"/>
      <c r="Q47" s="70"/>
      <c r="R47" s="153">
        <f>'Prefunded AFUDC'!H14</f>
        <v>-65801012.26837188</v>
      </c>
      <c r="S47" s="70"/>
      <c r="T47" s="66"/>
    </row>
    <row r="48" spans="1:20">
      <c r="A48" s="64">
        <f t="shared" si="0"/>
        <v>37</v>
      </c>
      <c r="C48" s="65" t="s">
        <v>54</v>
      </c>
      <c r="D48" s="67"/>
      <c r="E48" s="142"/>
      <c r="F48" s="67"/>
      <c r="G48" s="142"/>
      <c r="H48" s="142"/>
      <c r="I48" s="142"/>
      <c r="J48" s="142"/>
      <c r="K48" s="142"/>
      <c r="L48" s="142"/>
      <c r="M48" s="142"/>
      <c r="N48" s="142"/>
      <c r="O48" s="152"/>
      <c r="P48" s="67"/>
      <c r="Q48" s="70"/>
      <c r="R48" s="153">
        <f>'Prefunded AFUDC'!H15</f>
        <v>-65710366.276424423</v>
      </c>
      <c r="S48" s="70"/>
      <c r="T48" s="66"/>
    </row>
    <row r="49" spans="1:20">
      <c r="A49" s="64">
        <f t="shared" si="0"/>
        <v>38</v>
      </c>
      <c r="C49" s="65" t="s">
        <v>55</v>
      </c>
      <c r="D49" s="67"/>
      <c r="E49" s="142"/>
      <c r="F49" s="67"/>
      <c r="G49" s="142"/>
      <c r="H49" s="142"/>
      <c r="I49" s="142"/>
      <c r="J49" s="142"/>
      <c r="K49" s="142"/>
      <c r="L49" s="142"/>
      <c r="M49" s="142"/>
      <c r="N49" s="142"/>
      <c r="O49" s="152"/>
      <c r="P49" s="67"/>
      <c r="Q49" s="70"/>
      <c r="R49" s="153">
        <f>'Prefunded AFUDC'!H16</f>
        <v>-65619720.27447696</v>
      </c>
      <c r="S49" s="70"/>
      <c r="T49" s="66"/>
    </row>
    <row r="50" spans="1:20">
      <c r="A50" s="64">
        <f t="shared" si="0"/>
        <v>39</v>
      </c>
      <c r="C50" s="65" t="s">
        <v>339</v>
      </c>
      <c r="D50" s="153">
        <v>-36189219</v>
      </c>
      <c r="E50" s="142"/>
      <c r="F50" s="153">
        <v>-2513979598</v>
      </c>
      <c r="G50" s="142"/>
      <c r="H50" s="153">
        <v>-181956347</v>
      </c>
      <c r="I50" s="142"/>
      <c r="J50" s="153">
        <v>652223065</v>
      </c>
      <c r="K50" s="142"/>
      <c r="L50" s="153">
        <v>0</v>
      </c>
      <c r="M50" s="142"/>
      <c r="N50" s="142">
        <v>0</v>
      </c>
      <c r="O50" s="152"/>
      <c r="P50" s="142"/>
      <c r="Q50" s="70"/>
      <c r="R50" s="153">
        <f>'Prefunded AFUDC'!H17</f>
        <v>-65529074.272529505</v>
      </c>
      <c r="S50" s="70"/>
      <c r="T50" s="66"/>
    </row>
    <row r="51" spans="1:20">
      <c r="A51" s="64">
        <f t="shared" si="0"/>
        <v>40</v>
      </c>
      <c r="C51" s="65"/>
      <c r="D51" s="72"/>
      <c r="E51" s="73"/>
      <c r="F51" s="72"/>
      <c r="H51" s="72"/>
      <c r="J51" s="72"/>
      <c r="K51" s="143"/>
      <c r="L51" s="160"/>
      <c r="M51" s="73"/>
      <c r="N51" s="72"/>
      <c r="O51" s="73"/>
      <c r="P51" s="74"/>
      <c r="Q51" s="75"/>
      <c r="R51" s="74"/>
      <c r="S51" s="75"/>
      <c r="T51" s="76"/>
    </row>
    <row r="52" spans="1:20">
      <c r="A52" s="64">
        <f t="shared" si="0"/>
        <v>41</v>
      </c>
      <c r="C52" s="121" t="s">
        <v>91</v>
      </c>
      <c r="D52" s="120">
        <f>SUM(D38:D50)/2</f>
        <v>-36189219</v>
      </c>
      <c r="E52" s="118"/>
      <c r="F52" s="120">
        <f>SUM(F38:F50)/2</f>
        <v>-2513979598</v>
      </c>
      <c r="G52" s="53"/>
      <c r="H52" s="120">
        <f>SUM(H38:H50)/2</f>
        <v>-179741292.5</v>
      </c>
      <c r="I52" s="126"/>
      <c r="J52" s="120">
        <f>SUM(J38:J50)/2</f>
        <v>653594636</v>
      </c>
      <c r="K52" s="155"/>
      <c r="L52" s="277">
        <f>SUM(L38:L50)/2</f>
        <v>0</v>
      </c>
      <c r="M52" s="127"/>
      <c r="N52" s="120">
        <f>SUM(N38:N50)/2</f>
        <v>0</v>
      </c>
      <c r="O52" s="125"/>
      <c r="P52" s="120">
        <f>SUM(P38:P50)/2</f>
        <v>0</v>
      </c>
      <c r="Q52" s="81"/>
      <c r="R52" s="120">
        <f>SUM(R38:R50)/13</f>
        <v>-55839825.858571045</v>
      </c>
      <c r="S52" s="81"/>
      <c r="T52" s="120">
        <f>SUM(D52:R52)</f>
        <v>-2132155299.3585711</v>
      </c>
    </row>
    <row r="53" spans="1:20">
      <c r="A53" s="64">
        <f>+A52+1</f>
        <v>42</v>
      </c>
      <c r="C53" s="177" t="s">
        <v>1049</v>
      </c>
      <c r="D53" s="67"/>
      <c r="E53" s="118"/>
      <c r="F53" s="67"/>
      <c r="G53" s="53"/>
      <c r="I53" s="154"/>
      <c r="J53" s="153">
        <v>25768563</v>
      </c>
      <c r="K53" s="155"/>
      <c r="L53" s="153"/>
      <c r="M53" s="127"/>
      <c r="N53" s="67"/>
      <c r="O53" s="125"/>
      <c r="P53" s="67"/>
      <c r="Q53" s="81"/>
      <c r="R53" s="67"/>
      <c r="S53" s="81"/>
      <c r="T53" s="125">
        <f>SUM(D53:R53)</f>
        <v>25768563</v>
      </c>
    </row>
    <row r="54" spans="1:20">
      <c r="A54" s="64">
        <f>+A53+1</f>
        <v>43</v>
      </c>
      <c r="C54" s="177" t="s">
        <v>213</v>
      </c>
      <c r="D54" s="124"/>
      <c r="E54" s="73"/>
      <c r="F54" s="157">
        <v>0</v>
      </c>
      <c r="G54" s="87"/>
      <c r="H54" s="157">
        <v>0</v>
      </c>
      <c r="I54" s="141"/>
      <c r="J54" s="157">
        <v>0</v>
      </c>
      <c r="K54" s="158"/>
      <c r="L54" s="157"/>
      <c r="M54" s="79"/>
      <c r="N54" s="124"/>
      <c r="O54" s="80"/>
      <c r="P54" s="124"/>
      <c r="Q54" s="81"/>
      <c r="R54" s="124"/>
      <c r="S54" s="81"/>
      <c r="T54" s="286">
        <f>SUM(D54:R54)</f>
        <v>0</v>
      </c>
    </row>
    <row r="55" spans="1:20">
      <c r="A55" s="64">
        <f t="shared" si="0"/>
        <v>44</v>
      </c>
      <c r="C55" s="121"/>
      <c r="D55" s="120"/>
      <c r="E55" s="73"/>
      <c r="F55" s="120"/>
      <c r="H55" s="120"/>
      <c r="I55" s="47"/>
      <c r="J55" s="120"/>
      <c r="K55" s="158"/>
      <c r="L55" s="277"/>
      <c r="M55" s="79"/>
      <c r="N55" s="120"/>
      <c r="O55" s="80"/>
      <c r="P55" s="120"/>
      <c r="Q55" s="81"/>
      <c r="R55" s="179" t="s">
        <v>29</v>
      </c>
      <c r="S55" s="81"/>
      <c r="T55" s="120"/>
    </row>
    <row r="56" spans="1:20" ht="12.75" thickBot="1">
      <c r="A56" s="64">
        <f t="shared" si="0"/>
        <v>45</v>
      </c>
      <c r="C56" s="121" t="s">
        <v>92</v>
      </c>
      <c r="D56" s="78">
        <f>+D52-D53-D54</f>
        <v>-36189219</v>
      </c>
      <c r="E56" s="73"/>
      <c r="F56" s="78">
        <f>+F52-F53-F54</f>
        <v>-2513979598</v>
      </c>
      <c r="H56" s="78">
        <f>+H52-H53-H54</f>
        <v>-179741292.5</v>
      </c>
      <c r="I56" s="47"/>
      <c r="J56" s="78">
        <f>+J52-J53-J54</f>
        <v>627826073</v>
      </c>
      <c r="K56" s="158"/>
      <c r="L56" s="86">
        <f>+L52-L53-L54</f>
        <v>0</v>
      </c>
      <c r="M56" s="79"/>
      <c r="N56" s="78">
        <f>+N52-N53-N54</f>
        <v>0</v>
      </c>
      <c r="O56" s="80"/>
      <c r="P56" s="86">
        <f>+P52-P53-P54</f>
        <v>0</v>
      </c>
      <c r="Q56" s="178"/>
      <c r="R56" s="181">
        <f>+R52-R53-R54</f>
        <v>-55839825.858571045</v>
      </c>
      <c r="S56" s="81"/>
      <c r="T56" s="78">
        <f>SUM(D56:R56)</f>
        <v>-2157923862.3585711</v>
      </c>
    </row>
    <row r="57" spans="1:20" ht="12.75" thickTop="1">
      <c r="A57" s="64">
        <f t="shared" si="0"/>
        <v>46</v>
      </c>
      <c r="C57" s="77"/>
      <c r="D57" s="120"/>
      <c r="E57" s="73"/>
      <c r="F57" s="120"/>
      <c r="H57" s="120"/>
      <c r="I57" s="47"/>
      <c r="J57" s="120"/>
      <c r="K57" s="158"/>
      <c r="L57" s="277"/>
      <c r="M57" s="79"/>
      <c r="N57" s="120"/>
      <c r="O57" s="80"/>
      <c r="P57" s="120"/>
      <c r="Q57" s="81"/>
      <c r="R57" s="180">
        <f>SUM(P56:R56)</f>
        <v>-55839825.858571045</v>
      </c>
      <c r="S57" s="81"/>
      <c r="T57" s="128"/>
    </row>
    <row r="58" spans="1:20">
      <c r="A58" s="64">
        <f t="shared" si="0"/>
        <v>47</v>
      </c>
      <c r="C58" s="129"/>
      <c r="D58" s="19"/>
      <c r="E58" s="19"/>
      <c r="F58" s="19"/>
      <c r="G58" s="19"/>
      <c r="H58" s="19"/>
      <c r="I58" s="19"/>
      <c r="J58" s="19"/>
      <c r="K58" s="145"/>
      <c r="L58" s="145"/>
      <c r="M58" s="19"/>
      <c r="N58" s="19"/>
      <c r="O58" s="19"/>
      <c r="P58" s="19"/>
      <c r="Q58" s="19"/>
      <c r="R58" s="19"/>
      <c r="S58" s="19"/>
      <c r="T58" s="19"/>
    </row>
    <row r="59" spans="1:20">
      <c r="A59" s="19"/>
      <c r="B59" s="19"/>
      <c r="C59" s="19"/>
      <c r="D59" s="1025" t="s">
        <v>1038</v>
      </c>
      <c r="E59" s="1025"/>
      <c r="F59" s="1025"/>
      <c r="G59" s="1025"/>
      <c r="H59" s="1025"/>
      <c r="I59" s="1025"/>
      <c r="J59" s="1025"/>
      <c r="K59" s="365"/>
      <c r="L59" s="366" t="s">
        <v>112</v>
      </c>
      <c r="M59" s="54"/>
      <c r="N59" s="1024" t="s">
        <v>1039</v>
      </c>
      <c r="O59" s="1024"/>
      <c r="P59" s="1024"/>
      <c r="Q59" s="1024"/>
      <c r="R59" s="1024"/>
      <c r="S59" s="54"/>
      <c r="T59" s="55"/>
    </row>
    <row r="60" spans="1:20">
      <c r="A60" s="64">
        <f>+A58+1</f>
        <v>48</v>
      </c>
      <c r="D60" s="69"/>
      <c r="E60" s="67"/>
      <c r="F60" s="69"/>
      <c r="G60" s="67"/>
      <c r="H60" s="69"/>
      <c r="I60" s="69"/>
      <c r="J60" s="69"/>
      <c r="K60" s="365"/>
      <c r="L60" s="367"/>
      <c r="M60" s="54"/>
      <c r="N60" s="69"/>
      <c r="O60" s="69"/>
      <c r="P60" s="69"/>
      <c r="Q60" s="54"/>
      <c r="R60" s="57" t="s">
        <v>1043</v>
      </c>
      <c r="S60" s="54"/>
      <c r="T60" s="55" t="s">
        <v>23</v>
      </c>
    </row>
    <row r="61" spans="1:20">
      <c r="A61" s="64">
        <f t="shared" si="0"/>
        <v>49</v>
      </c>
      <c r="C61" s="19"/>
      <c r="D61" s="54" t="s">
        <v>56</v>
      </c>
      <c r="E61" s="57"/>
      <c r="F61" s="54" t="s">
        <v>56</v>
      </c>
      <c r="G61" s="57"/>
      <c r="H61" s="57" t="s">
        <v>56</v>
      </c>
      <c r="I61" s="57"/>
      <c r="J61" s="54" t="s">
        <v>56</v>
      </c>
      <c r="L61" s="365" t="s">
        <v>56</v>
      </c>
      <c r="N61" s="57" t="s">
        <v>1041</v>
      </c>
      <c r="O61" s="57"/>
      <c r="P61" s="57" t="s">
        <v>97</v>
      </c>
      <c r="R61" s="55" t="s">
        <v>1044</v>
      </c>
      <c r="T61" s="55" t="s">
        <v>42</v>
      </c>
    </row>
    <row r="62" spans="1:20">
      <c r="A62" s="64">
        <f t="shared" si="0"/>
        <v>50</v>
      </c>
      <c r="C62" s="19"/>
      <c r="D62" s="54">
        <v>281</v>
      </c>
      <c r="E62" s="57"/>
      <c r="F62" s="55">
        <v>282</v>
      </c>
      <c r="G62" s="57"/>
      <c r="H62" s="54">
        <v>283</v>
      </c>
      <c r="J62" s="54">
        <v>190</v>
      </c>
      <c r="L62" s="365">
        <v>255</v>
      </c>
      <c r="N62" s="54" t="s">
        <v>1042</v>
      </c>
      <c r="P62" s="59" t="s">
        <v>1044</v>
      </c>
      <c r="Q62" s="55"/>
      <c r="R62" s="59" t="s">
        <v>95</v>
      </c>
      <c r="S62" s="55"/>
      <c r="T62" s="59" t="s">
        <v>1040</v>
      </c>
    </row>
    <row r="63" spans="1:20">
      <c r="A63" s="64">
        <f t="shared" si="0"/>
        <v>51</v>
      </c>
      <c r="B63" s="183" t="s">
        <v>1034</v>
      </c>
      <c r="C63" s="184"/>
      <c r="D63" s="63"/>
      <c r="F63" s="63"/>
      <c r="H63" s="63"/>
      <c r="J63" s="63"/>
      <c r="L63" s="368"/>
      <c r="N63" s="63"/>
      <c r="T63" s="83"/>
    </row>
    <row r="64" spans="1:20">
      <c r="A64" s="64">
        <f t="shared" si="0"/>
        <v>52</v>
      </c>
      <c r="C64" s="65" t="s">
        <v>250</v>
      </c>
      <c r="D64" s="151">
        <v>-682865</v>
      </c>
      <c r="E64" s="142"/>
      <c r="F64" s="151">
        <v>-293698558.73011327</v>
      </c>
      <c r="G64" s="142"/>
      <c r="H64" s="151">
        <v>-35309706.936448462</v>
      </c>
      <c r="I64" s="142"/>
      <c r="J64" s="151">
        <v>46065278.272202149</v>
      </c>
      <c r="K64" s="142"/>
      <c r="L64" s="151"/>
      <c r="M64" s="142"/>
      <c r="N64" s="151"/>
      <c r="O64" s="152"/>
      <c r="P64" s="151"/>
      <c r="Q64" s="151"/>
      <c r="R64" s="151"/>
      <c r="S64" s="68"/>
      <c r="T64" s="66"/>
    </row>
    <row r="65" spans="1:20">
      <c r="A65" s="64">
        <f t="shared" si="0"/>
        <v>53</v>
      </c>
      <c r="C65" s="65" t="s">
        <v>340</v>
      </c>
      <c r="D65" s="142"/>
      <c r="E65" s="142"/>
      <c r="F65" s="142"/>
      <c r="G65" s="142"/>
      <c r="H65" s="142"/>
      <c r="I65" s="142"/>
      <c r="J65" s="142"/>
      <c r="K65" s="142"/>
      <c r="L65" s="142"/>
      <c r="M65" s="142"/>
      <c r="N65" s="142"/>
      <c r="O65" s="152"/>
      <c r="P65" s="142"/>
      <c r="Q65" s="352"/>
      <c r="R65" s="142"/>
      <c r="S65" s="70"/>
      <c r="T65" s="66"/>
    </row>
    <row r="66" spans="1:20">
      <c r="A66" s="64">
        <f t="shared" si="0"/>
        <v>54</v>
      </c>
      <c r="C66" s="65" t="s">
        <v>47</v>
      </c>
      <c r="D66" s="142"/>
      <c r="E66" s="142"/>
      <c r="F66" s="142"/>
      <c r="G66" s="142"/>
      <c r="H66" s="142"/>
      <c r="I66" s="142"/>
      <c r="J66" s="142"/>
      <c r="K66" s="142"/>
      <c r="L66" s="142"/>
      <c r="M66" s="142"/>
      <c r="N66" s="142"/>
      <c r="O66" s="152"/>
      <c r="P66" s="142"/>
      <c r="Q66" s="352"/>
      <c r="R66" s="142"/>
      <c r="S66" s="70"/>
      <c r="T66" s="66"/>
    </row>
    <row r="67" spans="1:20">
      <c r="A67" s="64">
        <f t="shared" si="0"/>
        <v>55</v>
      </c>
      <c r="C67" s="65" t="s">
        <v>48</v>
      </c>
      <c r="D67" s="142"/>
      <c r="E67" s="142"/>
      <c r="F67" s="142"/>
      <c r="G67" s="142"/>
      <c r="H67" s="142"/>
      <c r="I67" s="142"/>
      <c r="J67" s="142"/>
      <c r="K67" s="142"/>
      <c r="L67" s="142"/>
      <c r="M67" s="142"/>
      <c r="N67" s="142"/>
      <c r="O67" s="152"/>
      <c r="P67" s="142"/>
      <c r="Q67" s="352"/>
      <c r="R67" s="142"/>
      <c r="S67" s="70"/>
      <c r="T67" s="66"/>
    </row>
    <row r="68" spans="1:20">
      <c r="A68" s="64">
        <f t="shared" si="0"/>
        <v>56</v>
      </c>
      <c r="C68" s="65" t="s">
        <v>49</v>
      </c>
      <c r="D68" s="142"/>
      <c r="E68" s="142"/>
      <c r="F68" s="142"/>
      <c r="G68" s="142"/>
      <c r="H68" s="142"/>
      <c r="I68" s="142"/>
      <c r="J68" s="142"/>
      <c r="K68" s="142"/>
      <c r="L68" s="142"/>
      <c r="M68" s="142"/>
      <c r="N68" s="142"/>
      <c r="O68" s="152"/>
      <c r="P68" s="142"/>
      <c r="Q68" s="352"/>
      <c r="R68" s="142"/>
      <c r="S68" s="70"/>
      <c r="T68" s="66"/>
    </row>
    <row r="69" spans="1:20">
      <c r="A69" s="64">
        <f t="shared" si="0"/>
        <v>57</v>
      </c>
      <c r="C69" s="65" t="s">
        <v>21</v>
      </c>
      <c r="D69" s="142"/>
      <c r="E69" s="142"/>
      <c r="F69" s="142"/>
      <c r="G69" s="142"/>
      <c r="H69" s="142"/>
      <c r="I69" s="142"/>
      <c r="J69" s="142"/>
      <c r="K69" s="142"/>
      <c r="L69" s="142"/>
      <c r="M69" s="142"/>
      <c r="N69" s="142"/>
      <c r="O69" s="152"/>
      <c r="P69" s="142"/>
      <c r="Q69" s="352"/>
      <c r="R69" s="142"/>
      <c r="S69" s="70"/>
      <c r="T69" s="66"/>
    </row>
    <row r="70" spans="1:20">
      <c r="A70" s="64">
        <f t="shared" si="0"/>
        <v>58</v>
      </c>
      <c r="C70" s="65" t="s">
        <v>50</v>
      </c>
      <c r="D70" s="142"/>
      <c r="E70" s="142"/>
      <c r="F70" s="142"/>
      <c r="G70" s="142"/>
      <c r="H70" s="142"/>
      <c r="I70" s="142"/>
      <c r="J70" s="142"/>
      <c r="K70" s="142"/>
      <c r="L70" s="142"/>
      <c r="M70" s="142"/>
      <c r="N70" s="142"/>
      <c r="O70" s="152"/>
      <c r="P70" s="142"/>
      <c r="Q70" s="352"/>
      <c r="R70" s="142"/>
      <c r="S70" s="70"/>
      <c r="T70" s="66"/>
    </row>
    <row r="71" spans="1:20">
      <c r="A71" s="64">
        <f t="shared" si="0"/>
        <v>59</v>
      </c>
      <c r="C71" s="65" t="s">
        <v>51</v>
      </c>
      <c r="D71" s="142"/>
      <c r="E71" s="142"/>
      <c r="F71" s="142"/>
      <c r="G71" s="142"/>
      <c r="H71" s="142"/>
      <c r="I71" s="142"/>
      <c r="J71" s="142"/>
      <c r="K71" s="142"/>
      <c r="L71" s="142"/>
      <c r="M71" s="142"/>
      <c r="N71" s="142"/>
      <c r="O71" s="152"/>
      <c r="P71" s="142"/>
      <c r="Q71" s="352"/>
      <c r="R71" s="142"/>
      <c r="S71" s="70"/>
      <c r="T71" s="66"/>
    </row>
    <row r="72" spans="1:20">
      <c r="A72" s="64">
        <f t="shared" si="0"/>
        <v>60</v>
      </c>
      <c r="C72" s="65" t="s">
        <v>52</v>
      </c>
      <c r="D72" s="142"/>
      <c r="E72" s="142"/>
      <c r="F72" s="142"/>
      <c r="G72" s="142"/>
      <c r="H72" s="142"/>
      <c r="I72" s="142"/>
      <c r="J72" s="142"/>
      <c r="K72" s="142"/>
      <c r="L72" s="142"/>
      <c r="M72" s="142"/>
      <c r="N72" s="142"/>
      <c r="O72" s="152"/>
      <c r="P72" s="142"/>
      <c r="Q72" s="352"/>
      <c r="R72" s="142"/>
      <c r="S72" s="70"/>
      <c r="T72" s="66"/>
    </row>
    <row r="73" spans="1:20">
      <c r="A73" s="64">
        <f t="shared" si="0"/>
        <v>61</v>
      </c>
      <c r="C73" s="65" t="s">
        <v>53</v>
      </c>
      <c r="D73" s="142"/>
      <c r="E73" s="142"/>
      <c r="F73" s="142"/>
      <c r="G73" s="142"/>
      <c r="H73" s="142"/>
      <c r="I73" s="142"/>
      <c r="J73" s="142"/>
      <c r="K73" s="142"/>
      <c r="L73" s="142"/>
      <c r="M73" s="142"/>
      <c r="N73" s="142"/>
      <c r="O73" s="152"/>
      <c r="P73" s="142"/>
      <c r="Q73" s="352"/>
      <c r="R73" s="142"/>
      <c r="S73" s="70"/>
      <c r="T73" s="66"/>
    </row>
    <row r="74" spans="1:20">
      <c r="A74" s="64">
        <f t="shared" si="0"/>
        <v>62</v>
      </c>
      <c r="C74" s="65" t="s">
        <v>54</v>
      </c>
      <c r="D74" s="142"/>
      <c r="E74" s="142"/>
      <c r="F74" s="142"/>
      <c r="G74" s="142"/>
      <c r="H74" s="142"/>
      <c r="I74" s="142"/>
      <c r="J74" s="142"/>
      <c r="K74" s="142"/>
      <c r="L74" s="142"/>
      <c r="M74" s="142"/>
      <c r="N74" s="142"/>
      <c r="O74" s="152"/>
      <c r="P74" s="142"/>
      <c r="Q74" s="352"/>
      <c r="R74" s="142"/>
      <c r="S74" s="70"/>
      <c r="T74" s="66"/>
    </row>
    <row r="75" spans="1:20">
      <c r="A75" s="64">
        <f t="shared" si="0"/>
        <v>63</v>
      </c>
      <c r="C75" s="65" t="s">
        <v>55</v>
      </c>
      <c r="D75" s="142"/>
      <c r="E75" s="142"/>
      <c r="F75" s="142"/>
      <c r="G75" s="142"/>
      <c r="H75" s="142"/>
      <c r="I75" s="142"/>
      <c r="J75" s="142"/>
      <c r="K75" s="142"/>
      <c r="L75" s="142"/>
      <c r="M75" s="142"/>
      <c r="N75" s="142"/>
      <c r="O75" s="152"/>
      <c r="P75" s="142"/>
      <c r="Q75" s="352"/>
      <c r="R75" s="142"/>
      <c r="S75" s="70"/>
      <c r="T75" s="66"/>
    </row>
    <row r="76" spans="1:20">
      <c r="A76" s="64">
        <f t="shared" si="0"/>
        <v>64</v>
      </c>
      <c r="C76" s="65" t="s">
        <v>339</v>
      </c>
      <c r="D76" s="153">
        <v>-682865</v>
      </c>
      <c r="E76" s="142"/>
      <c r="F76" s="153">
        <v>-293698558.73011327</v>
      </c>
      <c r="G76" s="142"/>
      <c r="H76" s="153">
        <v>-34975290.936448462</v>
      </c>
      <c r="I76" s="142"/>
      <c r="J76" s="153">
        <v>38597464.272202149</v>
      </c>
      <c r="K76" s="142"/>
      <c r="L76" s="153"/>
      <c r="M76" s="142"/>
      <c r="N76" s="142"/>
      <c r="O76" s="152"/>
      <c r="P76" s="142"/>
      <c r="Q76" s="352"/>
      <c r="R76" s="153"/>
      <c r="S76" s="70"/>
      <c r="T76" s="130"/>
    </row>
    <row r="77" spans="1:20">
      <c r="A77" s="64">
        <f t="shared" si="0"/>
        <v>65</v>
      </c>
      <c r="C77" s="65"/>
      <c r="D77" s="72"/>
      <c r="E77" s="73"/>
      <c r="F77" s="72"/>
      <c r="H77" s="72"/>
      <c r="J77" s="72"/>
      <c r="K77" s="143"/>
      <c r="L77" s="160"/>
      <c r="M77" s="73"/>
      <c r="N77" s="72"/>
      <c r="O77" s="73"/>
      <c r="P77" s="74"/>
      <c r="Q77" s="75"/>
      <c r="R77" s="74"/>
      <c r="S77" s="75"/>
      <c r="T77" s="76"/>
    </row>
    <row r="78" spans="1:20">
      <c r="A78" s="64">
        <f>+A77+1</f>
        <v>66</v>
      </c>
      <c r="C78" s="121" t="s">
        <v>91</v>
      </c>
      <c r="D78" s="120">
        <f>SUM(D64:D76)/2</f>
        <v>-682865</v>
      </c>
      <c r="E78" s="73"/>
      <c r="F78" s="120">
        <f>SUM(F64:F76)/2</f>
        <v>-293698558.73011327</v>
      </c>
      <c r="H78" s="120">
        <f>SUM(H64:H76)/2</f>
        <v>-35142498.936448462</v>
      </c>
      <c r="I78" s="47"/>
      <c r="J78" s="120">
        <f>SUM(J64:J76)/2</f>
        <v>42331371.272202149</v>
      </c>
      <c r="K78" s="158"/>
      <c r="L78" s="277">
        <f>SUM(L64:L76)/2</f>
        <v>0</v>
      </c>
      <c r="M78" s="79"/>
      <c r="N78" s="120">
        <f>SUM(N64:N76)/2</f>
        <v>0</v>
      </c>
      <c r="O78" s="80"/>
      <c r="P78" s="120">
        <f>SUM(P64:P76)/2</f>
        <v>0</v>
      </c>
      <c r="Q78" s="81"/>
      <c r="R78" s="120">
        <f>SUM(R64:R76)/13</f>
        <v>0</v>
      </c>
      <c r="S78" s="81"/>
      <c r="T78" s="120">
        <f>SUM(D78:R78)</f>
        <v>-287192551.39435959</v>
      </c>
    </row>
    <row r="79" spans="1:20">
      <c r="A79" s="64">
        <f>+A78+1</f>
        <v>67</v>
      </c>
      <c r="C79" s="121" t="s">
        <v>1049</v>
      </c>
      <c r="D79" s="142"/>
      <c r="E79" s="144"/>
      <c r="F79" s="142"/>
      <c r="G79" s="142"/>
      <c r="H79" s="142"/>
      <c r="I79" s="353"/>
      <c r="J79" s="142">
        <v>2558440</v>
      </c>
      <c r="K79" s="155"/>
      <c r="L79" s="142">
        <v>0</v>
      </c>
      <c r="M79" s="155"/>
      <c r="N79" s="142">
        <v>0</v>
      </c>
      <c r="O79" s="156"/>
      <c r="P79" s="142">
        <v>0</v>
      </c>
      <c r="Q79" s="81"/>
      <c r="R79" s="142">
        <v>0</v>
      </c>
      <c r="S79" s="81"/>
      <c r="T79" s="67">
        <f>SUM(D79:R79)</f>
        <v>2558440</v>
      </c>
    </row>
    <row r="80" spans="1:20">
      <c r="A80" s="64">
        <f>+A79+1</f>
        <v>68</v>
      </c>
      <c r="C80" s="177" t="s">
        <v>213</v>
      </c>
      <c r="D80" s="157"/>
      <c r="E80" s="143"/>
      <c r="F80" s="157">
        <v>0</v>
      </c>
      <c r="G80" s="354"/>
      <c r="H80" s="157">
        <v>0</v>
      </c>
      <c r="I80" s="355"/>
      <c r="J80" s="157">
        <v>0</v>
      </c>
      <c r="K80" s="158"/>
      <c r="L80" s="157">
        <v>0</v>
      </c>
      <c r="M80" s="158"/>
      <c r="N80" s="157">
        <v>0</v>
      </c>
      <c r="O80" s="159"/>
      <c r="P80" s="157">
        <v>0</v>
      </c>
      <c r="Q80" s="81"/>
      <c r="R80" s="157">
        <v>0</v>
      </c>
      <c r="S80" s="81"/>
      <c r="T80" s="124">
        <f>SUM(D80:R80)</f>
        <v>0</v>
      </c>
    </row>
    <row r="81" spans="1:20">
      <c r="A81" s="64">
        <f>+A80+1</f>
        <v>69</v>
      </c>
      <c r="C81" s="121"/>
      <c r="D81" s="120"/>
      <c r="E81" s="73"/>
      <c r="F81" s="120"/>
      <c r="H81" s="120"/>
      <c r="I81" s="47"/>
      <c r="J81" s="120"/>
      <c r="K81" s="158"/>
      <c r="L81" s="277"/>
      <c r="M81" s="79"/>
      <c r="N81" s="120"/>
      <c r="O81" s="80"/>
      <c r="P81" s="120"/>
      <c r="Q81" s="81"/>
      <c r="R81" s="120"/>
      <c r="S81" s="81"/>
      <c r="T81" s="120"/>
    </row>
    <row r="82" spans="1:20" ht="12.75" thickBot="1">
      <c r="A82" s="64">
        <f>+A81+1</f>
        <v>70</v>
      </c>
      <c r="C82" s="121" t="s">
        <v>92</v>
      </c>
      <c r="D82" s="78">
        <f>+D78-D79-D80</f>
        <v>-682865</v>
      </c>
      <c r="E82" s="73"/>
      <c r="F82" s="86">
        <f>+F78-F79-F80</f>
        <v>-293698558.73011327</v>
      </c>
      <c r="G82" s="87"/>
      <c r="H82" s="86">
        <f>+H78-H79-H80</f>
        <v>-35142498.936448462</v>
      </c>
      <c r="I82" s="141"/>
      <c r="J82" s="86">
        <f>+J78-J79-J80</f>
        <v>39772931.272202149</v>
      </c>
      <c r="K82" s="158"/>
      <c r="L82" s="86">
        <f>+L78-L79-L80</f>
        <v>0</v>
      </c>
      <c r="M82" s="79"/>
      <c r="N82" s="78">
        <f>+N78-N79-N80</f>
        <v>0</v>
      </c>
      <c r="O82" s="80"/>
      <c r="P82" s="78">
        <f>+P78-P79-P80</f>
        <v>0</v>
      </c>
      <c r="Q82" s="81"/>
      <c r="R82" s="78">
        <f>+R78-R79-R80</f>
        <v>0</v>
      </c>
      <c r="S82" s="81"/>
      <c r="T82" s="78">
        <f>SUM(D82:R82)</f>
        <v>-289750991.39435959</v>
      </c>
    </row>
    <row r="83" spans="1:20" ht="12.75" thickTop="1"/>
  </sheetData>
  <mergeCells count="6">
    <mergeCell ref="D59:J59"/>
    <mergeCell ref="N59:R59"/>
    <mergeCell ref="D7:J7"/>
    <mergeCell ref="N7:R7"/>
    <mergeCell ref="D33:J33"/>
    <mergeCell ref="N33:R33"/>
  </mergeCells>
  <phoneticPr fontId="10" type="noConversion"/>
  <pageMargins left="0.5" right="0.25" top="0.5" bottom="0.25" header="0.75" footer="0.5"/>
  <pageSetup scale="55" orientation="portrait" horizontalDpi="1200" verticalDpi="1200" r:id="rId1"/>
  <headerFooter alignWithMargins="0">
    <oddFooter>&amp;CPage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sheetPr>
  <dimension ref="A1:I24"/>
  <sheetViews>
    <sheetView showGridLines="0" workbookViewId="0">
      <selection activeCell="D17" sqref="D17"/>
    </sheetView>
  </sheetViews>
  <sheetFormatPr defaultRowHeight="12.75"/>
  <cols>
    <col min="1" max="1" width="4" style="487" customWidth="1"/>
    <col min="2" max="2" width="10.88671875" style="487" bestFit="1" customWidth="1"/>
    <col min="3" max="3" width="3.77734375" style="487" customWidth="1"/>
    <col min="4" max="4" width="10.77734375" style="487" bestFit="1" customWidth="1"/>
    <col min="5" max="5" width="3.77734375" style="487" customWidth="1"/>
    <col min="6" max="6" width="12.33203125" style="487" bestFit="1" customWidth="1"/>
    <col min="7" max="7" width="3.77734375" style="487" customWidth="1"/>
    <col min="8" max="8" width="10.44140625" style="487" customWidth="1"/>
    <col min="9" max="16384" width="8.88671875" style="487"/>
  </cols>
  <sheetData>
    <row r="1" spans="1:9">
      <c r="A1" s="486" t="s">
        <v>1030</v>
      </c>
      <c r="I1" s="498" t="str">
        <f>'Adj to Rate Base'!T1</f>
        <v>2015 Workpapers</v>
      </c>
    </row>
    <row r="2" spans="1:9">
      <c r="A2" s="486" t="s">
        <v>369</v>
      </c>
    </row>
    <row r="3" spans="1:9">
      <c r="A3" s="497" t="s">
        <v>232</v>
      </c>
    </row>
    <row r="4" spans="1:9" s="489" customFormat="1" ht="38.25">
      <c r="A4" s="488" t="s">
        <v>46</v>
      </c>
      <c r="D4" s="490" t="s">
        <v>370</v>
      </c>
      <c r="F4" s="490" t="s">
        <v>371</v>
      </c>
      <c r="H4" s="490" t="s">
        <v>372</v>
      </c>
    </row>
    <row r="5" spans="1:9" ht="20.25" customHeight="1">
      <c r="A5" s="491">
        <v>1</v>
      </c>
      <c r="B5" s="492" t="s">
        <v>250</v>
      </c>
      <c r="D5" s="493">
        <v>-61838554.507601708</v>
      </c>
      <c r="F5" s="493">
        <v>-27621775.13200365</v>
      </c>
      <c r="H5" s="493">
        <f>D5-F5</f>
        <v>-34216779.375598058</v>
      </c>
    </row>
    <row r="6" spans="1:9">
      <c r="A6" s="495">
        <v>2</v>
      </c>
      <c r="B6" s="492" t="s">
        <v>340</v>
      </c>
      <c r="D6" s="493">
        <v>-62944495.286668509</v>
      </c>
      <c r="F6" s="493">
        <v>-24208010.910315141</v>
      </c>
      <c r="H6" s="494">
        <f t="shared" ref="H6:H17" si="0">D6-F6</f>
        <v>-38736484.376353368</v>
      </c>
    </row>
    <row r="7" spans="1:9">
      <c r="A7" s="495">
        <v>3</v>
      </c>
      <c r="B7" s="492" t="s">
        <v>47</v>
      </c>
      <c r="D7" s="493">
        <v>-63880615.016771972</v>
      </c>
      <c r="F7" s="493">
        <v>-22539338.025963958</v>
      </c>
      <c r="H7" s="494">
        <f t="shared" si="0"/>
        <v>-41341276.99080801</v>
      </c>
    </row>
    <row r="8" spans="1:9">
      <c r="A8" s="495">
        <v>4</v>
      </c>
      <c r="B8" s="492" t="s">
        <v>48</v>
      </c>
      <c r="D8" s="493">
        <v>-64728226.107284829</v>
      </c>
      <c r="F8" s="493">
        <v>-18396478.562508747</v>
      </c>
      <c r="H8" s="494">
        <f t="shared" si="0"/>
        <v>-46331747.544776082</v>
      </c>
    </row>
    <row r="9" spans="1:9">
      <c r="A9" s="495">
        <v>5</v>
      </c>
      <c r="B9" s="492" t="s">
        <v>49</v>
      </c>
      <c r="D9" s="493">
        <v>-65508229.353332162</v>
      </c>
      <c r="F9" s="493">
        <v>-19240575.303640902</v>
      </c>
      <c r="H9" s="494">
        <f t="shared" si="0"/>
        <v>-46267654.04969126</v>
      </c>
    </row>
    <row r="10" spans="1:9">
      <c r="A10" s="495">
        <v>6</v>
      </c>
      <c r="B10" s="492" t="s">
        <v>21</v>
      </c>
      <c r="D10" s="493">
        <v>-66010281.017547913</v>
      </c>
      <c r="F10" s="493">
        <v>-7593572.9419544125</v>
      </c>
      <c r="H10" s="494">
        <f t="shared" si="0"/>
        <v>-58416708.075593501</v>
      </c>
    </row>
    <row r="11" spans="1:9">
      <c r="A11" s="495">
        <v>7</v>
      </c>
      <c r="B11" s="492" t="s">
        <v>50</v>
      </c>
      <c r="D11" s="493">
        <v>-66072951.7249429</v>
      </c>
      <c r="F11" s="493">
        <v>-1.5407286372501368</v>
      </c>
      <c r="H11" s="494">
        <f t="shared" si="0"/>
        <v>-66072950.184214264</v>
      </c>
    </row>
    <row r="12" spans="1:9">
      <c r="A12" s="495">
        <v>8</v>
      </c>
      <c r="B12" s="492" t="s">
        <v>51</v>
      </c>
      <c r="D12" s="493">
        <v>-65982305.762995429</v>
      </c>
      <c r="F12" s="493">
        <v>-1.5407286372501368</v>
      </c>
      <c r="H12" s="494">
        <f t="shared" si="0"/>
        <v>-65982304.222266793</v>
      </c>
    </row>
    <row r="13" spans="1:9">
      <c r="A13" s="495">
        <v>9</v>
      </c>
      <c r="B13" s="492" t="s">
        <v>52</v>
      </c>
      <c r="D13" s="493">
        <v>-65891659.791047983</v>
      </c>
      <c r="F13" s="493">
        <v>-1.5407286372501368</v>
      </c>
      <c r="H13" s="494">
        <f t="shared" si="0"/>
        <v>-65891658.250319347</v>
      </c>
    </row>
    <row r="14" spans="1:9">
      <c r="A14" s="495">
        <v>10</v>
      </c>
      <c r="B14" s="492" t="s">
        <v>53</v>
      </c>
      <c r="D14" s="493">
        <v>-65801013.809100516</v>
      </c>
      <c r="F14" s="493">
        <v>-1.5407286372501368</v>
      </c>
      <c r="H14" s="494">
        <f t="shared" si="0"/>
        <v>-65801012.26837188</v>
      </c>
    </row>
    <row r="15" spans="1:9">
      <c r="A15" s="495">
        <v>11</v>
      </c>
      <c r="B15" s="492" t="s">
        <v>54</v>
      </c>
      <c r="D15" s="493">
        <v>-65710367.817153059</v>
      </c>
      <c r="F15" s="493">
        <v>-1.5407286372501368</v>
      </c>
      <c r="H15" s="494">
        <f t="shared" si="0"/>
        <v>-65710366.276424423</v>
      </c>
    </row>
    <row r="16" spans="1:9">
      <c r="A16" s="495">
        <v>12</v>
      </c>
      <c r="B16" s="492" t="s">
        <v>55</v>
      </c>
      <c r="D16" s="493">
        <v>-65619721.815205596</v>
      </c>
      <c r="F16" s="493">
        <v>-1.5407286372501368</v>
      </c>
      <c r="H16" s="494">
        <f t="shared" si="0"/>
        <v>-65619720.27447696</v>
      </c>
    </row>
    <row r="17" spans="1:8">
      <c r="A17" s="495">
        <v>13</v>
      </c>
      <c r="B17" s="492" t="s">
        <v>339</v>
      </c>
      <c r="D17" s="493">
        <v>-65529075.813258141</v>
      </c>
      <c r="F17" s="493">
        <v>-1.5407286372501368</v>
      </c>
      <c r="H17" s="494">
        <f t="shared" si="0"/>
        <v>-65529074.272529505</v>
      </c>
    </row>
    <row r="18" spans="1:8">
      <c r="A18" s="495"/>
      <c r="B18" s="492"/>
      <c r="D18" s="493"/>
      <c r="F18" s="493"/>
      <c r="H18" s="494"/>
    </row>
    <row r="19" spans="1:8" ht="15" customHeight="1">
      <c r="A19" s="495">
        <v>14</v>
      </c>
      <c r="B19" s="487" t="s">
        <v>29</v>
      </c>
      <c r="H19" s="496">
        <f>SUM(H5:H17)/13</f>
        <v>-55839825.858571045</v>
      </c>
    </row>
    <row r="22" spans="1:8">
      <c r="B22" s="492" t="s">
        <v>373</v>
      </c>
    </row>
    <row r="23" spans="1:8">
      <c r="B23" s="492" t="s">
        <v>374</v>
      </c>
    </row>
    <row r="24" spans="1:8">
      <c r="B24" s="492" t="s">
        <v>375</v>
      </c>
    </row>
  </sheetData>
  <phoneticPr fontId="13" type="noConversion"/>
  <pageMargins left="0.75" right="0.75" top="1" bottom="1" header="0.5" footer="0.5"/>
  <pageSetup orientation="portrait" r:id="rId1"/>
  <headerFooter alignWithMargins="0">
    <oddFooter>Page &amp;P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2"/>
    <pageSetUpPr autoPageBreaks="0" fitToPage="1"/>
  </sheetPr>
  <dimension ref="A1:P64"/>
  <sheetViews>
    <sheetView showGridLines="0" zoomScaleNormal="75" zoomScaleSheetLayoutView="50" workbookViewId="0"/>
  </sheetViews>
  <sheetFormatPr defaultColWidth="14.44140625" defaultRowHeight="12"/>
  <cols>
    <col min="1" max="1" width="4.77734375" style="51" customWidth="1"/>
    <col min="2" max="2" width="2.77734375" style="49" customWidth="1"/>
    <col min="3" max="3" width="34.6640625" style="49" customWidth="1"/>
    <col min="4" max="4" width="14.44140625" style="49" customWidth="1"/>
    <col min="5" max="5" width="0.88671875" style="49" customWidth="1"/>
    <col min="6" max="6" width="12.88671875" style="49" bestFit="1" customWidth="1"/>
    <col min="7" max="7" width="0.88671875" style="49" customWidth="1"/>
    <col min="8" max="8" width="12.88671875" style="49" bestFit="1" customWidth="1"/>
    <col min="9" max="9" width="0.88671875" style="49" customWidth="1"/>
    <col min="10" max="10" width="12.88671875" style="49" bestFit="1" customWidth="1"/>
    <col min="11" max="11" width="0.88671875" style="49" customWidth="1"/>
    <col min="12" max="12" width="12.88671875" style="49" customWidth="1"/>
    <col min="13" max="13" width="0.88671875" style="49" customWidth="1"/>
    <col min="14" max="14" width="18.109375" style="49" bestFit="1" customWidth="1"/>
    <col min="15" max="15" width="0.6640625" style="49" customWidth="1"/>
    <col min="16" max="16" width="14.44140625" style="49" bestFit="1" customWidth="1"/>
    <col min="17" max="16384" width="14.44140625" style="49"/>
  </cols>
  <sheetData>
    <row r="1" spans="1:16">
      <c r="A1" s="6" t="s">
        <v>1030</v>
      </c>
      <c r="B1" s="47"/>
      <c r="C1" s="47"/>
      <c r="D1" s="47"/>
      <c r="E1" s="47"/>
      <c r="F1" s="48" t="str">
        <f>'Cover Rev 2'!C1</f>
        <v>2015 Workpapers</v>
      </c>
      <c r="G1" s="47"/>
      <c r="H1" s="47"/>
      <c r="I1" s="47"/>
      <c r="J1" s="47"/>
      <c r="K1" s="47"/>
      <c r="L1" s="47"/>
      <c r="M1" s="47"/>
      <c r="N1" s="47"/>
      <c r="O1" s="47"/>
    </row>
    <row r="2" spans="1:16">
      <c r="A2" s="6" t="s">
        <v>1045</v>
      </c>
      <c r="B2" s="47"/>
      <c r="C2" s="47"/>
      <c r="D2" s="47"/>
      <c r="E2" s="47"/>
      <c r="F2" s="50"/>
      <c r="G2" s="47"/>
      <c r="H2" s="47"/>
      <c r="I2" s="47"/>
      <c r="J2" s="47"/>
      <c r="K2" s="47"/>
      <c r="L2" s="47"/>
      <c r="M2" s="47"/>
      <c r="N2" s="47"/>
      <c r="O2" s="47"/>
    </row>
    <row r="3" spans="1:16">
      <c r="A3" s="6" t="s">
        <v>337</v>
      </c>
      <c r="B3" s="47"/>
      <c r="C3" s="47"/>
      <c r="D3" s="47"/>
      <c r="E3" s="47"/>
      <c r="F3" s="47"/>
      <c r="G3" s="47"/>
      <c r="H3" s="47"/>
      <c r="I3" s="47"/>
      <c r="J3" s="47"/>
      <c r="K3" s="47"/>
      <c r="L3" s="47"/>
      <c r="M3" s="47"/>
      <c r="N3" s="47"/>
      <c r="O3" s="47"/>
    </row>
    <row r="4" spans="1:16">
      <c r="A4" s="483" t="s">
        <v>232</v>
      </c>
      <c r="D4" s="47"/>
    </row>
    <row r="5" spans="1:16">
      <c r="B5" s="52"/>
    </row>
    <row r="6" spans="1:16">
      <c r="B6" s="52"/>
    </row>
    <row r="7" spans="1:16">
      <c r="A7" s="19"/>
      <c r="B7" s="19"/>
      <c r="C7" s="19"/>
      <c r="D7" s="19"/>
      <c r="E7" s="19"/>
      <c r="F7" s="19"/>
      <c r="G7" s="19"/>
      <c r="K7" s="54"/>
      <c r="M7" s="54"/>
      <c r="N7" s="54"/>
      <c r="O7" s="54"/>
      <c r="P7" s="55"/>
    </row>
    <row r="8" spans="1:16">
      <c r="D8" s="19"/>
      <c r="E8" s="19"/>
      <c r="F8" s="19"/>
      <c r="G8" s="19"/>
      <c r="H8" s="19"/>
      <c r="I8" s="19"/>
      <c r="J8" s="19"/>
      <c r="K8" s="19"/>
      <c r="L8" s="19"/>
      <c r="M8" s="19"/>
      <c r="N8" s="19"/>
      <c r="O8" s="19"/>
      <c r="P8" s="19"/>
    </row>
    <row r="9" spans="1:16">
      <c r="A9" s="51" t="s">
        <v>46</v>
      </c>
      <c r="D9" s="54" t="s">
        <v>64</v>
      </c>
      <c r="E9" s="57"/>
      <c r="F9" s="19"/>
      <c r="G9" s="19"/>
      <c r="H9" s="19"/>
      <c r="I9" s="19"/>
      <c r="J9" s="19"/>
      <c r="K9" s="19"/>
      <c r="L9" s="19"/>
      <c r="M9" s="19"/>
      <c r="N9" s="19"/>
      <c r="O9" s="19"/>
      <c r="P9" s="19"/>
    </row>
    <row r="10" spans="1:16">
      <c r="A10" s="58" t="s">
        <v>22</v>
      </c>
      <c r="D10" s="54">
        <v>105</v>
      </c>
      <c r="E10" s="57"/>
      <c r="F10" s="19"/>
      <c r="G10" s="19"/>
      <c r="H10" s="19"/>
      <c r="I10" s="19"/>
      <c r="J10" s="19"/>
      <c r="K10" s="19"/>
      <c r="L10" s="19"/>
      <c r="M10" s="19"/>
      <c r="N10" s="19"/>
      <c r="O10" s="19"/>
      <c r="P10" s="19"/>
    </row>
    <row r="11" spans="1:16">
      <c r="A11" s="60" t="s">
        <v>27</v>
      </c>
      <c r="B11" s="61" t="s">
        <v>1031</v>
      </c>
      <c r="C11" s="62"/>
      <c r="D11" s="63"/>
      <c r="F11" s="19"/>
      <c r="G11" s="19"/>
      <c r="H11" s="19"/>
      <c r="I11" s="19"/>
      <c r="J11" s="19"/>
      <c r="K11" s="19"/>
      <c r="L11" s="19"/>
      <c r="M11" s="19"/>
      <c r="N11" s="19"/>
      <c r="O11" s="19"/>
      <c r="P11" s="19"/>
    </row>
    <row r="12" spans="1:16">
      <c r="A12" s="64">
        <f t="shared" ref="A12:A40" si="0">+A11+1</f>
        <v>2</v>
      </c>
      <c r="C12" s="65" t="s">
        <v>250</v>
      </c>
      <c r="D12" s="66">
        <f t="shared" ref="D12:D24" si="1">+D31+D50</f>
        <v>8105</v>
      </c>
      <c r="E12" s="67"/>
      <c r="F12" s="19"/>
      <c r="G12" s="19"/>
      <c r="H12" s="19"/>
      <c r="I12" s="19"/>
      <c r="J12" s="19"/>
      <c r="K12" s="19"/>
      <c r="L12" s="19"/>
      <c r="M12" s="19"/>
      <c r="N12" s="19"/>
      <c r="O12" s="19"/>
      <c r="P12" s="19"/>
    </row>
    <row r="13" spans="1:16">
      <c r="A13" s="64">
        <f t="shared" si="0"/>
        <v>3</v>
      </c>
      <c r="C13" s="65" t="s">
        <v>340</v>
      </c>
      <c r="D13" s="69">
        <f t="shared" si="1"/>
        <v>8105</v>
      </c>
      <c r="E13" s="67"/>
      <c r="F13" s="19"/>
      <c r="G13" s="19"/>
      <c r="H13" s="19"/>
      <c r="I13" s="19"/>
      <c r="J13" s="19"/>
      <c r="K13" s="19"/>
      <c r="L13" s="19"/>
      <c r="M13" s="19"/>
      <c r="N13" s="19"/>
      <c r="O13" s="19"/>
      <c r="P13" s="19"/>
    </row>
    <row r="14" spans="1:16">
      <c r="A14" s="64">
        <f t="shared" si="0"/>
        <v>4</v>
      </c>
      <c r="C14" s="65" t="s">
        <v>47</v>
      </c>
      <c r="D14" s="69">
        <f t="shared" si="1"/>
        <v>8105</v>
      </c>
      <c r="E14" s="67"/>
      <c r="F14" s="19"/>
      <c r="G14" s="19"/>
      <c r="H14" s="19"/>
      <c r="I14" s="19"/>
      <c r="J14" s="19"/>
      <c r="K14" s="19"/>
      <c r="L14" s="19"/>
      <c r="M14" s="19"/>
      <c r="N14" s="19"/>
      <c r="O14" s="19"/>
      <c r="P14" s="19"/>
    </row>
    <row r="15" spans="1:16">
      <c r="A15" s="64">
        <f t="shared" si="0"/>
        <v>5</v>
      </c>
      <c r="C15" s="65" t="s">
        <v>48</v>
      </c>
      <c r="D15" s="69">
        <f t="shared" si="1"/>
        <v>8105</v>
      </c>
      <c r="E15" s="67"/>
      <c r="F15" s="19"/>
      <c r="G15" s="19"/>
      <c r="H15" s="19"/>
      <c r="I15" s="19"/>
      <c r="J15" s="19"/>
      <c r="K15" s="19"/>
      <c r="L15" s="19"/>
      <c r="M15" s="19"/>
      <c r="N15" s="19"/>
      <c r="O15" s="19"/>
      <c r="P15" s="19"/>
    </row>
    <row r="16" spans="1:16">
      <c r="A16" s="64">
        <f t="shared" si="0"/>
        <v>6</v>
      </c>
      <c r="C16" s="65" t="s">
        <v>49</v>
      </c>
      <c r="D16" s="69">
        <f t="shared" si="1"/>
        <v>8105</v>
      </c>
      <c r="E16" s="67"/>
      <c r="F16" s="19"/>
      <c r="G16" s="19"/>
      <c r="H16" s="19"/>
      <c r="I16" s="19"/>
      <c r="J16" s="19"/>
      <c r="K16" s="19"/>
      <c r="L16" s="19"/>
      <c r="M16" s="19"/>
      <c r="N16" s="19"/>
      <c r="O16" s="19"/>
      <c r="P16" s="19"/>
    </row>
    <row r="17" spans="1:16">
      <c r="A17" s="64">
        <f t="shared" si="0"/>
        <v>7</v>
      </c>
      <c r="C17" s="65" t="s">
        <v>21</v>
      </c>
      <c r="D17" s="69">
        <f t="shared" si="1"/>
        <v>8105</v>
      </c>
      <c r="E17" s="67"/>
      <c r="F17" s="19"/>
      <c r="G17" s="19"/>
      <c r="H17" s="19"/>
      <c r="I17" s="19"/>
      <c r="J17" s="19"/>
      <c r="K17" s="19"/>
      <c r="L17" s="19"/>
      <c r="M17" s="19"/>
      <c r="N17" s="19"/>
      <c r="O17" s="19"/>
      <c r="P17" s="19"/>
    </row>
    <row r="18" spans="1:16">
      <c r="A18" s="64">
        <f t="shared" si="0"/>
        <v>8</v>
      </c>
      <c r="C18" s="65" t="s">
        <v>50</v>
      </c>
      <c r="D18" s="69">
        <f t="shared" si="1"/>
        <v>8105</v>
      </c>
      <c r="E18" s="67"/>
      <c r="F18" s="19"/>
      <c r="G18" s="19"/>
      <c r="H18" s="19"/>
      <c r="I18" s="19"/>
      <c r="J18" s="19"/>
      <c r="K18" s="19"/>
      <c r="L18" s="19"/>
      <c r="M18" s="19"/>
      <c r="N18" s="19"/>
      <c r="O18" s="19"/>
      <c r="P18" s="19"/>
    </row>
    <row r="19" spans="1:16">
      <c r="A19" s="64">
        <f t="shared" si="0"/>
        <v>9</v>
      </c>
      <c r="C19" s="65" t="s">
        <v>51</v>
      </c>
      <c r="D19" s="69">
        <f t="shared" si="1"/>
        <v>8105</v>
      </c>
      <c r="E19" s="67"/>
      <c r="F19" s="19"/>
      <c r="G19" s="19"/>
      <c r="H19" s="19"/>
      <c r="I19" s="19"/>
      <c r="J19" s="19"/>
      <c r="K19" s="19"/>
      <c r="L19" s="19"/>
      <c r="M19" s="19"/>
      <c r="N19" s="19"/>
      <c r="O19" s="19"/>
      <c r="P19" s="19"/>
    </row>
    <row r="20" spans="1:16">
      <c r="A20" s="64">
        <f t="shared" si="0"/>
        <v>10</v>
      </c>
      <c r="C20" s="65" t="s">
        <v>52</v>
      </c>
      <c r="D20" s="69">
        <f t="shared" si="1"/>
        <v>8105</v>
      </c>
      <c r="E20" s="67"/>
      <c r="F20" s="19"/>
      <c r="G20" s="19"/>
      <c r="H20" s="19"/>
      <c r="I20" s="19"/>
      <c r="J20" s="19"/>
      <c r="K20" s="19"/>
      <c r="L20" s="19"/>
      <c r="M20" s="19"/>
      <c r="N20" s="19"/>
      <c r="O20" s="19"/>
      <c r="P20" s="19"/>
    </row>
    <row r="21" spans="1:16">
      <c r="A21" s="64">
        <f t="shared" si="0"/>
        <v>11</v>
      </c>
      <c r="C21" s="65" t="s">
        <v>53</v>
      </c>
      <c r="D21" s="69">
        <f t="shared" si="1"/>
        <v>8105</v>
      </c>
      <c r="E21" s="67"/>
      <c r="F21" s="19"/>
      <c r="G21" s="19"/>
      <c r="H21" s="19"/>
      <c r="I21" s="19"/>
      <c r="J21" s="19"/>
      <c r="K21" s="19"/>
      <c r="L21" s="19"/>
      <c r="M21" s="19"/>
      <c r="N21" s="19"/>
      <c r="O21" s="19"/>
      <c r="P21" s="19"/>
    </row>
    <row r="22" spans="1:16">
      <c r="A22" s="64">
        <f t="shared" si="0"/>
        <v>12</v>
      </c>
      <c r="C22" s="65" t="s">
        <v>54</v>
      </c>
      <c r="D22" s="69">
        <f t="shared" si="1"/>
        <v>8105</v>
      </c>
      <c r="E22" s="67"/>
      <c r="F22" s="19"/>
      <c r="G22" s="19"/>
      <c r="H22" s="19"/>
      <c r="I22" s="19"/>
      <c r="J22" s="19"/>
      <c r="K22" s="19"/>
      <c r="L22" s="19"/>
      <c r="M22" s="19"/>
      <c r="N22" s="19"/>
      <c r="O22" s="19"/>
      <c r="P22" s="19"/>
    </row>
    <row r="23" spans="1:16">
      <c r="A23" s="64">
        <f t="shared" si="0"/>
        <v>13</v>
      </c>
      <c r="C23" s="65" t="s">
        <v>55</v>
      </c>
      <c r="D23" s="69">
        <f t="shared" si="1"/>
        <v>8105</v>
      </c>
      <c r="E23" s="67"/>
      <c r="F23" s="19"/>
      <c r="G23" s="19"/>
      <c r="H23" s="19"/>
      <c r="I23" s="19"/>
      <c r="J23" s="19"/>
      <c r="K23" s="19"/>
      <c r="L23" s="19"/>
      <c r="M23" s="19"/>
      <c r="N23" s="19"/>
      <c r="O23" s="19"/>
      <c r="P23" s="19"/>
    </row>
    <row r="24" spans="1:16">
      <c r="A24" s="64">
        <f t="shared" si="0"/>
        <v>14</v>
      </c>
      <c r="C24" s="65" t="s">
        <v>339</v>
      </c>
      <c r="D24" s="69">
        <f t="shared" si="1"/>
        <v>8105</v>
      </c>
      <c r="E24" s="67"/>
      <c r="F24" s="19"/>
      <c r="G24" s="19"/>
      <c r="H24" s="19"/>
      <c r="I24" s="19"/>
      <c r="J24" s="19"/>
      <c r="K24" s="19"/>
      <c r="L24" s="19"/>
      <c r="M24" s="19"/>
      <c r="N24" s="19"/>
      <c r="O24" s="19"/>
      <c r="P24" s="19"/>
    </row>
    <row r="25" spans="1:16">
      <c r="A25" s="64">
        <f t="shared" si="0"/>
        <v>15</v>
      </c>
      <c r="C25" s="65"/>
      <c r="D25" s="72"/>
      <c r="E25" s="73"/>
      <c r="F25" s="19"/>
      <c r="G25" s="19"/>
      <c r="H25" s="19"/>
      <c r="I25" s="19"/>
      <c r="J25" s="19"/>
      <c r="K25" s="19"/>
      <c r="L25" s="19"/>
      <c r="M25" s="19"/>
      <c r="N25" s="19"/>
      <c r="O25" s="19"/>
      <c r="P25" s="19"/>
    </row>
    <row r="26" spans="1:16" ht="12.75" thickBot="1">
      <c r="A26" s="64">
        <f t="shared" si="0"/>
        <v>16</v>
      </c>
      <c r="C26" s="77" t="s">
        <v>29</v>
      </c>
      <c r="D26" s="175">
        <f>(D12+D24)/2</f>
        <v>8105</v>
      </c>
      <c r="E26" s="73"/>
      <c r="F26" s="19"/>
      <c r="G26" s="19"/>
      <c r="H26" s="19"/>
      <c r="I26" s="19"/>
      <c r="J26" s="19"/>
      <c r="K26" s="19"/>
      <c r="L26" s="19"/>
      <c r="M26" s="19"/>
      <c r="N26" s="19"/>
      <c r="O26" s="19"/>
      <c r="P26" s="19"/>
    </row>
    <row r="27" spans="1:16" ht="12.75" customHeight="1">
      <c r="A27" s="64">
        <f t="shared" si="0"/>
        <v>17</v>
      </c>
      <c r="D27" s="73"/>
      <c r="E27" s="73"/>
      <c r="F27" s="19"/>
      <c r="G27" s="19"/>
      <c r="H27" s="19"/>
      <c r="I27" s="19"/>
      <c r="J27" s="19"/>
      <c r="K27" s="19"/>
      <c r="L27" s="19"/>
      <c r="M27" s="19"/>
      <c r="N27" s="19"/>
      <c r="O27" s="19"/>
      <c r="P27" s="19"/>
    </row>
    <row r="28" spans="1:16">
      <c r="A28" s="64">
        <f t="shared" si="0"/>
        <v>18</v>
      </c>
      <c r="D28" s="54" t="s">
        <v>64</v>
      </c>
      <c r="E28" s="57"/>
      <c r="F28" s="19"/>
      <c r="G28" s="19"/>
      <c r="H28" s="19"/>
      <c r="I28" s="19"/>
      <c r="J28" s="19"/>
      <c r="K28" s="19"/>
      <c r="L28" s="19"/>
      <c r="M28" s="19"/>
      <c r="N28" s="19"/>
      <c r="O28" s="19"/>
      <c r="P28" s="19"/>
    </row>
    <row r="29" spans="1:16">
      <c r="A29" s="64">
        <f t="shared" si="0"/>
        <v>19</v>
      </c>
      <c r="C29" s="19"/>
      <c r="D29" s="54">
        <v>105</v>
      </c>
      <c r="E29" s="57"/>
      <c r="F29" s="19"/>
      <c r="G29" s="19"/>
      <c r="H29" s="19"/>
      <c r="I29" s="19"/>
      <c r="J29" s="19"/>
      <c r="K29" s="19"/>
      <c r="L29" s="19"/>
      <c r="M29" s="19"/>
      <c r="N29" s="19"/>
      <c r="O29" s="19"/>
      <c r="P29" s="19"/>
    </row>
    <row r="30" spans="1:16">
      <c r="A30" s="64">
        <f t="shared" si="0"/>
        <v>20</v>
      </c>
      <c r="B30" s="183" t="s">
        <v>113</v>
      </c>
      <c r="C30" s="184"/>
      <c r="D30" s="63"/>
      <c r="F30" s="19"/>
      <c r="G30" s="19"/>
      <c r="H30" s="19"/>
      <c r="I30" s="19"/>
      <c r="J30" s="19"/>
      <c r="K30" s="19"/>
      <c r="L30" s="19"/>
      <c r="M30" s="19"/>
      <c r="N30" s="19"/>
      <c r="O30" s="19"/>
      <c r="P30" s="19"/>
    </row>
    <row r="31" spans="1:16">
      <c r="A31" s="64">
        <f t="shared" si="0"/>
        <v>21</v>
      </c>
      <c r="C31" s="65" t="s">
        <v>250</v>
      </c>
      <c r="D31" s="151">
        <v>0</v>
      </c>
      <c r="E31" s="67"/>
      <c r="F31" s="19"/>
      <c r="G31" s="19"/>
      <c r="H31" s="19"/>
      <c r="I31" s="19"/>
      <c r="J31" s="19"/>
      <c r="K31" s="19"/>
      <c r="L31" s="19"/>
      <c r="M31" s="19"/>
      <c r="N31" s="19"/>
      <c r="O31" s="19"/>
      <c r="P31" s="19"/>
    </row>
    <row r="32" spans="1:16">
      <c r="A32" s="64">
        <f t="shared" si="0"/>
        <v>22</v>
      </c>
      <c r="C32" s="65" t="s">
        <v>340</v>
      </c>
      <c r="D32" s="142">
        <v>0</v>
      </c>
      <c r="E32" s="67"/>
      <c r="F32" s="19"/>
      <c r="G32" s="19"/>
      <c r="H32" s="19"/>
      <c r="I32" s="19"/>
      <c r="J32" s="19"/>
      <c r="K32" s="19"/>
      <c r="L32" s="19"/>
      <c r="M32" s="19"/>
      <c r="N32" s="19"/>
      <c r="O32" s="19"/>
      <c r="P32" s="19"/>
    </row>
    <row r="33" spans="1:16">
      <c r="A33" s="64">
        <f t="shared" si="0"/>
        <v>23</v>
      </c>
      <c r="C33" s="65" t="s">
        <v>47</v>
      </c>
      <c r="D33" s="142">
        <v>0</v>
      </c>
      <c r="E33" s="67"/>
      <c r="F33" s="19"/>
      <c r="G33" s="19"/>
      <c r="H33" s="19"/>
      <c r="I33" s="19"/>
      <c r="J33" s="19"/>
      <c r="K33" s="19"/>
      <c r="L33" s="19"/>
      <c r="M33" s="19"/>
      <c r="N33" s="19"/>
      <c r="O33" s="19"/>
      <c r="P33" s="19"/>
    </row>
    <row r="34" spans="1:16">
      <c r="A34" s="64">
        <f t="shared" si="0"/>
        <v>24</v>
      </c>
      <c r="C34" s="65" t="s">
        <v>48</v>
      </c>
      <c r="D34" s="142">
        <v>0</v>
      </c>
      <c r="E34" s="67"/>
      <c r="F34" s="19"/>
      <c r="G34" s="19"/>
      <c r="H34" s="19"/>
      <c r="I34" s="19"/>
      <c r="J34" s="19"/>
      <c r="K34" s="19"/>
      <c r="L34" s="19"/>
      <c r="M34" s="19"/>
      <c r="N34" s="19"/>
      <c r="O34" s="19"/>
      <c r="P34" s="19"/>
    </row>
    <row r="35" spans="1:16">
      <c r="A35" s="64">
        <f t="shared" si="0"/>
        <v>25</v>
      </c>
      <c r="C35" s="65" t="s">
        <v>49</v>
      </c>
      <c r="D35" s="142">
        <v>0</v>
      </c>
      <c r="E35" s="67"/>
      <c r="F35" s="19"/>
      <c r="G35" s="19"/>
      <c r="H35" s="19"/>
      <c r="I35" s="19"/>
      <c r="J35" s="19"/>
      <c r="K35" s="19"/>
      <c r="L35" s="19"/>
      <c r="M35" s="19"/>
      <c r="N35" s="19"/>
      <c r="O35" s="19"/>
      <c r="P35" s="19"/>
    </row>
    <row r="36" spans="1:16">
      <c r="A36" s="64">
        <f t="shared" si="0"/>
        <v>26</v>
      </c>
      <c r="C36" s="65" t="s">
        <v>21</v>
      </c>
      <c r="D36" s="142">
        <v>0</v>
      </c>
      <c r="E36" s="67"/>
      <c r="F36" s="19"/>
      <c r="G36" s="19"/>
      <c r="H36" s="19"/>
      <c r="I36" s="19"/>
      <c r="J36" s="19"/>
      <c r="K36" s="19"/>
      <c r="L36" s="19"/>
      <c r="M36" s="19"/>
      <c r="N36" s="19"/>
      <c r="O36" s="19"/>
      <c r="P36" s="19"/>
    </row>
    <row r="37" spans="1:16">
      <c r="A37" s="64">
        <f t="shared" si="0"/>
        <v>27</v>
      </c>
      <c r="C37" s="65" t="s">
        <v>50</v>
      </c>
      <c r="D37" s="142">
        <v>0</v>
      </c>
      <c r="E37" s="67"/>
      <c r="F37" s="19"/>
      <c r="G37" s="19"/>
      <c r="H37" s="19"/>
      <c r="I37" s="19"/>
      <c r="J37" s="19"/>
      <c r="K37" s="19"/>
      <c r="L37" s="19"/>
      <c r="M37" s="19"/>
      <c r="N37" s="19"/>
      <c r="O37" s="19"/>
      <c r="P37" s="19"/>
    </row>
    <row r="38" spans="1:16">
      <c r="A38" s="64">
        <f t="shared" si="0"/>
        <v>28</v>
      </c>
      <c r="C38" s="65" t="s">
        <v>51</v>
      </c>
      <c r="D38" s="142">
        <v>0</v>
      </c>
      <c r="E38" s="67"/>
      <c r="F38" s="19"/>
      <c r="G38" s="19"/>
      <c r="H38" s="19"/>
      <c r="I38" s="19"/>
      <c r="J38" s="19"/>
      <c r="K38" s="19"/>
      <c r="L38" s="19"/>
      <c r="M38" s="19"/>
      <c r="N38" s="19"/>
      <c r="O38" s="19"/>
      <c r="P38" s="19"/>
    </row>
    <row r="39" spans="1:16">
      <c r="A39" s="64">
        <f t="shared" si="0"/>
        <v>29</v>
      </c>
      <c r="C39" s="65" t="s">
        <v>52</v>
      </c>
      <c r="D39" s="142">
        <v>0</v>
      </c>
      <c r="E39" s="67"/>
      <c r="F39" s="19"/>
      <c r="G39" s="19"/>
      <c r="H39" s="19"/>
      <c r="I39" s="19"/>
      <c r="J39" s="19"/>
      <c r="K39" s="19"/>
      <c r="L39" s="19"/>
      <c r="M39" s="19"/>
      <c r="N39" s="19"/>
      <c r="O39" s="19"/>
      <c r="P39" s="19"/>
    </row>
    <row r="40" spans="1:16">
      <c r="A40" s="64">
        <f t="shared" si="0"/>
        <v>30</v>
      </c>
      <c r="C40" s="65" t="s">
        <v>53</v>
      </c>
      <c r="D40" s="142">
        <v>0</v>
      </c>
      <c r="E40" s="67"/>
      <c r="F40" s="19"/>
      <c r="G40" s="19"/>
      <c r="H40" s="19"/>
      <c r="I40" s="19"/>
      <c r="J40" s="19"/>
      <c r="K40" s="19"/>
      <c r="L40" s="19"/>
      <c r="M40" s="19"/>
      <c r="N40" s="19"/>
      <c r="O40" s="19"/>
      <c r="P40" s="19"/>
    </row>
    <row r="41" spans="1:16">
      <c r="A41" s="64">
        <f t="shared" ref="A41:A64" si="2">+A40+1</f>
        <v>31</v>
      </c>
      <c r="C41" s="65" t="s">
        <v>54</v>
      </c>
      <c r="D41" s="142">
        <v>0</v>
      </c>
      <c r="E41" s="67"/>
      <c r="F41" s="19"/>
      <c r="G41" s="19"/>
      <c r="H41" s="19"/>
      <c r="I41" s="19"/>
      <c r="J41" s="19"/>
      <c r="K41" s="19"/>
      <c r="L41" s="19"/>
      <c r="M41" s="19"/>
      <c r="N41" s="19"/>
      <c r="O41" s="19"/>
      <c r="P41" s="19"/>
    </row>
    <row r="42" spans="1:16">
      <c r="A42" s="64">
        <f t="shared" si="2"/>
        <v>32</v>
      </c>
      <c r="C42" s="65" t="s">
        <v>55</v>
      </c>
      <c r="D42" s="142">
        <v>0</v>
      </c>
      <c r="E42" s="67"/>
      <c r="F42" s="19"/>
      <c r="G42" s="19"/>
      <c r="H42" s="19"/>
      <c r="I42" s="19"/>
      <c r="J42" s="19"/>
      <c r="K42" s="19"/>
      <c r="L42" s="19"/>
      <c r="M42" s="19"/>
      <c r="N42" s="19"/>
      <c r="O42" s="19"/>
      <c r="P42" s="19"/>
    </row>
    <row r="43" spans="1:16">
      <c r="A43" s="64">
        <f t="shared" si="2"/>
        <v>33</v>
      </c>
      <c r="C43" s="65" t="s">
        <v>339</v>
      </c>
      <c r="D43" s="142">
        <v>0</v>
      </c>
      <c r="E43" s="67"/>
      <c r="F43" s="19"/>
      <c r="G43" s="19"/>
      <c r="H43" s="19"/>
      <c r="I43" s="19"/>
      <c r="J43" s="19"/>
      <c r="K43" s="19"/>
      <c r="L43" s="19"/>
      <c r="M43" s="19"/>
      <c r="N43" s="19"/>
      <c r="O43" s="19"/>
      <c r="P43" s="19"/>
    </row>
    <row r="44" spans="1:16">
      <c r="A44" s="64">
        <f t="shared" si="2"/>
        <v>34</v>
      </c>
      <c r="C44" s="65"/>
      <c r="D44" s="72"/>
      <c r="E44" s="73"/>
      <c r="F44" s="19"/>
      <c r="G44" s="19"/>
      <c r="H44" s="19"/>
      <c r="I44" s="19"/>
      <c r="J44" s="19"/>
      <c r="K44" s="19"/>
      <c r="L44" s="19"/>
      <c r="M44" s="19"/>
      <c r="N44" s="19"/>
      <c r="O44" s="19"/>
      <c r="P44" s="19"/>
    </row>
    <row r="45" spans="1:16">
      <c r="A45" s="64">
        <f t="shared" si="2"/>
        <v>35</v>
      </c>
      <c r="C45" s="77" t="s">
        <v>29</v>
      </c>
      <c r="D45" s="120">
        <f>(D31+D43)/2</f>
        <v>0</v>
      </c>
      <c r="E45" s="73"/>
      <c r="F45" s="19"/>
      <c r="G45" s="19"/>
      <c r="H45" s="19"/>
      <c r="I45" s="19"/>
      <c r="J45" s="19"/>
      <c r="K45" s="19"/>
      <c r="L45" s="19"/>
      <c r="M45" s="19"/>
      <c r="N45" s="19"/>
      <c r="O45" s="19"/>
      <c r="P45" s="19"/>
    </row>
    <row r="46" spans="1:16">
      <c r="A46" s="64">
        <f t="shared" si="2"/>
        <v>36</v>
      </c>
      <c r="C46" s="19"/>
      <c r="D46" s="19"/>
      <c r="E46" s="19"/>
      <c r="F46" s="19"/>
      <c r="G46" s="19"/>
      <c r="H46" s="19"/>
      <c r="I46" s="19"/>
      <c r="J46" s="19"/>
      <c r="K46" s="19"/>
      <c r="L46" s="19"/>
      <c r="M46" s="19"/>
      <c r="N46" s="19"/>
      <c r="O46" s="19"/>
      <c r="P46" s="19"/>
    </row>
    <row r="47" spans="1:16">
      <c r="A47" s="64">
        <f t="shared" si="2"/>
        <v>37</v>
      </c>
      <c r="C47" s="19"/>
      <c r="D47" s="54" t="s">
        <v>64</v>
      </c>
      <c r="E47" s="57"/>
      <c r="F47" s="19"/>
      <c r="G47" s="19"/>
      <c r="H47" s="19"/>
      <c r="I47" s="19"/>
      <c r="J47" s="19"/>
      <c r="K47" s="19"/>
      <c r="L47" s="19"/>
      <c r="M47" s="19"/>
      <c r="N47" s="19"/>
      <c r="O47" s="19"/>
      <c r="P47" s="19"/>
    </row>
    <row r="48" spans="1:16">
      <c r="A48" s="64">
        <f t="shared" si="2"/>
        <v>38</v>
      </c>
      <c r="C48" s="19"/>
      <c r="D48" s="54">
        <v>105</v>
      </c>
      <c r="E48" s="57"/>
      <c r="F48" s="19"/>
      <c r="G48" s="19"/>
      <c r="H48" s="19"/>
      <c r="I48" s="19"/>
      <c r="J48" s="19"/>
      <c r="K48" s="19"/>
      <c r="L48" s="19"/>
      <c r="M48" s="19"/>
      <c r="N48" s="19"/>
      <c r="O48" s="19"/>
      <c r="P48" s="19"/>
    </row>
    <row r="49" spans="1:16">
      <c r="A49" s="64">
        <f t="shared" si="2"/>
        <v>39</v>
      </c>
      <c r="B49" s="183" t="s">
        <v>114</v>
      </c>
      <c r="C49" s="184"/>
      <c r="D49" s="63"/>
      <c r="F49" s="19"/>
      <c r="G49" s="19"/>
      <c r="H49" s="19"/>
      <c r="I49" s="19"/>
      <c r="J49" s="19"/>
      <c r="K49" s="19"/>
      <c r="L49" s="19"/>
      <c r="M49" s="19"/>
      <c r="N49" s="19"/>
      <c r="O49" s="19"/>
      <c r="P49" s="19"/>
    </row>
    <row r="50" spans="1:16">
      <c r="A50" s="64">
        <f t="shared" si="2"/>
        <v>40</v>
      </c>
      <c r="C50" s="65" t="s">
        <v>250</v>
      </c>
      <c r="D50" s="151">
        <v>8105</v>
      </c>
      <c r="E50" s="67"/>
      <c r="F50" s="19"/>
      <c r="G50" s="19"/>
      <c r="H50" s="19"/>
      <c r="I50" s="19"/>
      <c r="J50" s="19"/>
      <c r="K50" s="19"/>
      <c r="L50" s="19"/>
      <c r="M50" s="19"/>
      <c r="N50" s="19"/>
      <c r="O50" s="19"/>
      <c r="P50" s="19"/>
    </row>
    <row r="51" spans="1:16">
      <c r="A51" s="64">
        <f t="shared" si="2"/>
        <v>41</v>
      </c>
      <c r="C51" s="65" t="s">
        <v>340</v>
      </c>
      <c r="D51" s="152">
        <v>8105</v>
      </c>
      <c r="E51" s="67"/>
      <c r="F51" s="19"/>
      <c r="G51" s="19"/>
      <c r="H51" s="19"/>
      <c r="I51" s="19"/>
      <c r="J51" s="19"/>
      <c r="K51" s="19"/>
      <c r="L51" s="19"/>
      <c r="M51" s="19"/>
      <c r="N51" s="19"/>
      <c r="O51" s="19"/>
      <c r="P51" s="19"/>
    </row>
    <row r="52" spans="1:16">
      <c r="A52" s="64">
        <f t="shared" si="2"/>
        <v>42</v>
      </c>
      <c r="C52" s="65" t="s">
        <v>47</v>
      </c>
      <c r="D52" s="152">
        <v>8105</v>
      </c>
      <c r="E52" s="67"/>
      <c r="F52" s="19"/>
      <c r="G52" s="19"/>
      <c r="H52" s="19"/>
      <c r="I52" s="19"/>
      <c r="J52" s="19"/>
      <c r="K52" s="19"/>
      <c r="L52" s="19"/>
      <c r="M52" s="19"/>
      <c r="N52" s="19"/>
      <c r="O52" s="19"/>
      <c r="P52" s="19"/>
    </row>
    <row r="53" spans="1:16">
      <c r="A53" s="64">
        <f t="shared" si="2"/>
        <v>43</v>
      </c>
      <c r="C53" s="65" t="s">
        <v>48</v>
      </c>
      <c r="D53" s="152">
        <v>8105</v>
      </c>
      <c r="E53" s="67"/>
      <c r="F53" s="19"/>
      <c r="G53" s="19"/>
      <c r="H53" s="19"/>
      <c r="I53" s="19"/>
      <c r="J53" s="19"/>
      <c r="K53" s="19"/>
      <c r="L53" s="19"/>
      <c r="M53" s="19"/>
      <c r="N53" s="19"/>
      <c r="O53" s="19"/>
      <c r="P53" s="19"/>
    </row>
    <row r="54" spans="1:16">
      <c r="A54" s="64">
        <f t="shared" si="2"/>
        <v>44</v>
      </c>
      <c r="C54" s="65" t="s">
        <v>49</v>
      </c>
      <c r="D54" s="152">
        <v>8105</v>
      </c>
      <c r="E54" s="67"/>
      <c r="F54" s="19"/>
      <c r="G54" s="19"/>
      <c r="H54" s="19"/>
      <c r="I54" s="19"/>
      <c r="J54" s="19"/>
      <c r="K54" s="19"/>
      <c r="L54" s="19"/>
      <c r="M54" s="19"/>
      <c r="N54" s="19"/>
      <c r="O54" s="19"/>
      <c r="P54" s="19"/>
    </row>
    <row r="55" spans="1:16">
      <c r="A55" s="64">
        <f t="shared" si="2"/>
        <v>45</v>
      </c>
      <c r="C55" s="65" t="s">
        <v>21</v>
      </c>
      <c r="D55" s="152">
        <v>8105</v>
      </c>
      <c r="E55" s="67"/>
      <c r="F55" s="19"/>
      <c r="G55" s="19"/>
      <c r="H55" s="19"/>
      <c r="I55" s="19"/>
      <c r="J55" s="19"/>
      <c r="K55" s="19"/>
      <c r="L55" s="19"/>
      <c r="M55" s="19"/>
      <c r="N55" s="19"/>
      <c r="O55" s="19"/>
      <c r="P55" s="19"/>
    </row>
    <row r="56" spans="1:16">
      <c r="A56" s="64">
        <f t="shared" si="2"/>
        <v>46</v>
      </c>
      <c r="C56" s="65" t="s">
        <v>50</v>
      </c>
      <c r="D56" s="152">
        <v>8105</v>
      </c>
      <c r="E56" s="67"/>
      <c r="F56" s="19"/>
      <c r="G56" s="19"/>
      <c r="H56" s="19"/>
      <c r="I56" s="19"/>
      <c r="J56" s="19"/>
      <c r="K56" s="19"/>
      <c r="L56" s="19"/>
      <c r="M56" s="19"/>
      <c r="N56" s="19"/>
      <c r="O56" s="19"/>
      <c r="P56" s="19"/>
    </row>
    <row r="57" spans="1:16">
      <c r="A57" s="64">
        <f t="shared" si="2"/>
        <v>47</v>
      </c>
      <c r="C57" s="65" t="s">
        <v>51</v>
      </c>
      <c r="D57" s="152">
        <v>8105</v>
      </c>
      <c r="E57" s="67"/>
      <c r="F57" s="19"/>
      <c r="G57" s="19"/>
      <c r="H57" s="19"/>
      <c r="I57" s="19"/>
      <c r="J57" s="19"/>
      <c r="K57" s="19"/>
      <c r="L57" s="19"/>
      <c r="M57" s="19"/>
      <c r="N57" s="19"/>
      <c r="O57" s="19"/>
      <c r="P57" s="19"/>
    </row>
    <row r="58" spans="1:16">
      <c r="A58" s="64">
        <f t="shared" si="2"/>
        <v>48</v>
      </c>
      <c r="C58" s="65" t="s">
        <v>52</v>
      </c>
      <c r="D58" s="152">
        <v>8105</v>
      </c>
      <c r="E58" s="67"/>
      <c r="F58" s="19"/>
      <c r="G58" s="19"/>
      <c r="H58" s="19"/>
      <c r="I58" s="19"/>
      <c r="J58" s="19"/>
      <c r="K58" s="19"/>
      <c r="L58" s="19"/>
      <c r="M58" s="19"/>
      <c r="N58" s="19"/>
      <c r="O58" s="19"/>
      <c r="P58" s="19"/>
    </row>
    <row r="59" spans="1:16">
      <c r="A59" s="64">
        <f t="shared" si="2"/>
        <v>49</v>
      </c>
      <c r="C59" s="65" t="s">
        <v>53</v>
      </c>
      <c r="D59" s="152">
        <v>8105</v>
      </c>
      <c r="E59" s="67"/>
      <c r="F59" s="19"/>
      <c r="G59" s="19"/>
      <c r="H59" s="19"/>
      <c r="I59" s="19"/>
      <c r="J59" s="19"/>
      <c r="K59" s="19"/>
      <c r="L59" s="19"/>
      <c r="M59" s="19"/>
      <c r="N59" s="19"/>
      <c r="O59" s="19"/>
      <c r="P59" s="19"/>
    </row>
    <row r="60" spans="1:16">
      <c r="A60" s="64">
        <f t="shared" si="2"/>
        <v>50</v>
      </c>
      <c r="C60" s="65" t="s">
        <v>54</v>
      </c>
      <c r="D60" s="152">
        <v>8105</v>
      </c>
      <c r="E60" s="67"/>
      <c r="F60" s="19"/>
      <c r="G60" s="19"/>
      <c r="H60" s="19"/>
      <c r="I60" s="19"/>
      <c r="J60" s="19"/>
      <c r="K60" s="19"/>
      <c r="L60" s="19"/>
      <c r="M60" s="19"/>
      <c r="N60" s="19"/>
      <c r="O60" s="19"/>
      <c r="P60" s="19"/>
    </row>
    <row r="61" spans="1:16">
      <c r="A61" s="64">
        <f t="shared" si="2"/>
        <v>51</v>
      </c>
      <c r="C61" s="65" t="s">
        <v>55</v>
      </c>
      <c r="D61" s="152">
        <v>8105</v>
      </c>
      <c r="E61" s="67"/>
      <c r="F61" s="19"/>
      <c r="G61" s="19"/>
      <c r="H61" s="19"/>
      <c r="I61" s="19"/>
      <c r="J61" s="19"/>
      <c r="K61" s="19"/>
      <c r="L61" s="19"/>
      <c r="M61" s="19"/>
      <c r="N61" s="19"/>
      <c r="O61" s="19"/>
      <c r="P61" s="19"/>
    </row>
    <row r="62" spans="1:16">
      <c r="A62" s="64">
        <f t="shared" si="2"/>
        <v>52</v>
      </c>
      <c r="C62" s="65" t="s">
        <v>339</v>
      </c>
      <c r="D62" s="152">
        <v>8105</v>
      </c>
      <c r="E62" s="67"/>
      <c r="F62" s="19"/>
      <c r="G62" s="19"/>
      <c r="H62" s="19"/>
      <c r="I62" s="19"/>
      <c r="J62" s="19"/>
      <c r="K62" s="19"/>
      <c r="L62" s="19"/>
      <c r="M62" s="19"/>
      <c r="N62" s="19"/>
      <c r="O62" s="19"/>
      <c r="P62" s="19"/>
    </row>
    <row r="63" spans="1:16">
      <c r="A63" s="64">
        <f t="shared" si="2"/>
        <v>53</v>
      </c>
      <c r="C63" s="65"/>
      <c r="D63" s="72"/>
      <c r="E63" s="73"/>
      <c r="F63" s="19"/>
      <c r="G63" s="19"/>
      <c r="H63" s="19"/>
      <c r="I63" s="19"/>
      <c r="J63" s="19"/>
      <c r="K63" s="19"/>
      <c r="L63" s="19"/>
      <c r="M63" s="19"/>
      <c r="N63" s="19"/>
      <c r="O63" s="19"/>
      <c r="P63" s="19"/>
    </row>
    <row r="64" spans="1:16">
      <c r="A64" s="64">
        <f t="shared" si="2"/>
        <v>54</v>
      </c>
      <c r="C64" s="77" t="s">
        <v>29</v>
      </c>
      <c r="D64" s="120">
        <f>(D50+D62)/2</f>
        <v>8105</v>
      </c>
      <c r="E64" s="73"/>
      <c r="F64" s="19"/>
      <c r="G64" s="19"/>
      <c r="H64" s="19"/>
      <c r="I64" s="19"/>
      <c r="J64" s="19"/>
      <c r="K64" s="19"/>
      <c r="L64" s="19"/>
      <c r="M64" s="19"/>
      <c r="N64" s="19"/>
      <c r="O64" s="19"/>
      <c r="P64" s="19"/>
    </row>
  </sheetData>
  <phoneticPr fontId="10" type="noConversion"/>
  <pageMargins left="0.5" right="0.25" top="0.5" bottom="0.25" header="0.75" footer="0.5"/>
  <pageSetup scale="73" orientation="portrait" horizontalDpi="1200" verticalDpi="1200" r:id="rId1"/>
  <headerFooter alignWithMargins="0">
    <oddFooter>&amp;CPage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42"/>
    <pageSetUpPr autoPageBreaks="0" fitToPage="1"/>
  </sheetPr>
  <dimension ref="A1:P95"/>
  <sheetViews>
    <sheetView showGridLines="0" topLeftCell="A49" zoomScaleNormal="80" workbookViewId="0"/>
  </sheetViews>
  <sheetFormatPr defaultColWidth="14.44140625" defaultRowHeight="12"/>
  <cols>
    <col min="1" max="1" width="4.5546875" style="51" customWidth="1"/>
    <col min="2" max="2" width="2.77734375" style="49" customWidth="1"/>
    <col min="3" max="3" width="34.6640625" style="49" customWidth="1"/>
    <col min="4" max="4" width="14.44140625" style="49" customWidth="1"/>
    <col min="5" max="5" width="4.77734375" style="49" customWidth="1"/>
    <col min="6" max="6" width="13.109375" style="49" bestFit="1" customWidth="1"/>
    <col min="7" max="7" width="0.88671875" style="49" customWidth="1"/>
    <col min="8" max="8" width="12.88671875" style="49" bestFit="1" customWidth="1"/>
    <col min="9" max="9" width="0.88671875" style="49" customWidth="1"/>
    <col min="10" max="10" width="12.88671875" style="49" bestFit="1" customWidth="1"/>
    <col min="11" max="11" width="0.88671875" style="49" customWidth="1"/>
    <col min="12" max="12" width="12.88671875" style="49" customWidth="1"/>
    <col min="13" max="13" width="0.88671875" style="49" customWidth="1"/>
    <col min="14" max="14" width="18.109375" style="49" bestFit="1" customWidth="1"/>
    <col min="15" max="15" width="0.6640625" style="49" customWidth="1"/>
    <col min="16" max="16" width="14.44140625" style="49" bestFit="1" customWidth="1"/>
    <col min="17" max="16384" width="14.44140625" style="49"/>
  </cols>
  <sheetData>
    <row r="1" spans="1:16">
      <c r="A1" s="6" t="s">
        <v>1030</v>
      </c>
      <c r="B1" s="47"/>
      <c r="C1" s="47"/>
      <c r="D1" s="47"/>
      <c r="E1" s="47"/>
      <c r="F1" s="48" t="str">
        <f>'Cover Rev 2'!C1</f>
        <v>2015 Workpapers</v>
      </c>
      <c r="G1" s="47"/>
      <c r="H1" s="47"/>
      <c r="I1" s="47"/>
      <c r="J1" s="47"/>
      <c r="K1" s="47"/>
      <c r="L1" s="47"/>
      <c r="M1" s="47"/>
      <c r="N1" s="47"/>
      <c r="O1" s="47"/>
    </row>
    <row r="2" spans="1:16">
      <c r="A2" s="6" t="s">
        <v>1027</v>
      </c>
      <c r="B2" s="47"/>
      <c r="C2" s="47"/>
      <c r="D2" s="47"/>
      <c r="E2" s="47"/>
      <c r="F2" s="50"/>
      <c r="G2" s="47"/>
      <c r="H2" s="47"/>
      <c r="I2" s="47"/>
      <c r="J2" s="47"/>
      <c r="K2" s="47"/>
      <c r="L2" s="47"/>
      <c r="M2" s="47"/>
      <c r="N2" s="47"/>
      <c r="O2" s="47"/>
    </row>
    <row r="3" spans="1:16">
      <c r="A3" s="6" t="s">
        <v>337</v>
      </c>
      <c r="B3" s="47"/>
      <c r="C3" s="47"/>
      <c r="D3" s="185"/>
      <c r="E3" s="47"/>
      <c r="F3" s="47"/>
      <c r="G3" s="47"/>
      <c r="H3" s="47"/>
      <c r="I3" s="47"/>
      <c r="J3" s="47"/>
      <c r="K3" s="47"/>
      <c r="L3" s="47"/>
      <c r="M3" s="47"/>
      <c r="N3" s="47"/>
      <c r="O3" s="47"/>
    </row>
    <row r="4" spans="1:16">
      <c r="A4" s="483" t="s">
        <v>232</v>
      </c>
    </row>
    <row r="5" spans="1:16">
      <c r="A5" s="51" t="s">
        <v>46</v>
      </c>
      <c r="D5" s="54" t="s">
        <v>1046</v>
      </c>
      <c r="E5" s="57"/>
      <c r="F5" s="31" t="s">
        <v>45</v>
      </c>
      <c r="G5" s="19"/>
      <c r="H5" s="19"/>
      <c r="I5" s="19"/>
      <c r="J5" s="19"/>
      <c r="K5" s="19"/>
      <c r="L5" s="19"/>
      <c r="M5" s="19"/>
      <c r="N5" s="19"/>
      <c r="O5" s="19"/>
      <c r="P5" s="19"/>
    </row>
    <row r="6" spans="1:16">
      <c r="A6" s="58" t="s">
        <v>22</v>
      </c>
      <c r="D6" s="54" t="s">
        <v>1047</v>
      </c>
      <c r="E6" s="57"/>
      <c r="F6" s="30" t="s">
        <v>1048</v>
      </c>
      <c r="G6" s="19"/>
      <c r="H6" s="19"/>
      <c r="I6" s="19"/>
      <c r="J6" s="19"/>
      <c r="K6" s="19"/>
      <c r="L6" s="19"/>
      <c r="M6" s="19"/>
      <c r="N6" s="19"/>
      <c r="O6" s="19"/>
      <c r="P6" s="19"/>
    </row>
    <row r="7" spans="1:16">
      <c r="A7" s="64">
        <v>1</v>
      </c>
      <c r="B7" s="61" t="s">
        <v>1031</v>
      </c>
      <c r="C7" s="62"/>
      <c r="D7" s="63"/>
      <c r="F7" s="19"/>
      <c r="G7" s="19"/>
      <c r="H7" s="19"/>
      <c r="I7" s="19"/>
      <c r="J7" s="19"/>
      <c r="K7" s="19"/>
      <c r="L7" s="19"/>
      <c r="M7" s="19"/>
      <c r="N7" s="19"/>
      <c r="O7" s="19"/>
      <c r="P7" s="19"/>
    </row>
    <row r="8" spans="1:16">
      <c r="A8" s="64">
        <v>2</v>
      </c>
      <c r="C8" s="65" t="s">
        <v>252</v>
      </c>
      <c r="D8" s="66">
        <f>D34+D60</f>
        <v>148524758</v>
      </c>
      <c r="E8" s="67"/>
      <c r="F8" s="66">
        <f>F34+F60</f>
        <v>92784894</v>
      </c>
      <c r="G8" s="19"/>
      <c r="H8" s="19"/>
      <c r="I8" s="19"/>
      <c r="J8" s="19"/>
      <c r="K8" s="19"/>
      <c r="L8" s="19"/>
      <c r="M8" s="19"/>
      <c r="N8" s="19"/>
      <c r="O8" s="19"/>
      <c r="P8" s="19"/>
    </row>
    <row r="9" spans="1:16">
      <c r="A9" s="64">
        <f t="shared" ref="A9:A71" si="0">+A8+1</f>
        <v>3</v>
      </c>
      <c r="C9" s="65" t="s">
        <v>341</v>
      </c>
      <c r="D9" s="69">
        <f>D35+D61</f>
        <v>0</v>
      </c>
      <c r="E9" s="67"/>
      <c r="F9" s="69">
        <f>F35+F61</f>
        <v>0</v>
      </c>
      <c r="G9" s="19"/>
      <c r="H9" s="19"/>
      <c r="I9" s="19"/>
      <c r="J9" s="19"/>
      <c r="K9" s="19"/>
      <c r="L9" s="19"/>
      <c r="M9" s="19"/>
      <c r="N9" s="19"/>
      <c r="O9" s="19"/>
      <c r="P9" s="19"/>
    </row>
    <row r="10" spans="1:16">
      <c r="A10" s="64">
        <f t="shared" si="0"/>
        <v>4</v>
      </c>
      <c r="C10" s="65" t="s">
        <v>342</v>
      </c>
      <c r="D10" s="69">
        <f t="shared" ref="D10:F20" si="1">D36+D62</f>
        <v>0</v>
      </c>
      <c r="E10" s="67"/>
      <c r="F10" s="69">
        <f t="shared" si="1"/>
        <v>0</v>
      </c>
      <c r="G10" s="19"/>
      <c r="H10" s="19"/>
      <c r="I10" s="19"/>
      <c r="J10" s="19"/>
      <c r="K10" s="19"/>
      <c r="L10" s="19"/>
      <c r="M10" s="19"/>
      <c r="N10" s="19"/>
      <c r="O10" s="19"/>
      <c r="P10" s="19"/>
    </row>
    <row r="11" spans="1:16">
      <c r="A11" s="64">
        <f t="shared" si="0"/>
        <v>5</v>
      </c>
      <c r="C11" s="65" t="s">
        <v>343</v>
      </c>
      <c r="D11" s="69">
        <f t="shared" si="1"/>
        <v>0</v>
      </c>
      <c r="E11" s="67"/>
      <c r="F11" s="69">
        <f t="shared" si="1"/>
        <v>0</v>
      </c>
      <c r="G11" s="19"/>
      <c r="H11" s="19"/>
      <c r="I11" s="19"/>
      <c r="J11" s="19"/>
      <c r="K11" s="19"/>
      <c r="L11" s="19"/>
      <c r="M11" s="19"/>
      <c r="N11" s="19"/>
      <c r="O11" s="19"/>
      <c r="P11" s="19"/>
    </row>
    <row r="12" spans="1:16">
      <c r="A12" s="64">
        <f t="shared" si="0"/>
        <v>6</v>
      </c>
      <c r="C12" s="65" t="s">
        <v>344</v>
      </c>
      <c r="D12" s="69">
        <f t="shared" si="1"/>
        <v>0</v>
      </c>
      <c r="E12" s="67"/>
      <c r="F12" s="69">
        <f t="shared" si="1"/>
        <v>0</v>
      </c>
      <c r="G12" s="19"/>
      <c r="H12" s="19"/>
      <c r="I12" s="19"/>
      <c r="J12" s="19"/>
      <c r="K12" s="19"/>
      <c r="L12" s="19"/>
      <c r="M12" s="19"/>
      <c r="N12" s="19"/>
      <c r="O12" s="19"/>
      <c r="P12" s="19"/>
    </row>
    <row r="13" spans="1:16">
      <c r="A13" s="64">
        <f t="shared" si="0"/>
        <v>7</v>
      </c>
      <c r="C13" s="65" t="s">
        <v>345</v>
      </c>
      <c r="D13" s="69">
        <f t="shared" si="1"/>
        <v>0</v>
      </c>
      <c r="E13" s="67"/>
      <c r="F13" s="69">
        <f t="shared" si="1"/>
        <v>0</v>
      </c>
      <c r="G13" s="19"/>
      <c r="H13" s="19"/>
      <c r="I13" s="19"/>
      <c r="J13" s="19"/>
      <c r="K13" s="19"/>
      <c r="L13" s="19"/>
      <c r="M13" s="19"/>
      <c r="N13" s="19"/>
      <c r="O13" s="19"/>
      <c r="P13" s="19"/>
    </row>
    <row r="14" spans="1:16">
      <c r="A14" s="64">
        <f t="shared" si="0"/>
        <v>8</v>
      </c>
      <c r="C14" s="65" t="s">
        <v>251</v>
      </c>
      <c r="D14" s="69">
        <f t="shared" si="1"/>
        <v>0</v>
      </c>
      <c r="E14" s="67"/>
      <c r="F14" s="69">
        <f t="shared" si="1"/>
        <v>0</v>
      </c>
      <c r="G14" s="19"/>
      <c r="H14" s="19"/>
      <c r="I14" s="19"/>
      <c r="J14" s="19"/>
      <c r="K14" s="19"/>
      <c r="L14" s="19"/>
      <c r="M14" s="19"/>
      <c r="N14" s="19"/>
      <c r="O14" s="19"/>
      <c r="P14" s="19"/>
    </row>
    <row r="15" spans="1:16">
      <c r="A15" s="64">
        <f t="shared" si="0"/>
        <v>9</v>
      </c>
      <c r="C15" s="65" t="s">
        <v>346</v>
      </c>
      <c r="D15" s="69">
        <f t="shared" si="1"/>
        <v>0</v>
      </c>
      <c r="E15" s="67"/>
      <c r="F15" s="69">
        <f t="shared" si="1"/>
        <v>0</v>
      </c>
      <c r="G15" s="19"/>
      <c r="H15" s="19"/>
      <c r="I15" s="19"/>
      <c r="J15" s="19"/>
      <c r="K15" s="19"/>
      <c r="L15" s="19"/>
      <c r="M15" s="19"/>
      <c r="N15" s="19"/>
      <c r="O15" s="19"/>
      <c r="P15" s="19"/>
    </row>
    <row r="16" spans="1:16">
      <c r="A16" s="64">
        <f t="shared" si="0"/>
        <v>10</v>
      </c>
      <c r="C16" s="65" t="s">
        <v>347</v>
      </c>
      <c r="D16" s="69">
        <f t="shared" si="1"/>
        <v>0</v>
      </c>
      <c r="E16" s="67"/>
      <c r="F16" s="69">
        <f t="shared" si="1"/>
        <v>0</v>
      </c>
      <c r="G16" s="19"/>
      <c r="H16" s="19"/>
      <c r="I16" s="19"/>
      <c r="J16" s="19"/>
      <c r="K16" s="19"/>
      <c r="L16" s="19"/>
      <c r="M16" s="19"/>
      <c r="N16" s="19"/>
      <c r="O16" s="19"/>
      <c r="P16" s="19"/>
    </row>
    <row r="17" spans="1:16">
      <c r="A17" s="64">
        <f t="shared" si="0"/>
        <v>11</v>
      </c>
      <c r="C17" s="65" t="s">
        <v>348</v>
      </c>
      <c r="D17" s="69">
        <f t="shared" si="1"/>
        <v>0</v>
      </c>
      <c r="E17" s="67"/>
      <c r="F17" s="69">
        <f t="shared" si="1"/>
        <v>0</v>
      </c>
      <c r="G17" s="19"/>
      <c r="H17" s="19"/>
      <c r="I17" s="19"/>
      <c r="J17" s="19"/>
      <c r="K17" s="19"/>
      <c r="L17" s="19"/>
      <c r="M17" s="19"/>
      <c r="N17" s="19"/>
      <c r="O17" s="19"/>
      <c r="P17" s="19"/>
    </row>
    <row r="18" spans="1:16">
      <c r="A18" s="64">
        <f t="shared" si="0"/>
        <v>12</v>
      </c>
      <c r="C18" s="65" t="s">
        <v>349</v>
      </c>
      <c r="D18" s="69">
        <f t="shared" si="1"/>
        <v>0</v>
      </c>
      <c r="E18" s="67"/>
      <c r="F18" s="69">
        <f t="shared" si="1"/>
        <v>0</v>
      </c>
      <c r="G18" s="19"/>
      <c r="H18" s="19"/>
      <c r="I18" s="19"/>
      <c r="J18" s="19"/>
      <c r="K18" s="19"/>
      <c r="L18" s="19"/>
      <c r="M18" s="19"/>
      <c r="N18" s="19"/>
      <c r="O18" s="19"/>
      <c r="P18" s="19"/>
    </row>
    <row r="19" spans="1:16">
      <c r="A19" s="64">
        <f t="shared" si="0"/>
        <v>13</v>
      </c>
      <c r="C19" s="65" t="s">
        <v>350</v>
      </c>
      <c r="D19" s="69">
        <f t="shared" si="1"/>
        <v>0</v>
      </c>
      <c r="E19" s="67"/>
      <c r="F19" s="69">
        <f t="shared" si="1"/>
        <v>0</v>
      </c>
      <c r="G19" s="19"/>
      <c r="H19" s="19"/>
      <c r="I19" s="19"/>
      <c r="J19" s="19"/>
      <c r="K19" s="19"/>
      <c r="L19" s="19"/>
      <c r="M19" s="19"/>
      <c r="N19" s="19"/>
      <c r="O19" s="19"/>
      <c r="P19" s="19"/>
    </row>
    <row r="20" spans="1:16">
      <c r="A20" s="64">
        <f t="shared" si="0"/>
        <v>14</v>
      </c>
      <c r="C20" s="65" t="s">
        <v>351</v>
      </c>
      <c r="D20" s="116">
        <f t="shared" si="1"/>
        <v>154527156</v>
      </c>
      <c r="E20" s="67"/>
      <c r="F20" s="116">
        <f t="shared" si="1"/>
        <v>96843568</v>
      </c>
      <c r="G20" s="19"/>
      <c r="H20" s="19"/>
      <c r="I20" s="19"/>
      <c r="J20" s="19"/>
      <c r="K20" s="19"/>
      <c r="L20" s="19"/>
      <c r="M20" s="19"/>
      <c r="N20" s="19"/>
      <c r="O20" s="19"/>
      <c r="P20" s="19"/>
    </row>
    <row r="21" spans="1:16">
      <c r="A21" s="64">
        <f t="shared" si="0"/>
        <v>15</v>
      </c>
      <c r="C21" s="65"/>
      <c r="D21" s="72"/>
      <c r="E21" s="73"/>
      <c r="F21" s="72"/>
      <c r="G21" s="19"/>
      <c r="H21" s="19"/>
      <c r="I21" s="19"/>
      <c r="J21" s="19"/>
      <c r="K21" s="19"/>
      <c r="L21" s="19"/>
      <c r="M21" s="19"/>
      <c r="N21" s="19"/>
      <c r="O21" s="19"/>
      <c r="P21" s="19"/>
    </row>
    <row r="22" spans="1:16">
      <c r="A22" s="64">
        <f t="shared" si="0"/>
        <v>16</v>
      </c>
      <c r="C22" s="65" t="s">
        <v>66</v>
      </c>
      <c r="D22" s="116">
        <f>+D48</f>
        <v>0</v>
      </c>
      <c r="E22" s="73"/>
      <c r="F22" s="117"/>
      <c r="G22" s="19"/>
      <c r="H22" s="19"/>
      <c r="I22" s="19"/>
      <c r="J22" s="19"/>
      <c r="K22" s="19"/>
      <c r="L22" s="19"/>
      <c r="M22" s="19"/>
      <c r="N22" s="19"/>
      <c r="O22" s="19"/>
      <c r="P22" s="19"/>
    </row>
    <row r="23" spans="1:16">
      <c r="A23" s="64"/>
      <c r="C23" s="65"/>
      <c r="D23" s="118"/>
      <c r="E23" s="73"/>
      <c r="F23" s="118"/>
      <c r="G23" s="19"/>
      <c r="H23" s="19"/>
      <c r="I23" s="19"/>
      <c r="J23" s="19"/>
      <c r="K23" s="19"/>
      <c r="L23" s="19"/>
      <c r="M23" s="19"/>
      <c r="N23" s="19"/>
      <c r="O23" s="19"/>
      <c r="P23" s="19"/>
    </row>
    <row r="24" spans="1:16">
      <c r="A24" s="64">
        <f>A20+1</f>
        <v>15</v>
      </c>
      <c r="C24" s="119" t="s">
        <v>91</v>
      </c>
      <c r="D24" s="120">
        <f>D50+D74</f>
        <v>151525957</v>
      </c>
      <c r="E24" s="118"/>
      <c r="F24" s="120">
        <f>F50+F74</f>
        <v>94814231</v>
      </c>
      <c r="G24" s="19"/>
      <c r="H24" s="19"/>
      <c r="I24" s="19"/>
      <c r="J24" s="19"/>
      <c r="K24" s="19"/>
      <c r="L24" s="19"/>
      <c r="M24" s="19"/>
      <c r="N24" s="19"/>
      <c r="O24" s="19"/>
      <c r="P24" s="19"/>
    </row>
    <row r="25" spans="1:16">
      <c r="A25" s="64">
        <f>A24+1</f>
        <v>16</v>
      </c>
      <c r="C25" s="65" t="s">
        <v>87</v>
      </c>
      <c r="D25" s="73"/>
      <c r="E25" s="73"/>
      <c r="F25" s="19"/>
      <c r="G25" s="19"/>
      <c r="H25" s="19"/>
      <c r="I25" s="19"/>
      <c r="J25" s="19"/>
      <c r="K25" s="19"/>
      <c r="L25" s="19"/>
      <c r="M25" s="19"/>
      <c r="N25" s="19"/>
      <c r="O25" s="19"/>
      <c r="P25" s="19"/>
    </row>
    <row r="26" spans="1:16">
      <c r="A26" s="64">
        <f>A25+1</f>
        <v>17</v>
      </c>
      <c r="C26" s="65" t="s">
        <v>264</v>
      </c>
      <c r="D26" s="171" t="s">
        <v>96</v>
      </c>
      <c r="E26" s="172"/>
      <c r="F26" s="171" t="s">
        <v>96</v>
      </c>
      <c r="H26" s="73"/>
      <c r="J26" s="73"/>
      <c r="K26" s="73"/>
      <c r="L26" s="73"/>
      <c r="M26" s="73"/>
      <c r="N26" s="73"/>
      <c r="O26" s="73"/>
      <c r="P26" s="71"/>
    </row>
    <row r="27" spans="1:16" ht="3" customHeight="1">
      <c r="A27" s="64"/>
      <c r="C27" s="65"/>
      <c r="D27" s="73"/>
      <c r="E27" s="73"/>
      <c r="F27" s="73"/>
      <c r="H27" s="73"/>
      <c r="J27" s="73"/>
      <c r="K27" s="73"/>
      <c r="L27" s="73"/>
      <c r="M27" s="73"/>
      <c r="N27" s="73"/>
      <c r="O27" s="73"/>
      <c r="P27" s="71"/>
    </row>
    <row r="28" spans="1:16" ht="12.75" thickBot="1">
      <c r="A28" s="64">
        <f>A26+1</f>
        <v>18</v>
      </c>
      <c r="C28" s="121" t="s">
        <v>91</v>
      </c>
      <c r="D28" s="78">
        <f>D54+D78</f>
        <v>405785.03690000001</v>
      </c>
      <c r="E28" s="122"/>
      <c r="F28" s="78">
        <f>F54+F78</f>
        <v>88618420.699850008</v>
      </c>
      <c r="H28" s="73"/>
      <c r="J28" s="73"/>
      <c r="K28" s="73"/>
      <c r="L28" s="73"/>
      <c r="M28" s="73"/>
      <c r="N28" s="73"/>
      <c r="O28" s="73"/>
      <c r="P28" s="71"/>
    </row>
    <row r="29" spans="1:16" ht="6.75" customHeight="1" thickTop="1">
      <c r="A29" s="64"/>
      <c r="D29" s="19"/>
      <c r="E29" s="19"/>
      <c r="F29" s="19"/>
      <c r="G29" s="19"/>
      <c r="H29" s="19"/>
      <c r="I29" s="19"/>
      <c r="J29" s="19"/>
      <c r="K29" s="19"/>
      <c r="L29" s="19"/>
      <c r="M29" s="19"/>
      <c r="N29" s="19"/>
      <c r="O29" s="19"/>
      <c r="P29" s="19"/>
    </row>
    <row r="30" spans="1:16" ht="7.5" customHeight="1">
      <c r="A30" s="64"/>
      <c r="D30" s="19"/>
      <c r="E30" s="19"/>
      <c r="F30" s="19"/>
      <c r="G30" s="19"/>
      <c r="H30" s="19"/>
      <c r="I30" s="19"/>
      <c r="J30" s="19"/>
      <c r="K30" s="19"/>
      <c r="L30" s="19"/>
      <c r="M30" s="19"/>
      <c r="N30" s="19"/>
      <c r="O30" s="19"/>
      <c r="P30" s="19"/>
    </row>
    <row r="31" spans="1:16">
      <c r="A31" s="64"/>
      <c r="D31" s="54" t="s">
        <v>1046</v>
      </c>
      <c r="E31" s="57"/>
      <c r="F31" s="31" t="s">
        <v>45</v>
      </c>
      <c r="G31" s="19"/>
      <c r="H31" s="19"/>
      <c r="I31" s="19"/>
      <c r="J31" s="19"/>
      <c r="K31" s="19"/>
      <c r="L31" s="19"/>
      <c r="M31" s="19"/>
      <c r="N31" s="19"/>
      <c r="O31" s="19"/>
      <c r="P31" s="19"/>
    </row>
    <row r="32" spans="1:16">
      <c r="A32" s="64"/>
      <c r="C32" s="19"/>
      <c r="D32" s="54" t="s">
        <v>1047</v>
      </c>
      <c r="E32" s="57"/>
      <c r="F32" s="30" t="s">
        <v>1048</v>
      </c>
      <c r="G32" s="19"/>
      <c r="H32" s="19"/>
      <c r="I32" s="19"/>
      <c r="J32" s="19"/>
      <c r="K32" s="19"/>
      <c r="L32" s="19"/>
      <c r="M32" s="19"/>
      <c r="N32" s="19"/>
      <c r="O32" s="19"/>
      <c r="P32" s="19"/>
    </row>
    <row r="33" spans="1:16">
      <c r="A33" s="64">
        <f>A28+1</f>
        <v>19</v>
      </c>
      <c r="B33" s="183" t="s">
        <v>113</v>
      </c>
      <c r="C33" s="184"/>
      <c r="D33" s="63"/>
      <c r="F33" s="19"/>
      <c r="G33" s="19"/>
      <c r="H33" s="19"/>
      <c r="I33" s="19"/>
      <c r="J33" s="19"/>
      <c r="K33" s="19"/>
      <c r="L33" s="19"/>
      <c r="M33" s="19"/>
      <c r="N33" s="19"/>
      <c r="O33" s="19"/>
      <c r="P33" s="19"/>
    </row>
    <row r="34" spans="1:16">
      <c r="A34" s="64">
        <f>A33+1</f>
        <v>20</v>
      </c>
      <c r="C34" s="65" t="s">
        <v>252</v>
      </c>
      <c r="D34" s="142">
        <v>141991789</v>
      </c>
      <c r="E34" s="340"/>
      <c r="F34" s="340">
        <v>70237243</v>
      </c>
      <c r="G34" s="19"/>
      <c r="H34" s="123"/>
      <c r="I34" s="19"/>
      <c r="J34" s="19"/>
      <c r="K34" s="19"/>
      <c r="L34" s="19"/>
      <c r="M34" s="19"/>
      <c r="N34" s="19"/>
      <c r="O34" s="19"/>
      <c r="P34" s="19"/>
    </row>
    <row r="35" spans="1:16">
      <c r="A35" s="64">
        <f t="shared" si="0"/>
        <v>21</v>
      </c>
      <c r="C35" s="65" t="s">
        <v>341</v>
      </c>
      <c r="D35" s="142">
        <v>0</v>
      </c>
      <c r="E35" s="340"/>
      <c r="F35" s="340">
        <v>0</v>
      </c>
      <c r="G35" s="19"/>
      <c r="H35" s="67"/>
      <c r="I35" s="19"/>
      <c r="J35" s="19"/>
      <c r="K35" s="19"/>
      <c r="L35" s="19"/>
      <c r="M35" s="19"/>
      <c r="N35" s="19"/>
      <c r="O35" s="19"/>
      <c r="P35" s="19"/>
    </row>
    <row r="36" spans="1:16">
      <c r="A36" s="64">
        <f t="shared" si="0"/>
        <v>22</v>
      </c>
      <c r="C36" s="65" t="s">
        <v>342</v>
      </c>
      <c r="D36" s="142">
        <v>0</v>
      </c>
      <c r="E36" s="340"/>
      <c r="F36" s="340">
        <v>0</v>
      </c>
      <c r="G36" s="19"/>
      <c r="H36" s="67"/>
      <c r="I36" s="19"/>
      <c r="J36" s="19"/>
      <c r="K36" s="19"/>
      <c r="L36" s="19"/>
      <c r="M36" s="19"/>
      <c r="N36" s="19"/>
      <c r="O36" s="19"/>
      <c r="P36" s="19"/>
    </row>
    <row r="37" spans="1:16">
      <c r="A37" s="64">
        <f t="shared" si="0"/>
        <v>23</v>
      </c>
      <c r="C37" s="65" t="s">
        <v>343</v>
      </c>
      <c r="D37" s="142">
        <v>0</v>
      </c>
      <c r="E37" s="340"/>
      <c r="F37" s="340">
        <v>0</v>
      </c>
      <c r="G37" s="19"/>
      <c r="H37" s="67"/>
      <c r="I37" s="19"/>
      <c r="J37" s="19"/>
      <c r="K37" s="19"/>
      <c r="L37" s="19"/>
      <c r="M37" s="19"/>
      <c r="N37" s="19"/>
      <c r="O37" s="19"/>
      <c r="P37" s="19"/>
    </row>
    <row r="38" spans="1:16">
      <c r="A38" s="64">
        <f t="shared" si="0"/>
        <v>24</v>
      </c>
      <c r="C38" s="65" t="s">
        <v>344</v>
      </c>
      <c r="D38" s="142">
        <v>0</v>
      </c>
      <c r="E38" s="340"/>
      <c r="F38" s="340">
        <v>0</v>
      </c>
      <c r="G38" s="19"/>
      <c r="H38" s="67"/>
      <c r="I38" s="19"/>
      <c r="J38" s="19"/>
      <c r="K38" s="19"/>
      <c r="L38" s="19"/>
      <c r="M38" s="19"/>
      <c r="N38" s="19"/>
      <c r="O38" s="19"/>
      <c r="P38" s="19"/>
    </row>
    <row r="39" spans="1:16">
      <c r="A39" s="64">
        <f t="shared" si="0"/>
        <v>25</v>
      </c>
      <c r="C39" s="65" t="s">
        <v>345</v>
      </c>
      <c r="D39" s="142">
        <v>0</v>
      </c>
      <c r="E39" s="340"/>
      <c r="F39" s="340">
        <v>0</v>
      </c>
      <c r="G39" s="19"/>
      <c r="H39" s="67"/>
      <c r="I39" s="19"/>
      <c r="J39" s="19"/>
      <c r="K39" s="19"/>
      <c r="L39" s="19"/>
      <c r="M39" s="19"/>
      <c r="N39" s="19"/>
      <c r="O39" s="19"/>
      <c r="P39" s="19"/>
    </row>
    <row r="40" spans="1:16">
      <c r="A40" s="64">
        <f t="shared" si="0"/>
        <v>26</v>
      </c>
      <c r="C40" s="65" t="s">
        <v>251</v>
      </c>
      <c r="D40" s="142">
        <v>0</v>
      </c>
      <c r="E40" s="340"/>
      <c r="F40" s="340">
        <v>0</v>
      </c>
      <c r="G40" s="19"/>
      <c r="H40" s="67"/>
      <c r="I40" s="19"/>
      <c r="J40" s="19"/>
      <c r="K40" s="19"/>
      <c r="L40" s="19"/>
      <c r="M40" s="19"/>
      <c r="N40" s="19"/>
      <c r="O40" s="19"/>
      <c r="P40" s="19"/>
    </row>
    <row r="41" spans="1:16">
      <c r="A41" s="64">
        <f t="shared" si="0"/>
        <v>27</v>
      </c>
      <c r="C41" s="65" t="s">
        <v>346</v>
      </c>
      <c r="D41" s="142">
        <v>0</v>
      </c>
      <c r="E41" s="340"/>
      <c r="F41" s="340">
        <v>0</v>
      </c>
      <c r="G41" s="19"/>
      <c r="H41" s="67"/>
      <c r="I41" s="19"/>
      <c r="J41" s="19"/>
      <c r="K41" s="19"/>
      <c r="L41" s="19"/>
      <c r="M41" s="19"/>
      <c r="N41" s="19"/>
      <c r="O41" s="19"/>
      <c r="P41" s="19"/>
    </row>
    <row r="42" spans="1:16">
      <c r="A42" s="64">
        <f t="shared" si="0"/>
        <v>28</v>
      </c>
      <c r="C42" s="65" t="s">
        <v>347</v>
      </c>
      <c r="D42" s="142">
        <v>0</v>
      </c>
      <c r="E42" s="340"/>
      <c r="F42" s="340">
        <v>0</v>
      </c>
      <c r="G42" s="19"/>
      <c r="H42" s="67"/>
      <c r="I42" s="19"/>
      <c r="J42" s="19"/>
      <c r="K42" s="19"/>
      <c r="L42" s="19"/>
      <c r="M42" s="19"/>
      <c r="N42" s="19"/>
      <c r="O42" s="19"/>
      <c r="P42" s="19"/>
    </row>
    <row r="43" spans="1:16">
      <c r="A43" s="64">
        <f t="shared" si="0"/>
        <v>29</v>
      </c>
      <c r="C43" s="65" t="s">
        <v>348</v>
      </c>
      <c r="D43" s="142">
        <v>0</v>
      </c>
      <c r="E43" s="340"/>
      <c r="F43" s="340">
        <v>0</v>
      </c>
      <c r="G43" s="19"/>
      <c r="H43" s="67"/>
      <c r="I43" s="19"/>
      <c r="J43" s="19"/>
      <c r="K43" s="19"/>
      <c r="L43" s="19"/>
      <c r="M43" s="19"/>
      <c r="N43" s="19"/>
      <c r="O43" s="19"/>
      <c r="P43" s="19"/>
    </row>
    <row r="44" spans="1:16">
      <c r="A44" s="64">
        <f t="shared" si="0"/>
        <v>30</v>
      </c>
      <c r="C44" s="65" t="s">
        <v>349</v>
      </c>
      <c r="D44" s="142">
        <v>0</v>
      </c>
      <c r="E44" s="340"/>
      <c r="F44" s="340">
        <v>0</v>
      </c>
      <c r="G44" s="19"/>
      <c r="H44" s="67"/>
      <c r="I44" s="19"/>
      <c r="J44" s="19"/>
      <c r="K44" s="19"/>
      <c r="L44" s="19"/>
      <c r="M44" s="19"/>
      <c r="N44" s="19"/>
      <c r="O44" s="19"/>
      <c r="P44" s="19"/>
    </row>
    <row r="45" spans="1:16">
      <c r="A45" s="64">
        <f t="shared" si="0"/>
        <v>31</v>
      </c>
      <c r="C45" s="65" t="s">
        <v>350</v>
      </c>
      <c r="D45" s="142">
        <v>0</v>
      </c>
      <c r="E45" s="340"/>
      <c r="F45" s="340">
        <v>0</v>
      </c>
      <c r="G45" s="19"/>
      <c r="H45" s="67"/>
      <c r="I45" s="19"/>
      <c r="J45" s="19"/>
      <c r="K45" s="19"/>
      <c r="L45" s="19"/>
      <c r="M45" s="19"/>
      <c r="N45" s="19"/>
      <c r="O45" s="19"/>
      <c r="P45" s="19"/>
    </row>
    <row r="46" spans="1:16">
      <c r="A46" s="64">
        <f t="shared" si="0"/>
        <v>32</v>
      </c>
      <c r="C46" s="65" t="s">
        <v>351</v>
      </c>
      <c r="D46" s="142">
        <v>147719937</v>
      </c>
      <c r="E46" s="340"/>
      <c r="F46" s="340">
        <v>72223570</v>
      </c>
      <c r="G46" s="19"/>
      <c r="H46" s="67"/>
      <c r="I46" s="19"/>
      <c r="J46" s="19"/>
      <c r="K46" s="19"/>
      <c r="L46" s="19"/>
      <c r="M46" s="19"/>
      <c r="N46" s="19"/>
      <c r="O46" s="19"/>
      <c r="P46" s="19"/>
    </row>
    <row r="47" spans="1:16">
      <c r="A47" s="64">
        <f t="shared" si="0"/>
        <v>33</v>
      </c>
      <c r="C47" s="65"/>
      <c r="D47" s="142"/>
      <c r="E47" s="340"/>
      <c r="F47" s="340"/>
      <c r="G47" s="19"/>
      <c r="H47" s="67"/>
      <c r="I47" s="19"/>
      <c r="J47" s="19"/>
      <c r="K47" s="19"/>
      <c r="L47" s="19"/>
      <c r="M47" s="19"/>
      <c r="N47" s="19"/>
      <c r="O47" s="19"/>
      <c r="P47" s="19"/>
    </row>
    <row r="48" spans="1:16">
      <c r="A48" s="64">
        <f t="shared" si="0"/>
        <v>34</v>
      </c>
      <c r="C48" s="65" t="s">
        <v>204</v>
      </c>
      <c r="D48" s="142">
        <v>0</v>
      </c>
      <c r="E48" s="340"/>
      <c r="F48" s="340">
        <v>0</v>
      </c>
      <c r="G48" s="19"/>
      <c r="H48" s="67"/>
      <c r="I48" s="19"/>
      <c r="J48" s="19"/>
      <c r="K48" s="19"/>
      <c r="L48" s="19"/>
      <c r="M48" s="19"/>
      <c r="N48" s="19"/>
      <c r="O48" s="19"/>
      <c r="P48" s="19"/>
    </row>
    <row r="49" spans="1:16">
      <c r="A49" s="64"/>
      <c r="C49" s="65"/>
      <c r="D49" s="72"/>
      <c r="E49" s="73"/>
      <c r="F49" s="72"/>
      <c r="G49" s="19"/>
      <c r="H49" s="118"/>
      <c r="I49" s="19"/>
      <c r="J49" s="19"/>
      <c r="K49" s="19"/>
      <c r="L49" s="19"/>
      <c r="M49" s="19"/>
      <c r="N49" s="19"/>
      <c r="O49" s="19"/>
      <c r="P49" s="19"/>
    </row>
    <row r="50" spans="1:16">
      <c r="A50" s="64">
        <f>A46+1</f>
        <v>33</v>
      </c>
      <c r="C50" s="119" t="s">
        <v>91</v>
      </c>
      <c r="D50" s="125">
        <f>SUM(D34:D46)/2+D48</f>
        <v>144855863</v>
      </c>
      <c r="E50" s="118"/>
      <c r="F50" s="125">
        <f>SUM(F34:F46)/2+F48</f>
        <v>71230406.5</v>
      </c>
      <c r="G50" s="19"/>
      <c r="H50" s="120"/>
      <c r="I50" s="19"/>
      <c r="J50" s="19"/>
      <c r="K50" s="19"/>
      <c r="L50" s="19"/>
      <c r="M50" s="19"/>
      <c r="N50" s="19"/>
      <c r="O50" s="19"/>
      <c r="P50" s="19"/>
    </row>
    <row r="51" spans="1:16">
      <c r="A51" s="64">
        <f>A50+1</f>
        <v>34</v>
      </c>
      <c r="C51" s="65" t="s">
        <v>87</v>
      </c>
      <c r="D51" s="19"/>
      <c r="E51" s="19"/>
      <c r="F51" s="19"/>
      <c r="G51" s="19"/>
      <c r="H51" s="19"/>
      <c r="I51" s="19"/>
      <c r="J51" s="19"/>
      <c r="K51" s="19"/>
      <c r="L51" s="19"/>
      <c r="M51" s="19"/>
      <c r="N51" s="19"/>
      <c r="O51" s="19"/>
      <c r="P51" s="19"/>
    </row>
    <row r="52" spans="1:16">
      <c r="A52" s="64">
        <f>A51+1</f>
        <v>35</v>
      </c>
      <c r="C52" s="65" t="s">
        <v>264</v>
      </c>
      <c r="D52" s="335">
        <f>D83</f>
        <v>2.7000000000000001E-3</v>
      </c>
      <c r="E52" s="342"/>
      <c r="F52" s="335">
        <f>F86</f>
        <v>0.94020000000000004</v>
      </c>
      <c r="G52" s="19"/>
      <c r="H52" s="19"/>
      <c r="I52" s="19"/>
      <c r="J52" s="19"/>
      <c r="K52" s="19"/>
      <c r="L52" s="19"/>
      <c r="M52" s="19"/>
      <c r="N52" s="19"/>
      <c r="O52" s="19"/>
      <c r="P52" s="19"/>
    </row>
    <row r="53" spans="1:16" ht="3" customHeight="1">
      <c r="A53" s="64"/>
      <c r="C53" s="65"/>
      <c r="D53" s="73"/>
      <c r="E53" s="73"/>
      <c r="F53" s="73"/>
      <c r="H53" s="73"/>
      <c r="J53" s="73"/>
      <c r="K53" s="73"/>
      <c r="L53" s="73"/>
      <c r="M53" s="73"/>
      <c r="N53" s="73"/>
      <c r="O53" s="73"/>
      <c r="P53" s="71"/>
    </row>
    <row r="54" spans="1:16" s="47" customFormat="1" ht="12.75" thickBot="1">
      <c r="A54" s="64">
        <f>A52+1</f>
        <v>36</v>
      </c>
      <c r="C54" s="121" t="s">
        <v>91</v>
      </c>
      <c r="D54" s="78">
        <f>D50*D52</f>
        <v>391110.83010000002</v>
      </c>
      <c r="E54" s="122"/>
      <c r="F54" s="78">
        <f>F50*F52</f>
        <v>66970828.191300005</v>
      </c>
      <c r="G54" s="122"/>
      <c r="H54" s="122"/>
      <c r="I54" s="122"/>
      <c r="J54" s="122"/>
      <c r="K54" s="122"/>
      <c r="L54" s="122"/>
      <c r="M54" s="122"/>
      <c r="N54" s="122"/>
      <c r="O54" s="122"/>
      <c r="P54" s="122"/>
    </row>
    <row r="55" spans="1:16" ht="7.5" customHeight="1" thickTop="1">
      <c r="A55" s="64"/>
      <c r="C55" s="19"/>
      <c r="D55" s="19"/>
      <c r="E55" s="19"/>
      <c r="F55" s="19"/>
      <c r="G55" s="19"/>
      <c r="K55" s="54"/>
      <c r="M55" s="54"/>
      <c r="N55" s="54"/>
      <c r="O55" s="54"/>
      <c r="P55" s="55"/>
    </row>
    <row r="56" spans="1:16" ht="6" customHeight="1">
      <c r="A56" s="64"/>
      <c r="C56" s="19"/>
      <c r="D56" s="19"/>
      <c r="E56" s="19"/>
      <c r="F56" s="19"/>
      <c r="G56" s="19"/>
      <c r="H56" s="19"/>
      <c r="I56" s="19"/>
      <c r="J56" s="19"/>
      <c r="K56" s="19"/>
      <c r="L56" s="19"/>
      <c r="M56" s="19"/>
      <c r="N56" s="19"/>
      <c r="O56" s="19"/>
      <c r="P56" s="19"/>
    </row>
    <row r="57" spans="1:16">
      <c r="A57" s="64"/>
      <c r="C57" s="19"/>
      <c r="D57" s="54" t="s">
        <v>1046</v>
      </c>
      <c r="E57" s="57"/>
      <c r="F57" s="31" t="s">
        <v>45</v>
      </c>
      <c r="G57" s="19"/>
      <c r="H57" s="19"/>
      <c r="I57" s="19"/>
      <c r="J57" s="19"/>
      <c r="K57" s="19"/>
      <c r="L57" s="19"/>
      <c r="M57" s="19"/>
      <c r="N57" s="19"/>
      <c r="O57" s="19"/>
      <c r="P57" s="19"/>
    </row>
    <row r="58" spans="1:16">
      <c r="A58" s="64"/>
      <c r="C58" s="19"/>
      <c r="D58" s="54" t="s">
        <v>1047</v>
      </c>
      <c r="E58" s="57"/>
      <c r="F58" s="30" t="s">
        <v>1048</v>
      </c>
      <c r="G58" s="19"/>
      <c r="H58" s="19"/>
      <c r="I58" s="19"/>
      <c r="J58" s="19"/>
      <c r="K58" s="19"/>
      <c r="L58" s="19"/>
      <c r="M58" s="19"/>
      <c r="N58" s="19"/>
      <c r="O58" s="19"/>
      <c r="P58" s="19"/>
    </row>
    <row r="59" spans="1:16">
      <c r="A59" s="64">
        <f>A54+1</f>
        <v>37</v>
      </c>
      <c r="B59" s="183" t="s">
        <v>114</v>
      </c>
      <c r="C59" s="184"/>
      <c r="D59" s="63"/>
      <c r="F59" s="19"/>
      <c r="G59" s="19"/>
      <c r="H59" s="19"/>
      <c r="I59" s="19"/>
      <c r="J59" s="19"/>
      <c r="K59" s="19"/>
      <c r="L59" s="19"/>
      <c r="M59" s="19"/>
      <c r="N59" s="19"/>
      <c r="O59" s="19"/>
      <c r="P59" s="19"/>
    </row>
    <row r="60" spans="1:16">
      <c r="A60" s="64">
        <f>A59+1</f>
        <v>38</v>
      </c>
      <c r="C60" s="65" t="s">
        <v>252</v>
      </c>
      <c r="D60" s="142">
        <v>6532969</v>
      </c>
      <c r="E60" s="142"/>
      <c r="F60" s="142">
        <v>22547651</v>
      </c>
      <c r="G60" s="19"/>
      <c r="H60" s="19"/>
      <c r="I60" s="19"/>
      <c r="J60" s="19"/>
      <c r="K60" s="19"/>
      <c r="L60" s="19"/>
      <c r="M60" s="19"/>
      <c r="N60" s="19"/>
      <c r="O60" s="19"/>
      <c r="P60" s="19"/>
    </row>
    <row r="61" spans="1:16">
      <c r="A61" s="64">
        <f t="shared" si="0"/>
        <v>39</v>
      </c>
      <c r="C61" s="65" t="s">
        <v>341</v>
      </c>
      <c r="D61" s="142">
        <v>0</v>
      </c>
      <c r="E61" s="142"/>
      <c r="F61" s="142">
        <v>0</v>
      </c>
      <c r="G61" s="19"/>
      <c r="H61" s="19"/>
      <c r="I61" s="19"/>
      <c r="J61" s="19"/>
      <c r="K61" s="19"/>
      <c r="L61" s="19"/>
      <c r="M61" s="19"/>
      <c r="N61" s="19"/>
      <c r="O61" s="19"/>
      <c r="P61" s="19"/>
    </row>
    <row r="62" spans="1:16">
      <c r="A62" s="64">
        <f t="shared" si="0"/>
        <v>40</v>
      </c>
      <c r="C62" s="65" t="s">
        <v>342</v>
      </c>
      <c r="D62" s="142">
        <v>0</v>
      </c>
      <c r="E62" s="142"/>
      <c r="F62" s="142">
        <v>0</v>
      </c>
      <c r="G62" s="19"/>
      <c r="H62" s="19"/>
      <c r="I62" s="19"/>
      <c r="J62" s="19"/>
      <c r="K62" s="19"/>
      <c r="L62" s="19"/>
      <c r="M62" s="19"/>
      <c r="N62" s="19"/>
      <c r="O62" s="19"/>
      <c r="P62" s="19"/>
    </row>
    <row r="63" spans="1:16">
      <c r="A63" s="64">
        <f t="shared" si="0"/>
        <v>41</v>
      </c>
      <c r="C63" s="65" t="s">
        <v>343</v>
      </c>
      <c r="D63" s="142">
        <v>0</v>
      </c>
      <c r="E63" s="142"/>
      <c r="F63" s="142">
        <v>0</v>
      </c>
      <c r="G63" s="19"/>
      <c r="H63" s="19"/>
      <c r="I63" s="19"/>
      <c r="J63" s="19"/>
      <c r="K63" s="19"/>
      <c r="L63" s="19"/>
      <c r="M63" s="19"/>
      <c r="N63" s="19"/>
      <c r="O63" s="19"/>
      <c r="P63" s="19"/>
    </row>
    <row r="64" spans="1:16">
      <c r="A64" s="64">
        <f t="shared" si="0"/>
        <v>42</v>
      </c>
      <c r="C64" s="65" t="s">
        <v>344</v>
      </c>
      <c r="D64" s="142">
        <v>0</v>
      </c>
      <c r="E64" s="142"/>
      <c r="F64" s="142">
        <v>0</v>
      </c>
      <c r="G64" s="19"/>
      <c r="H64" s="19"/>
      <c r="I64" s="19"/>
      <c r="J64" s="19"/>
      <c r="K64" s="19"/>
      <c r="L64" s="19"/>
      <c r="M64" s="19"/>
      <c r="N64" s="19"/>
      <c r="O64" s="19"/>
      <c r="P64" s="19"/>
    </row>
    <row r="65" spans="1:16">
      <c r="A65" s="64">
        <f t="shared" si="0"/>
        <v>43</v>
      </c>
      <c r="C65" s="65" t="s">
        <v>345</v>
      </c>
      <c r="D65" s="142">
        <v>0</v>
      </c>
      <c r="E65" s="142"/>
      <c r="F65" s="142">
        <v>0</v>
      </c>
      <c r="G65" s="19"/>
      <c r="H65" s="19"/>
      <c r="I65" s="19"/>
      <c r="J65" s="19"/>
      <c r="K65" s="19"/>
      <c r="L65" s="19"/>
      <c r="M65" s="19"/>
      <c r="N65" s="19"/>
      <c r="O65" s="19"/>
      <c r="P65" s="19"/>
    </row>
    <row r="66" spans="1:16">
      <c r="A66" s="64">
        <f t="shared" si="0"/>
        <v>44</v>
      </c>
      <c r="C66" s="65" t="s">
        <v>251</v>
      </c>
      <c r="D66" s="142">
        <v>0</v>
      </c>
      <c r="E66" s="142"/>
      <c r="F66" s="142">
        <v>0</v>
      </c>
      <c r="G66" s="19"/>
      <c r="H66" s="19"/>
      <c r="I66" s="19"/>
      <c r="J66" s="19"/>
      <c r="K66" s="19"/>
      <c r="L66" s="19"/>
      <c r="M66" s="19"/>
      <c r="N66" s="19"/>
      <c r="O66" s="19"/>
      <c r="P66" s="19"/>
    </row>
    <row r="67" spans="1:16">
      <c r="A67" s="64">
        <f t="shared" si="0"/>
        <v>45</v>
      </c>
      <c r="C67" s="65" t="s">
        <v>346</v>
      </c>
      <c r="D67" s="142">
        <v>0</v>
      </c>
      <c r="E67" s="142"/>
      <c r="F67" s="142">
        <v>0</v>
      </c>
      <c r="G67" s="19"/>
      <c r="H67" s="19"/>
      <c r="I67" s="19"/>
      <c r="J67" s="19"/>
      <c r="K67" s="19"/>
      <c r="L67" s="19"/>
      <c r="M67" s="19"/>
      <c r="N67" s="19"/>
      <c r="O67" s="19"/>
      <c r="P67" s="19"/>
    </row>
    <row r="68" spans="1:16">
      <c r="A68" s="64">
        <f t="shared" si="0"/>
        <v>46</v>
      </c>
      <c r="C68" s="65" t="s">
        <v>347</v>
      </c>
      <c r="D68" s="142">
        <v>0</v>
      </c>
      <c r="E68" s="142"/>
      <c r="F68" s="142">
        <v>0</v>
      </c>
      <c r="G68" s="19"/>
      <c r="H68" s="19"/>
      <c r="I68" s="19"/>
      <c r="J68" s="19"/>
      <c r="K68" s="19"/>
      <c r="L68" s="19"/>
      <c r="M68" s="19"/>
      <c r="N68" s="19"/>
      <c r="O68" s="19"/>
      <c r="P68" s="19"/>
    </row>
    <row r="69" spans="1:16">
      <c r="A69" s="64">
        <f t="shared" si="0"/>
        <v>47</v>
      </c>
      <c r="C69" s="65" t="s">
        <v>348</v>
      </c>
      <c r="D69" s="142">
        <v>0</v>
      </c>
      <c r="E69" s="142"/>
      <c r="F69" s="142">
        <v>0</v>
      </c>
      <c r="G69" s="19"/>
      <c r="H69" s="19"/>
      <c r="I69" s="19"/>
      <c r="J69" s="19"/>
      <c r="K69" s="19"/>
      <c r="L69" s="19"/>
      <c r="M69" s="19"/>
      <c r="N69" s="19"/>
      <c r="O69" s="19"/>
      <c r="P69" s="19"/>
    </row>
    <row r="70" spans="1:16">
      <c r="A70" s="64">
        <f t="shared" si="0"/>
        <v>48</v>
      </c>
      <c r="C70" s="65" t="s">
        <v>349</v>
      </c>
      <c r="D70" s="142">
        <v>0</v>
      </c>
      <c r="E70" s="142"/>
      <c r="F70" s="142">
        <v>0</v>
      </c>
      <c r="G70" s="19"/>
      <c r="H70" s="19"/>
      <c r="I70" s="19"/>
      <c r="J70" s="19"/>
      <c r="K70" s="19"/>
      <c r="L70" s="19"/>
      <c r="M70" s="19"/>
      <c r="N70" s="19"/>
      <c r="O70" s="19"/>
      <c r="P70" s="19"/>
    </row>
    <row r="71" spans="1:16">
      <c r="A71" s="64">
        <f t="shared" si="0"/>
        <v>49</v>
      </c>
      <c r="C71" s="65" t="s">
        <v>350</v>
      </c>
      <c r="D71" s="142">
        <v>0</v>
      </c>
      <c r="E71" s="142"/>
      <c r="F71" s="142">
        <v>0</v>
      </c>
      <c r="G71" s="19"/>
      <c r="H71" s="19"/>
      <c r="I71" s="19"/>
      <c r="J71" s="19"/>
      <c r="K71" s="19"/>
      <c r="L71" s="19"/>
      <c r="M71" s="19"/>
      <c r="N71" s="19"/>
      <c r="O71" s="19"/>
      <c r="P71" s="19"/>
    </row>
    <row r="72" spans="1:16">
      <c r="A72" s="64">
        <f>+A71+1</f>
        <v>50</v>
      </c>
      <c r="C72" s="65" t="s">
        <v>351</v>
      </c>
      <c r="D72" s="142">
        <v>6807219</v>
      </c>
      <c r="E72" s="142"/>
      <c r="F72" s="142">
        <v>24619998</v>
      </c>
      <c r="G72" s="19"/>
      <c r="H72" s="19"/>
      <c r="I72" s="19"/>
      <c r="J72" s="19"/>
      <c r="K72" s="19"/>
      <c r="L72" s="19"/>
      <c r="M72" s="19"/>
      <c r="N72" s="19"/>
      <c r="O72" s="19"/>
      <c r="P72" s="19"/>
    </row>
    <row r="73" spans="1:16">
      <c r="A73" s="64"/>
      <c r="C73" s="65"/>
      <c r="D73" s="160"/>
      <c r="E73" s="143"/>
      <c r="F73" s="160"/>
      <c r="G73" s="19"/>
      <c r="H73" s="19"/>
      <c r="I73" s="19"/>
      <c r="J73" s="19"/>
      <c r="K73" s="19"/>
      <c r="L73" s="19"/>
      <c r="M73" s="19"/>
      <c r="N73" s="19"/>
      <c r="O73" s="19"/>
      <c r="P73" s="19"/>
    </row>
    <row r="74" spans="1:16">
      <c r="A74" s="64">
        <f>A72+1</f>
        <v>51</v>
      </c>
      <c r="C74" s="119" t="s">
        <v>91</v>
      </c>
      <c r="D74" s="156">
        <f>SUM(D60:D72)/2</f>
        <v>6670094</v>
      </c>
      <c r="E74" s="144"/>
      <c r="F74" s="156">
        <f>SUM(F60:F72)/2</f>
        <v>23583824.5</v>
      </c>
      <c r="G74" s="19"/>
      <c r="H74" s="19"/>
      <c r="I74" s="19"/>
      <c r="J74" s="19"/>
      <c r="K74" s="19"/>
      <c r="L74" s="19"/>
      <c r="M74" s="19"/>
      <c r="N74" s="19"/>
      <c r="O74" s="19"/>
      <c r="P74" s="19"/>
    </row>
    <row r="75" spans="1:16">
      <c r="A75" s="64">
        <f>A74+1</f>
        <v>52</v>
      </c>
      <c r="C75" s="65" t="s">
        <v>87</v>
      </c>
      <c r="D75" s="145"/>
      <c r="E75" s="145"/>
      <c r="F75" s="145"/>
      <c r="G75" s="19"/>
      <c r="H75" s="19"/>
      <c r="I75" s="19"/>
      <c r="J75" s="19"/>
      <c r="K75" s="19"/>
      <c r="L75" s="19"/>
      <c r="M75" s="19"/>
      <c r="N75" s="19"/>
      <c r="O75" s="19"/>
      <c r="P75" s="19"/>
    </row>
    <row r="76" spans="1:16">
      <c r="A76" s="64">
        <f>A75+1</f>
        <v>53</v>
      </c>
      <c r="C76" s="65" t="s">
        <v>352</v>
      </c>
      <c r="D76" s="335">
        <f>D91</f>
        <v>2.2000000000000001E-3</v>
      </c>
      <c r="E76" s="342"/>
      <c r="F76" s="335">
        <f>F94</f>
        <v>0.91790000000000005</v>
      </c>
      <c r="G76" s="19"/>
      <c r="H76" s="19"/>
      <c r="I76" s="19"/>
      <c r="J76" s="19"/>
      <c r="K76" s="19"/>
      <c r="L76" s="19"/>
      <c r="M76" s="19"/>
      <c r="N76" s="19"/>
      <c r="O76" s="19"/>
      <c r="P76" s="19"/>
    </row>
    <row r="77" spans="1:16" ht="3" customHeight="1">
      <c r="A77" s="64"/>
      <c r="C77" s="65"/>
      <c r="D77" s="73"/>
      <c r="E77" s="73"/>
      <c r="F77" s="73"/>
      <c r="H77" s="73"/>
      <c r="J77" s="73"/>
      <c r="K77" s="73"/>
      <c r="L77" s="73"/>
      <c r="M77" s="73"/>
      <c r="N77" s="73"/>
      <c r="O77" s="73"/>
      <c r="P77" s="71"/>
    </row>
    <row r="78" spans="1:16" ht="12.75" thickBot="1">
      <c r="A78" s="64">
        <f>A76+1</f>
        <v>54</v>
      </c>
      <c r="C78" s="121" t="s">
        <v>91</v>
      </c>
      <c r="D78" s="86">
        <f>D74*D76</f>
        <v>14674.206800000002</v>
      </c>
      <c r="E78" s="146"/>
      <c r="F78" s="86">
        <f>F74*F76</f>
        <v>21647592.508549999</v>
      </c>
    </row>
    <row r="79" spans="1:16" ht="12.75" thickTop="1"/>
    <row r="80" spans="1:16">
      <c r="A80" s="64">
        <f>A78+1</f>
        <v>55</v>
      </c>
      <c r="C80" s="49" t="s">
        <v>353</v>
      </c>
    </row>
    <row r="81" spans="1:10">
      <c r="A81" s="64">
        <f t="shared" ref="A81:A94" si="2">+A80+1</f>
        <v>56</v>
      </c>
      <c r="C81" s="49" t="s">
        <v>265</v>
      </c>
      <c r="D81" s="49">
        <v>386995</v>
      </c>
    </row>
    <row r="82" spans="1:10">
      <c r="A82" s="64">
        <f t="shared" si="2"/>
        <v>57</v>
      </c>
      <c r="C82" s="49" t="s">
        <v>266</v>
      </c>
      <c r="D82" s="49">
        <v>143060772</v>
      </c>
    </row>
    <row r="83" spans="1:10">
      <c r="A83" s="64">
        <f t="shared" si="2"/>
        <v>58</v>
      </c>
      <c r="C83" s="49" t="s">
        <v>5</v>
      </c>
      <c r="D83" s="382">
        <f>ROUND(D81/D82,4)</f>
        <v>2.7000000000000001E-3</v>
      </c>
    </row>
    <row r="84" spans="1:10">
      <c r="A84" s="64">
        <f t="shared" si="2"/>
        <v>59</v>
      </c>
      <c r="C84" s="49" t="s">
        <v>267</v>
      </c>
      <c r="F84" s="49">
        <v>9096511946</v>
      </c>
    </row>
    <row r="85" spans="1:10">
      <c r="A85" s="64">
        <f t="shared" si="2"/>
        <v>60</v>
      </c>
      <c r="C85" s="49" t="s">
        <v>268</v>
      </c>
      <c r="F85" s="49">
        <v>579031359</v>
      </c>
    </row>
    <row r="86" spans="1:10">
      <c r="A86" s="64">
        <f t="shared" si="2"/>
        <v>61</v>
      </c>
      <c r="C86" s="49" t="s">
        <v>269</v>
      </c>
      <c r="F86" s="382">
        <f>ROUND(F84/(F84+F85),4)</f>
        <v>0.94020000000000004</v>
      </c>
    </row>
    <row r="87" spans="1:10">
      <c r="A87" s="64">
        <f t="shared" si="2"/>
        <v>62</v>
      </c>
      <c r="C87" s="49" t="s">
        <v>5</v>
      </c>
    </row>
    <row r="88" spans="1:10">
      <c r="A88" s="64">
        <f t="shared" si="2"/>
        <v>63</v>
      </c>
      <c r="C88" s="49" t="s">
        <v>354</v>
      </c>
    </row>
    <row r="89" spans="1:10">
      <c r="A89" s="64">
        <f t="shared" si="2"/>
        <v>64</v>
      </c>
      <c r="C89" s="49" t="s">
        <v>265</v>
      </c>
      <c r="D89" s="87">
        <v>14306</v>
      </c>
    </row>
    <row r="90" spans="1:10">
      <c r="A90" s="64">
        <f t="shared" si="2"/>
        <v>65</v>
      </c>
      <c r="C90" s="49" t="s">
        <v>266</v>
      </c>
      <c r="D90" s="87">
        <v>6436462</v>
      </c>
    </row>
    <row r="91" spans="1:10">
      <c r="A91" s="64">
        <f t="shared" si="2"/>
        <v>66</v>
      </c>
      <c r="C91" s="49" t="s">
        <v>5</v>
      </c>
      <c r="D91" s="382">
        <f>ROUND(D89/D90,4)</f>
        <v>2.2000000000000001E-3</v>
      </c>
    </row>
    <row r="92" spans="1:10">
      <c r="A92" s="64">
        <f t="shared" si="2"/>
        <v>67</v>
      </c>
      <c r="C92" s="49" t="s">
        <v>267</v>
      </c>
      <c r="F92" s="87">
        <v>1156911337</v>
      </c>
    </row>
    <row r="93" spans="1:10">
      <c r="A93" s="64">
        <f t="shared" si="2"/>
        <v>68</v>
      </c>
      <c r="C93" s="49" t="s">
        <v>268</v>
      </c>
      <c r="F93" s="87">
        <v>103531530</v>
      </c>
    </row>
    <row r="94" spans="1:10">
      <c r="A94" s="64">
        <f t="shared" si="2"/>
        <v>69</v>
      </c>
      <c r="C94" s="49" t="s">
        <v>269</v>
      </c>
      <c r="F94" s="382">
        <f>ROUND(F92/(F92+F93),4)</f>
        <v>0.91790000000000005</v>
      </c>
    </row>
    <row r="95" spans="1:10">
      <c r="J95" s="49" t="str">
        <f>CONCATENATE(A95," ",C95)</f>
        <v xml:space="preserve"> </v>
      </c>
    </row>
  </sheetData>
  <phoneticPr fontId="10" type="noConversion"/>
  <pageMargins left="0.5" right="0.25" top="0.35" bottom="0.5" header="0.75" footer="0.25"/>
  <pageSetup scale="68" orientation="portrait" horizontalDpi="1200" verticalDpi="1200"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indexed="42"/>
    <pageSetUpPr fitToPage="1"/>
  </sheetPr>
  <dimension ref="A1:L101"/>
  <sheetViews>
    <sheetView showGridLines="0" topLeftCell="A56" zoomScaleNormal="100" workbookViewId="0"/>
  </sheetViews>
  <sheetFormatPr defaultColWidth="8" defaultRowHeight="12.75"/>
  <cols>
    <col min="1" max="1" width="4.33203125" style="254" customWidth="1"/>
    <col min="2" max="2" width="6.44140625" style="254" bestFit="1" customWidth="1"/>
    <col min="3" max="3" width="0.88671875" style="250" customWidth="1"/>
    <col min="4" max="4" width="42" style="250" customWidth="1"/>
    <col min="5" max="5" width="0.88671875" style="289" customWidth="1"/>
    <col min="6" max="6" width="12.109375" style="250" customWidth="1"/>
    <col min="7" max="7" width="0.88671875" style="323" customWidth="1"/>
    <col min="8" max="8" width="12" style="250" customWidth="1"/>
    <col min="9" max="9" width="0.88671875" style="250" customWidth="1"/>
    <col min="10" max="10" width="13.109375" style="251" customWidth="1"/>
    <col min="11" max="11" width="9.88671875" style="250" customWidth="1"/>
    <col min="12" max="12" width="15.6640625" style="321" bestFit="1" customWidth="1"/>
    <col min="13" max="16384" width="8" style="250"/>
  </cols>
  <sheetData>
    <row r="1" spans="1:12">
      <c r="A1" s="288" t="s">
        <v>1030</v>
      </c>
      <c r="I1" s="209"/>
      <c r="J1" s="290" t="str">
        <f>'Cover Rev 2'!C1</f>
        <v>2015 Workpapers</v>
      </c>
    </row>
    <row r="2" spans="1:12">
      <c r="A2" s="209" t="s">
        <v>1</v>
      </c>
      <c r="I2" s="291"/>
      <c r="J2" s="252"/>
    </row>
    <row r="3" spans="1:12">
      <c r="A3" s="6" t="s">
        <v>337</v>
      </c>
      <c r="I3" s="209"/>
      <c r="J3" s="253"/>
    </row>
    <row r="4" spans="1:12" ht="12" customHeight="1">
      <c r="A4" s="484" t="s">
        <v>232</v>
      </c>
      <c r="I4" s="292"/>
    </row>
    <row r="5" spans="1:12" ht="4.5" customHeight="1">
      <c r="F5" s="293"/>
      <c r="G5" s="324"/>
      <c r="H5" s="293"/>
      <c r="I5" s="293"/>
      <c r="K5" s="293"/>
      <c r="L5" s="452"/>
    </row>
    <row r="6" spans="1:12">
      <c r="A6" s="209" t="s">
        <v>46</v>
      </c>
      <c r="B6" s="209" t="s">
        <v>56</v>
      </c>
      <c r="C6" s="291"/>
      <c r="D6" s="291"/>
      <c r="E6" s="294"/>
      <c r="F6" s="256"/>
      <c r="G6" s="325"/>
      <c r="H6" s="256"/>
      <c r="I6" s="256"/>
      <c r="J6" s="256" t="s">
        <v>23</v>
      </c>
      <c r="K6" s="293"/>
      <c r="L6" s="452"/>
    </row>
    <row r="7" spans="1:12">
      <c r="A7" s="258" t="s">
        <v>22</v>
      </c>
      <c r="B7" s="258" t="s">
        <v>22</v>
      </c>
      <c r="C7" s="209" t="s">
        <v>43</v>
      </c>
      <c r="D7" s="258" t="s">
        <v>33</v>
      </c>
      <c r="E7" s="294"/>
      <c r="F7" s="260" t="s">
        <v>1051</v>
      </c>
      <c r="G7" s="325"/>
      <c r="H7" s="261" t="s">
        <v>1052</v>
      </c>
      <c r="I7" s="256"/>
      <c r="J7" s="261" t="s">
        <v>1053</v>
      </c>
      <c r="K7" s="293"/>
      <c r="L7" s="453"/>
    </row>
    <row r="8" spans="1:12">
      <c r="K8" s="293"/>
      <c r="L8" s="454"/>
    </row>
    <row r="9" spans="1:12">
      <c r="A9" s="254">
        <v>1</v>
      </c>
      <c r="D9" s="295" t="s">
        <v>1028</v>
      </c>
      <c r="H9" s="266"/>
      <c r="K9" s="293"/>
      <c r="L9" s="454"/>
    </row>
    <row r="10" spans="1:12">
      <c r="A10" s="254">
        <f>+A9+1</f>
        <v>2</v>
      </c>
      <c r="D10" s="296" t="s">
        <v>44</v>
      </c>
      <c r="H10" s="266"/>
      <c r="K10" s="293"/>
      <c r="L10" s="454"/>
    </row>
    <row r="11" spans="1:12">
      <c r="A11" s="254">
        <f t="shared" ref="A11:A54" si="0">+A10+1</f>
        <v>3</v>
      </c>
      <c r="B11" s="254">
        <v>560</v>
      </c>
      <c r="D11" s="254" t="s">
        <v>40</v>
      </c>
      <c r="F11" s="329">
        <v>9724634.8499999996</v>
      </c>
      <c r="G11" s="297"/>
      <c r="H11" s="329">
        <v>2375310.17</v>
      </c>
      <c r="I11" s="272"/>
      <c r="J11" s="298">
        <f>SUM(F11:I11)</f>
        <v>12099945.02</v>
      </c>
      <c r="K11" s="293"/>
      <c r="L11" s="454"/>
    </row>
    <row r="12" spans="1:12">
      <c r="A12" s="254">
        <f t="shared" si="0"/>
        <v>4</v>
      </c>
      <c r="B12" s="299" t="s">
        <v>1054</v>
      </c>
      <c r="D12" s="254" t="s">
        <v>10</v>
      </c>
      <c r="F12" s="300">
        <v>0</v>
      </c>
      <c r="G12" s="301"/>
      <c r="H12" s="300"/>
      <c r="I12" s="266"/>
      <c r="J12" s="302">
        <f>SUM(F12:I12)</f>
        <v>0</v>
      </c>
      <c r="K12" s="293"/>
      <c r="L12" s="454"/>
    </row>
    <row r="13" spans="1:12">
      <c r="A13" s="254">
        <f t="shared" si="0"/>
        <v>5</v>
      </c>
      <c r="B13" s="299" t="s">
        <v>1055</v>
      </c>
      <c r="D13" s="254" t="s">
        <v>1061</v>
      </c>
      <c r="F13" s="300">
        <v>46207.97</v>
      </c>
      <c r="G13" s="301"/>
      <c r="H13" s="300"/>
      <c r="I13" s="266"/>
      <c r="J13" s="302">
        <f t="shared" ref="J13:J26" si="1">SUM(F13:I13)</f>
        <v>46207.97</v>
      </c>
      <c r="K13" s="293"/>
      <c r="L13" s="454"/>
    </row>
    <row r="14" spans="1:12">
      <c r="A14" s="254">
        <f t="shared" si="0"/>
        <v>6</v>
      </c>
      <c r="B14" s="299" t="s">
        <v>1056</v>
      </c>
      <c r="D14" s="254" t="s">
        <v>1062</v>
      </c>
      <c r="F14" s="300">
        <v>6724241.4700000016</v>
      </c>
      <c r="G14" s="301"/>
      <c r="H14" s="300">
        <v>2043691.8</v>
      </c>
      <c r="I14" s="266"/>
      <c r="J14" s="302">
        <f t="shared" si="1"/>
        <v>8767933.2700000014</v>
      </c>
      <c r="K14" s="293"/>
      <c r="L14" s="454"/>
    </row>
    <row r="15" spans="1:12">
      <c r="A15" s="254">
        <f t="shared" si="0"/>
        <v>7</v>
      </c>
      <c r="B15" s="299" t="s">
        <v>1057</v>
      </c>
      <c r="D15" s="254" t="s">
        <v>1063</v>
      </c>
      <c r="F15" s="300">
        <v>23430.12</v>
      </c>
      <c r="G15" s="301"/>
      <c r="H15" s="300"/>
      <c r="I15" s="266"/>
      <c r="J15" s="302">
        <f t="shared" si="1"/>
        <v>23430.12</v>
      </c>
      <c r="K15" s="293"/>
      <c r="L15" s="454"/>
    </row>
    <row r="16" spans="1:12">
      <c r="A16" s="254">
        <f t="shared" si="0"/>
        <v>8</v>
      </c>
      <c r="B16" s="299" t="s">
        <v>1065</v>
      </c>
      <c r="D16" s="254" t="s">
        <v>1064</v>
      </c>
      <c r="F16" s="300">
        <v>7184274.8451337609</v>
      </c>
      <c r="G16" s="301"/>
      <c r="H16" s="300"/>
      <c r="I16" s="266"/>
      <c r="J16" s="302">
        <f t="shared" si="1"/>
        <v>7184274.8451337609</v>
      </c>
      <c r="K16" s="293"/>
      <c r="L16" s="454"/>
    </row>
    <row r="17" spans="1:12">
      <c r="A17" s="254">
        <f t="shared" si="0"/>
        <v>9</v>
      </c>
      <c r="B17" s="299" t="s">
        <v>1058</v>
      </c>
      <c r="D17" s="254" t="s">
        <v>1066</v>
      </c>
      <c r="F17" s="300">
        <v>497317.43</v>
      </c>
      <c r="G17" s="301"/>
      <c r="H17" s="300">
        <v>68235.039999999994</v>
      </c>
      <c r="I17" s="266"/>
      <c r="J17" s="302">
        <f t="shared" si="1"/>
        <v>565552.47</v>
      </c>
      <c r="K17" s="293"/>
      <c r="L17" s="454"/>
    </row>
    <row r="18" spans="1:12">
      <c r="A18" s="254">
        <f t="shared" si="0"/>
        <v>10</v>
      </c>
      <c r="B18" s="299" t="s">
        <v>1059</v>
      </c>
      <c r="D18" s="254" t="s">
        <v>1067</v>
      </c>
      <c r="F18" s="300">
        <v>9104.83</v>
      </c>
      <c r="G18" s="301"/>
      <c r="H18" s="300"/>
      <c r="I18" s="266"/>
      <c r="J18" s="302">
        <f t="shared" si="1"/>
        <v>9104.83</v>
      </c>
      <c r="K18" s="293"/>
      <c r="L18" s="454"/>
    </row>
    <row r="19" spans="1:12">
      <c r="A19" s="254">
        <f t="shared" si="0"/>
        <v>11</v>
      </c>
      <c r="B19" s="254">
        <v>561.70000000000005</v>
      </c>
      <c r="D19" s="254" t="s">
        <v>1068</v>
      </c>
      <c r="F19" s="300">
        <v>12358.8</v>
      </c>
      <c r="G19" s="301"/>
      <c r="H19" s="300"/>
      <c r="I19" s="266"/>
      <c r="J19" s="302">
        <f t="shared" si="1"/>
        <v>12358.8</v>
      </c>
      <c r="K19" s="293"/>
      <c r="L19" s="454"/>
    </row>
    <row r="20" spans="1:12">
      <c r="A20" s="254">
        <f t="shared" si="0"/>
        <v>12</v>
      </c>
      <c r="B20" s="299" t="s">
        <v>1060</v>
      </c>
      <c r="D20" s="254" t="s">
        <v>1069</v>
      </c>
      <c r="F20" s="300">
        <v>2657604.4346611663</v>
      </c>
      <c r="G20" s="301"/>
      <c r="H20" s="300"/>
      <c r="I20" s="266"/>
      <c r="J20" s="302">
        <f t="shared" si="1"/>
        <v>2657604.4346611663</v>
      </c>
      <c r="K20" s="293"/>
      <c r="L20" s="454"/>
    </row>
    <row r="21" spans="1:12">
      <c r="A21" s="254">
        <f t="shared" si="0"/>
        <v>13</v>
      </c>
      <c r="B21" s="254">
        <v>562</v>
      </c>
      <c r="D21" s="254" t="s">
        <v>11</v>
      </c>
      <c r="F21" s="300">
        <v>1319279.0900000001</v>
      </c>
      <c r="G21" s="301"/>
      <c r="H21" s="300">
        <v>341433.32</v>
      </c>
      <c r="I21" s="266"/>
      <c r="J21" s="302">
        <f t="shared" si="1"/>
        <v>1660712.4100000001</v>
      </c>
      <c r="K21" s="266"/>
      <c r="L21" s="454"/>
    </row>
    <row r="22" spans="1:12">
      <c r="A22" s="254">
        <f t="shared" si="0"/>
        <v>14</v>
      </c>
      <c r="B22" s="254">
        <v>563</v>
      </c>
      <c r="D22" s="254" t="s">
        <v>12</v>
      </c>
      <c r="F22" s="300">
        <v>3300115.54</v>
      </c>
      <c r="G22" s="301"/>
      <c r="H22" s="300">
        <v>1192936.68</v>
      </c>
      <c r="I22" s="266"/>
      <c r="J22" s="302">
        <f t="shared" si="1"/>
        <v>4493052.22</v>
      </c>
      <c r="K22" s="266"/>
      <c r="L22" s="454"/>
    </row>
    <row r="23" spans="1:12">
      <c r="A23" s="254">
        <f t="shared" si="0"/>
        <v>15</v>
      </c>
      <c r="B23" s="299" t="s">
        <v>1070</v>
      </c>
      <c r="D23" s="254" t="s">
        <v>1071</v>
      </c>
      <c r="F23" s="300">
        <v>0</v>
      </c>
      <c r="G23" s="301"/>
      <c r="H23" s="300">
        <v>5783.04</v>
      </c>
      <c r="I23" s="266"/>
      <c r="J23" s="302">
        <f t="shared" si="1"/>
        <v>5783.04</v>
      </c>
      <c r="K23" s="266"/>
      <c r="L23" s="454"/>
    </row>
    <row r="24" spans="1:12">
      <c r="A24" s="254">
        <f t="shared" si="0"/>
        <v>16</v>
      </c>
      <c r="B24" s="254">
        <v>565</v>
      </c>
      <c r="D24" s="254" t="s">
        <v>62</v>
      </c>
      <c r="F24" s="300">
        <v>166769273.61273673</v>
      </c>
      <c r="G24" s="301"/>
      <c r="H24" s="300"/>
      <c r="I24" s="266"/>
      <c r="J24" s="302">
        <f t="shared" si="1"/>
        <v>166769273.61273673</v>
      </c>
      <c r="K24" s="266"/>
      <c r="L24" s="454"/>
    </row>
    <row r="25" spans="1:12">
      <c r="A25" s="254">
        <f t="shared" si="0"/>
        <v>17</v>
      </c>
      <c r="B25" s="254">
        <v>566</v>
      </c>
      <c r="D25" s="254" t="s">
        <v>1121</v>
      </c>
      <c r="F25" s="300">
        <v>101225312.66000006</v>
      </c>
      <c r="G25" s="301"/>
      <c r="H25" s="300">
        <v>98689750</v>
      </c>
      <c r="I25" s="266"/>
      <c r="J25" s="302">
        <f t="shared" si="1"/>
        <v>199915062.66000006</v>
      </c>
      <c r="K25" s="266"/>
      <c r="L25" s="454"/>
    </row>
    <row r="26" spans="1:12">
      <c r="A26" s="254">
        <f t="shared" si="0"/>
        <v>18</v>
      </c>
      <c r="B26" s="254">
        <v>567</v>
      </c>
      <c r="D26" s="254" t="s">
        <v>1025</v>
      </c>
      <c r="F26" s="300">
        <v>2220198.75</v>
      </c>
      <c r="G26" s="301"/>
      <c r="H26" s="300">
        <v>589827.79</v>
      </c>
      <c r="I26" s="266"/>
      <c r="J26" s="302">
        <f t="shared" si="1"/>
        <v>2810026.54</v>
      </c>
      <c r="K26" s="266"/>
      <c r="L26" s="454"/>
    </row>
    <row r="27" spans="1:12">
      <c r="A27" s="254">
        <f t="shared" si="0"/>
        <v>19</v>
      </c>
      <c r="D27" s="254" t="s">
        <v>13</v>
      </c>
      <c r="F27" s="303">
        <f>SUM(F11:F26)</f>
        <v>301713354.40253174</v>
      </c>
      <c r="G27" s="326"/>
      <c r="H27" s="303">
        <f>SUM(H11:H26)</f>
        <v>105306967.84</v>
      </c>
      <c r="I27" s="272"/>
      <c r="J27" s="303">
        <f>SUM(J11:J26)</f>
        <v>407020322.24253172</v>
      </c>
      <c r="K27" s="266"/>
      <c r="L27" s="454"/>
    </row>
    <row r="28" spans="1:12" ht="7.5" customHeight="1">
      <c r="F28" s="302"/>
      <c r="G28" s="327"/>
      <c r="H28" s="302"/>
      <c r="I28" s="266"/>
      <c r="J28" s="302"/>
      <c r="K28" s="266"/>
      <c r="L28" s="454"/>
    </row>
    <row r="29" spans="1:12">
      <c r="A29" s="254">
        <f>A27+1</f>
        <v>20</v>
      </c>
      <c r="D29" s="296" t="s">
        <v>14</v>
      </c>
      <c r="F29" s="302"/>
      <c r="G29" s="327"/>
      <c r="H29" s="302"/>
      <c r="I29" s="266"/>
      <c r="J29" s="302"/>
      <c r="K29" s="266"/>
      <c r="L29" s="454"/>
    </row>
    <row r="30" spans="1:12">
      <c r="A30" s="254">
        <f t="shared" si="0"/>
        <v>21</v>
      </c>
      <c r="B30" s="254">
        <v>568</v>
      </c>
      <c r="D30" s="254" t="s">
        <v>40</v>
      </c>
      <c r="F30" s="329">
        <v>81389.64</v>
      </c>
      <c r="G30" s="297"/>
      <c r="H30" s="329">
        <v>36288.19</v>
      </c>
      <c r="I30" s="272"/>
      <c r="J30" s="298">
        <f t="shared" ref="J30:J43" si="2">SUM(F30:I30)</f>
        <v>117677.83</v>
      </c>
      <c r="K30" s="266"/>
      <c r="L30" s="454"/>
    </row>
    <row r="31" spans="1:12" hidden="1">
      <c r="A31" s="254">
        <f t="shared" si="0"/>
        <v>22</v>
      </c>
      <c r="B31" s="254">
        <v>569</v>
      </c>
      <c r="D31" s="254" t="s">
        <v>1022</v>
      </c>
      <c r="F31" s="300">
        <v>0</v>
      </c>
      <c r="G31" s="301"/>
      <c r="H31" s="300"/>
      <c r="I31" s="266"/>
      <c r="J31" s="302">
        <f t="shared" si="2"/>
        <v>0</v>
      </c>
      <c r="K31" s="266"/>
      <c r="L31" s="454"/>
    </row>
    <row r="32" spans="1:12" hidden="1">
      <c r="A32" s="254">
        <f t="shared" si="0"/>
        <v>23</v>
      </c>
      <c r="B32" s="299" t="s">
        <v>1072</v>
      </c>
      <c r="D32" s="254" t="s">
        <v>1073</v>
      </c>
      <c r="F32" s="300">
        <v>0</v>
      </c>
      <c r="G32" s="301"/>
      <c r="H32" s="300"/>
      <c r="I32" s="266"/>
      <c r="J32" s="302">
        <f t="shared" si="2"/>
        <v>0</v>
      </c>
      <c r="K32" s="266"/>
      <c r="L32" s="454"/>
    </row>
    <row r="33" spans="1:12" hidden="1">
      <c r="A33" s="254">
        <f t="shared" si="0"/>
        <v>24</v>
      </c>
      <c r="B33" s="299" t="s">
        <v>1074</v>
      </c>
      <c r="D33" s="254" t="s">
        <v>1120</v>
      </c>
      <c r="F33" s="300">
        <v>0</v>
      </c>
      <c r="G33" s="301"/>
      <c r="H33" s="300"/>
      <c r="I33" s="266"/>
      <c r="J33" s="302">
        <f t="shared" si="2"/>
        <v>0</v>
      </c>
      <c r="K33" s="266"/>
      <c r="L33" s="454"/>
    </row>
    <row r="34" spans="1:12" hidden="1">
      <c r="A34" s="254">
        <f t="shared" si="0"/>
        <v>25</v>
      </c>
      <c r="B34" s="299" t="s">
        <v>1075</v>
      </c>
      <c r="D34" s="254" t="s">
        <v>3</v>
      </c>
      <c r="F34" s="300">
        <v>0</v>
      </c>
      <c r="G34" s="301"/>
      <c r="H34" s="300"/>
      <c r="I34" s="266"/>
      <c r="J34" s="302">
        <f t="shared" si="2"/>
        <v>0</v>
      </c>
      <c r="K34" s="266"/>
      <c r="L34" s="454"/>
    </row>
    <row r="35" spans="1:12" hidden="1">
      <c r="A35" s="254">
        <f t="shared" si="0"/>
        <v>26</v>
      </c>
      <c r="B35" s="299" t="s">
        <v>1076</v>
      </c>
      <c r="D35" s="254" t="s">
        <v>1077</v>
      </c>
      <c r="F35" s="300">
        <v>0</v>
      </c>
      <c r="G35" s="301"/>
      <c r="H35" s="300"/>
      <c r="I35" s="266"/>
      <c r="J35" s="302">
        <f t="shared" si="2"/>
        <v>0</v>
      </c>
      <c r="K35" s="266"/>
      <c r="L35" s="454"/>
    </row>
    <row r="36" spans="1:12">
      <c r="A36" s="254">
        <f>A30+1</f>
        <v>22</v>
      </c>
      <c r="B36" s="254">
        <v>570</v>
      </c>
      <c r="D36" s="254" t="s">
        <v>35</v>
      </c>
      <c r="F36" s="300">
        <v>9966696.3099999987</v>
      </c>
      <c r="G36" s="301"/>
      <c r="H36" s="300">
        <v>1525152.35</v>
      </c>
      <c r="I36" s="266"/>
      <c r="J36" s="302">
        <f t="shared" si="2"/>
        <v>11491848.659999998</v>
      </c>
      <c r="K36" s="266"/>
      <c r="L36" s="454"/>
    </row>
    <row r="37" spans="1:12">
      <c r="A37" s="254">
        <f t="shared" si="0"/>
        <v>23</v>
      </c>
      <c r="B37" s="254">
        <v>571</v>
      </c>
      <c r="D37" s="254" t="s">
        <v>1024</v>
      </c>
      <c r="F37" s="300">
        <v>7553823.9700000007</v>
      </c>
      <c r="G37" s="301"/>
      <c r="H37" s="300">
        <v>1948249.53</v>
      </c>
      <c r="I37" s="266"/>
      <c r="J37" s="302">
        <f t="shared" si="2"/>
        <v>9502073.5</v>
      </c>
      <c r="K37" s="266"/>
      <c r="L37" s="454"/>
    </row>
    <row r="38" spans="1:12">
      <c r="A38" s="254">
        <f t="shared" si="0"/>
        <v>24</v>
      </c>
      <c r="B38" s="254">
        <v>572</v>
      </c>
      <c r="D38" s="254" t="s">
        <v>1026</v>
      </c>
      <c r="F38" s="300">
        <v>247677</v>
      </c>
      <c r="G38" s="301"/>
      <c r="H38" s="300"/>
      <c r="I38" s="266"/>
      <c r="J38" s="302">
        <f t="shared" si="2"/>
        <v>247677</v>
      </c>
      <c r="K38" s="266"/>
      <c r="L38" s="454"/>
    </row>
    <row r="39" spans="1:12">
      <c r="A39" s="254">
        <f t="shared" si="0"/>
        <v>25</v>
      </c>
      <c r="B39" s="254">
        <v>573</v>
      </c>
      <c r="D39" s="254" t="s">
        <v>1122</v>
      </c>
      <c r="F39" s="331">
        <v>111557.87</v>
      </c>
      <c r="G39" s="301"/>
      <c r="H39" s="331">
        <v>6891.91</v>
      </c>
      <c r="I39" s="273"/>
      <c r="J39" s="304">
        <f t="shared" si="2"/>
        <v>118449.78</v>
      </c>
      <c r="K39" s="266"/>
      <c r="L39" s="454"/>
    </row>
    <row r="40" spans="1:12" hidden="1">
      <c r="A40" s="254">
        <f t="shared" si="0"/>
        <v>26</v>
      </c>
      <c r="B40" s="254">
        <v>575.1</v>
      </c>
      <c r="D40" s="254" t="s">
        <v>67</v>
      </c>
      <c r="F40" s="331">
        <v>0</v>
      </c>
      <c r="G40" s="301"/>
      <c r="H40" s="322"/>
      <c r="I40" s="266"/>
      <c r="J40" s="304">
        <f t="shared" si="2"/>
        <v>0</v>
      </c>
      <c r="K40" s="266"/>
      <c r="L40" s="454"/>
    </row>
    <row r="41" spans="1:12" hidden="1">
      <c r="A41" s="254">
        <f t="shared" si="0"/>
        <v>27</v>
      </c>
      <c r="B41" s="254">
        <v>575.5</v>
      </c>
      <c r="D41" s="254" t="s">
        <v>68</v>
      </c>
      <c r="F41" s="331">
        <v>0</v>
      </c>
      <c r="G41" s="301"/>
      <c r="H41" s="322"/>
      <c r="I41" s="266"/>
      <c r="J41" s="304">
        <f t="shared" si="2"/>
        <v>0</v>
      </c>
      <c r="K41" s="266"/>
      <c r="L41" s="454"/>
    </row>
    <row r="42" spans="1:12" hidden="1">
      <c r="A42" s="254">
        <f t="shared" si="0"/>
        <v>28</v>
      </c>
      <c r="B42" s="254">
        <v>575.6</v>
      </c>
      <c r="D42" s="254" t="s">
        <v>69</v>
      </c>
      <c r="F42" s="331">
        <v>0</v>
      </c>
      <c r="G42" s="301"/>
      <c r="H42" s="322"/>
      <c r="I42" s="266"/>
      <c r="J42" s="304">
        <f t="shared" si="2"/>
        <v>0</v>
      </c>
      <c r="K42" s="266"/>
      <c r="L42" s="454"/>
    </row>
    <row r="43" spans="1:12" hidden="1">
      <c r="A43" s="254">
        <f t="shared" si="0"/>
        <v>29</v>
      </c>
      <c r="B43" s="254">
        <v>575.79999999999995</v>
      </c>
      <c r="D43" s="254" t="s">
        <v>70</v>
      </c>
      <c r="F43" s="332">
        <f>20486-20486</f>
        <v>0</v>
      </c>
      <c r="G43" s="301"/>
      <c r="H43" s="311"/>
      <c r="I43" s="266"/>
      <c r="J43" s="305">
        <f t="shared" si="2"/>
        <v>0</v>
      </c>
      <c r="K43" s="266"/>
      <c r="L43" s="454"/>
    </row>
    <row r="44" spans="1:12">
      <c r="A44" s="254">
        <f>A39+1</f>
        <v>26</v>
      </c>
      <c r="D44" s="254" t="s">
        <v>15</v>
      </c>
      <c r="F44" s="298">
        <f>SUM(F30:F43)</f>
        <v>17961144.790000003</v>
      </c>
      <c r="G44" s="326"/>
      <c r="H44" s="298">
        <f>SUM(H30:H43)</f>
        <v>3516581.9800000004</v>
      </c>
      <c r="I44" s="272"/>
      <c r="J44" s="298">
        <f>SUM(J30:J43)</f>
        <v>21477726.77</v>
      </c>
      <c r="K44" s="266"/>
      <c r="L44" s="454"/>
    </row>
    <row r="45" spans="1:12" ht="7.5" customHeight="1">
      <c r="F45" s="302"/>
      <c r="G45" s="327"/>
      <c r="H45" s="302"/>
      <c r="I45" s="266"/>
      <c r="J45" s="302"/>
      <c r="K45" s="266"/>
      <c r="L45" s="454"/>
    </row>
    <row r="46" spans="1:12" ht="13.5" thickBot="1">
      <c r="A46" s="254">
        <f>A44+1</f>
        <v>27</v>
      </c>
      <c r="D46" s="254" t="s">
        <v>0</v>
      </c>
      <c r="F46" s="306">
        <f>+F27+F44</f>
        <v>319674499.19253176</v>
      </c>
      <c r="G46" s="326"/>
      <c r="H46" s="306">
        <f>+H27+H44</f>
        <v>108823549.82000001</v>
      </c>
      <c r="I46" s="272"/>
      <c r="J46" s="306">
        <f>+J27+J44</f>
        <v>428498049.0125317</v>
      </c>
      <c r="K46" s="266"/>
      <c r="L46" s="454"/>
    </row>
    <row r="47" spans="1:12" ht="13.5" thickTop="1">
      <c r="D47" s="254"/>
      <c r="F47" s="307"/>
      <c r="G47" s="326"/>
      <c r="H47" s="307"/>
      <c r="I47" s="272"/>
      <c r="J47" s="307"/>
      <c r="K47" s="266"/>
      <c r="L47" s="454"/>
    </row>
    <row r="48" spans="1:12">
      <c r="A48" s="254">
        <f>A46+1</f>
        <v>28</v>
      </c>
      <c r="D48" s="254" t="s">
        <v>1078</v>
      </c>
      <c r="F48" s="308"/>
      <c r="G48" s="297"/>
      <c r="H48" s="308"/>
      <c r="I48" s="272"/>
      <c r="J48" s="298"/>
      <c r="K48" s="266"/>
    </row>
    <row r="49" spans="1:11">
      <c r="A49" s="254">
        <f t="shared" si="0"/>
        <v>29</v>
      </c>
      <c r="D49" s="254" t="s">
        <v>71</v>
      </c>
      <c r="F49" s="329">
        <v>97680822.460000008</v>
      </c>
      <c r="G49" s="297"/>
      <c r="H49" s="329">
        <v>97642543</v>
      </c>
      <c r="I49" s="272"/>
      <c r="J49" s="308">
        <f>F49+H49</f>
        <v>195323365.46000001</v>
      </c>
      <c r="K49" s="266"/>
    </row>
    <row r="50" spans="1:11" ht="13.5" thickBot="1">
      <c r="A50" s="254">
        <f t="shared" si="0"/>
        <v>30</v>
      </c>
      <c r="D50" s="254" t="s">
        <v>88</v>
      </c>
      <c r="F50" s="393">
        <f>F46-F49</f>
        <v>221993676.73253176</v>
      </c>
      <c r="G50" s="297"/>
      <c r="H50" s="393">
        <f>H46-H49</f>
        <v>11181006.820000008</v>
      </c>
      <c r="I50" s="272"/>
      <c r="J50" s="309">
        <f>J46-J49</f>
        <v>233174683.55253169</v>
      </c>
      <c r="K50" s="266"/>
    </row>
    <row r="51" spans="1:11" ht="13.5" thickTop="1">
      <c r="A51" s="254">
        <f t="shared" si="0"/>
        <v>31</v>
      </c>
      <c r="D51" s="254" t="s">
        <v>197</v>
      </c>
      <c r="F51" s="308"/>
      <c r="G51" s="297"/>
      <c r="H51" s="308"/>
      <c r="I51" s="272"/>
      <c r="J51" s="308"/>
      <c r="K51" s="266"/>
    </row>
    <row r="52" spans="1:11">
      <c r="A52" s="254">
        <f t="shared" si="0"/>
        <v>32</v>
      </c>
      <c r="D52" s="254" t="s">
        <v>1081</v>
      </c>
      <c r="F52" s="358">
        <f>F16</f>
        <v>7184274.8451337609</v>
      </c>
      <c r="G52" s="297"/>
      <c r="H52" s="358">
        <f>H16</f>
        <v>0</v>
      </c>
      <c r="I52" s="272"/>
      <c r="J52" s="308">
        <f>F52+H52</f>
        <v>7184274.8451337609</v>
      </c>
      <c r="K52" s="266"/>
    </row>
    <row r="53" spans="1:11">
      <c r="A53" s="254">
        <f t="shared" si="0"/>
        <v>33</v>
      </c>
      <c r="D53" s="254" t="s">
        <v>1082</v>
      </c>
      <c r="F53" s="357">
        <f>F20</f>
        <v>2657604.4346611663</v>
      </c>
      <c r="G53" s="301"/>
      <c r="H53" s="357">
        <f>H20</f>
        <v>0</v>
      </c>
      <c r="I53" s="266"/>
      <c r="J53" s="310">
        <f>F53+H53</f>
        <v>2657604.4346611663</v>
      </c>
      <c r="K53" s="266"/>
    </row>
    <row r="54" spans="1:11">
      <c r="A54" s="254">
        <f t="shared" si="0"/>
        <v>34</v>
      </c>
      <c r="D54" s="254"/>
      <c r="F54" s="394">
        <f>SUM(F52:F53)</f>
        <v>9841879.2797949277</v>
      </c>
      <c r="G54" s="301"/>
      <c r="H54" s="394">
        <f>SUM(H52:H53)</f>
        <v>0</v>
      </c>
      <c r="I54" s="266"/>
      <c r="J54" s="300">
        <f>SUM(J52:J53)</f>
        <v>9841879.2797949277</v>
      </c>
      <c r="K54" s="266"/>
    </row>
    <row r="55" spans="1:11" ht="5.25" customHeight="1">
      <c r="D55" s="254"/>
      <c r="F55" s="300"/>
      <c r="G55" s="301"/>
      <c r="H55" s="358"/>
      <c r="I55" s="266"/>
      <c r="J55" s="308"/>
      <c r="K55" s="266"/>
    </row>
    <row r="56" spans="1:11">
      <c r="A56" s="254">
        <f>A54+1</f>
        <v>35</v>
      </c>
      <c r="D56" s="254" t="s">
        <v>1079</v>
      </c>
      <c r="F56" s="395">
        <f>F24</f>
        <v>166769273.61273673</v>
      </c>
      <c r="G56" s="301"/>
      <c r="H56" s="395">
        <f>H24</f>
        <v>0</v>
      </c>
      <c r="I56" s="266"/>
      <c r="J56" s="312">
        <f>F56+H56</f>
        <v>166769273.61273673</v>
      </c>
      <c r="K56" s="266"/>
    </row>
    <row r="57" spans="1:11" ht="5.25" customHeight="1">
      <c r="D57" s="254"/>
      <c r="F57" s="307"/>
      <c r="G57" s="326"/>
      <c r="H57" s="307"/>
      <c r="I57" s="272"/>
      <c r="J57" s="307"/>
      <c r="K57" s="266"/>
    </row>
    <row r="58" spans="1:11" ht="13.5" thickBot="1">
      <c r="A58" s="254">
        <f>A56+1</f>
        <v>36</v>
      </c>
      <c r="D58" s="254" t="s">
        <v>1080</v>
      </c>
      <c r="F58" s="406">
        <f>F50-F54-F56</f>
        <v>45382523.840000093</v>
      </c>
      <c r="G58" s="326"/>
      <c r="H58" s="406">
        <f>H50-H54-H56</f>
        <v>11181006.820000008</v>
      </c>
      <c r="I58" s="272"/>
      <c r="J58" s="313">
        <f>J50-J54-J56</f>
        <v>56563530.660000026</v>
      </c>
      <c r="K58" s="266"/>
    </row>
    <row r="59" spans="1:11" ht="5.25" customHeight="1" thickTop="1">
      <c r="D59" s="254"/>
      <c r="F59" s="307"/>
      <c r="G59" s="326"/>
      <c r="H59" s="307"/>
      <c r="I59" s="272"/>
      <c r="J59" s="307"/>
      <c r="K59" s="266"/>
    </row>
    <row r="60" spans="1:11" ht="5.25" customHeight="1">
      <c r="D60" s="254"/>
      <c r="F60" s="307"/>
      <c r="G60" s="326"/>
      <c r="H60" s="307"/>
      <c r="I60" s="272"/>
      <c r="J60" s="307"/>
      <c r="K60" s="266"/>
    </row>
    <row r="61" spans="1:11">
      <c r="A61" s="209" t="s">
        <v>46</v>
      </c>
      <c r="B61" s="209" t="s">
        <v>56</v>
      </c>
      <c r="C61" s="291"/>
      <c r="D61" s="291"/>
      <c r="E61" s="294"/>
      <c r="F61" s="256"/>
      <c r="G61" s="325"/>
      <c r="H61" s="256"/>
      <c r="I61" s="256"/>
      <c r="J61" s="256" t="s">
        <v>23</v>
      </c>
      <c r="K61" s="293"/>
    </row>
    <row r="62" spans="1:11">
      <c r="A62" s="258" t="s">
        <v>22</v>
      </c>
      <c r="B62" s="258" t="s">
        <v>22</v>
      </c>
      <c r="C62" s="209" t="s">
        <v>43</v>
      </c>
      <c r="D62" s="258" t="s">
        <v>33</v>
      </c>
      <c r="E62" s="294"/>
      <c r="F62" s="260" t="s">
        <v>1051</v>
      </c>
      <c r="G62" s="325"/>
      <c r="H62" s="261" t="s">
        <v>1052</v>
      </c>
      <c r="I62" s="256"/>
      <c r="J62" s="261" t="s">
        <v>1053</v>
      </c>
      <c r="K62" s="293"/>
    </row>
    <row r="63" spans="1:11" ht="5.25" customHeight="1">
      <c r="F63" s="314"/>
      <c r="H63" s="266"/>
      <c r="K63" s="293"/>
    </row>
    <row r="64" spans="1:11">
      <c r="A64" s="254">
        <v>1</v>
      </c>
      <c r="D64" s="295" t="s">
        <v>34</v>
      </c>
      <c r="F64" s="314"/>
      <c r="H64" s="266"/>
      <c r="K64" s="293"/>
    </row>
    <row r="65" spans="1:11">
      <c r="A65" s="254">
        <f t="shared" ref="A65:A92" si="3">+A64+1</f>
        <v>2</v>
      </c>
      <c r="D65" s="296" t="s">
        <v>44</v>
      </c>
      <c r="F65" s="314"/>
      <c r="H65" s="266"/>
      <c r="K65" s="293"/>
    </row>
    <row r="66" spans="1:11">
      <c r="A66" s="254">
        <f t="shared" si="3"/>
        <v>3</v>
      </c>
      <c r="B66" s="254">
        <v>920</v>
      </c>
      <c r="D66" s="254" t="s">
        <v>17</v>
      </c>
      <c r="F66" s="329">
        <v>69545067.659999996</v>
      </c>
      <c r="G66" s="297"/>
      <c r="H66" s="329">
        <v>11614642.329999998</v>
      </c>
      <c r="I66" s="272"/>
      <c r="J66" s="298">
        <f>SUM(F66:I66)</f>
        <v>81159709.989999995</v>
      </c>
      <c r="K66" s="302"/>
    </row>
    <row r="67" spans="1:11">
      <c r="A67" s="254">
        <f t="shared" si="3"/>
        <v>4</v>
      </c>
      <c r="B67" s="254">
        <v>921</v>
      </c>
      <c r="D67" s="254" t="s">
        <v>18</v>
      </c>
      <c r="F67" s="300">
        <v>52779557.159999959</v>
      </c>
      <c r="G67" s="301"/>
      <c r="H67" s="300">
        <v>7282331.370000001</v>
      </c>
      <c r="I67" s="266"/>
      <c r="J67" s="302">
        <f>SUM(F67:I67)</f>
        <v>60061888.529999956</v>
      </c>
      <c r="K67" s="266"/>
    </row>
    <row r="68" spans="1:11">
      <c r="A68" s="254">
        <f t="shared" si="3"/>
        <v>5</v>
      </c>
      <c r="B68" s="254">
        <v>922</v>
      </c>
      <c r="D68" s="254" t="s">
        <v>19</v>
      </c>
      <c r="F68" s="300">
        <v>-41681072.290000007</v>
      </c>
      <c r="G68" s="301"/>
      <c r="H68" s="300">
        <v>-3265572.32</v>
      </c>
      <c r="I68" s="266"/>
      <c r="J68" s="302">
        <f t="shared" ref="J68:J79" si="4">SUM(F68:I68)</f>
        <v>-44946644.610000007</v>
      </c>
      <c r="K68" s="266"/>
    </row>
    <row r="69" spans="1:11">
      <c r="A69" s="254">
        <f t="shared" si="3"/>
        <v>6</v>
      </c>
      <c r="B69" s="254">
        <v>923</v>
      </c>
      <c r="D69" s="254" t="s">
        <v>20</v>
      </c>
      <c r="F69" s="300">
        <v>23927778.65000001</v>
      </c>
      <c r="G69" s="301"/>
      <c r="H69" s="300">
        <v>3012422.04</v>
      </c>
      <c r="I69" s="266"/>
      <c r="J69" s="302">
        <f t="shared" si="4"/>
        <v>26940200.690000009</v>
      </c>
      <c r="K69" s="266"/>
    </row>
    <row r="70" spans="1:11">
      <c r="A70" s="254">
        <f t="shared" si="3"/>
        <v>7</v>
      </c>
      <c r="B70" s="254">
        <v>924</v>
      </c>
      <c r="D70" s="254" t="s">
        <v>2</v>
      </c>
      <c r="F70" s="300">
        <v>10778239.450000003</v>
      </c>
      <c r="G70" s="301"/>
      <c r="H70" s="300">
        <v>1492763.12</v>
      </c>
      <c r="I70" s="266"/>
      <c r="J70" s="302">
        <f t="shared" si="4"/>
        <v>12271002.570000004</v>
      </c>
      <c r="K70" s="266"/>
    </row>
    <row r="71" spans="1:11">
      <c r="A71" s="254">
        <f t="shared" si="3"/>
        <v>8</v>
      </c>
      <c r="B71" s="254">
        <v>925</v>
      </c>
      <c r="D71" s="254" t="s">
        <v>58</v>
      </c>
      <c r="F71" s="300">
        <v>17344539.119999997</v>
      </c>
      <c r="G71" s="301"/>
      <c r="H71" s="300">
        <v>2762822.67</v>
      </c>
      <c r="I71" s="266"/>
      <c r="J71" s="302">
        <f t="shared" si="4"/>
        <v>20107361.789999999</v>
      </c>
      <c r="K71" s="266"/>
    </row>
    <row r="72" spans="1:11">
      <c r="A72" s="254">
        <f t="shared" si="3"/>
        <v>9</v>
      </c>
      <c r="B72" s="254">
        <v>926</v>
      </c>
      <c r="D72" s="254" t="s">
        <v>59</v>
      </c>
      <c r="F72" s="300">
        <v>86291489.719999999</v>
      </c>
      <c r="G72" s="301"/>
      <c r="H72" s="300">
        <v>13813541.520000014</v>
      </c>
      <c r="I72" s="266"/>
      <c r="J72" s="302">
        <f t="shared" si="4"/>
        <v>100105031.24000001</v>
      </c>
      <c r="K72" s="266"/>
    </row>
    <row r="73" spans="1:11">
      <c r="A73" s="254">
        <f t="shared" si="3"/>
        <v>10</v>
      </c>
      <c r="B73" s="254">
        <v>928</v>
      </c>
      <c r="D73" s="254" t="s">
        <v>37</v>
      </c>
      <c r="F73" s="300">
        <v>40019</v>
      </c>
      <c r="G73" s="301"/>
      <c r="H73" s="300">
        <v>0</v>
      </c>
      <c r="I73" s="266"/>
      <c r="J73" s="302">
        <f t="shared" si="4"/>
        <v>40019</v>
      </c>
      <c r="K73" s="266"/>
    </row>
    <row r="74" spans="1:11">
      <c r="A74" s="254">
        <f t="shared" si="3"/>
        <v>11</v>
      </c>
      <c r="B74" s="254">
        <v>928</v>
      </c>
      <c r="D74" s="254" t="s">
        <v>1083</v>
      </c>
      <c r="F74" s="300">
        <f>7820525-F75-F73</f>
        <v>7280347</v>
      </c>
      <c r="G74" s="301"/>
      <c r="H74" s="300">
        <f>1384694.6-H75-H73</f>
        <v>1384694.6</v>
      </c>
      <c r="I74" s="266"/>
      <c r="J74" s="302">
        <f t="shared" si="4"/>
        <v>8665041.5999999996</v>
      </c>
      <c r="K74" s="266"/>
    </row>
    <row r="75" spans="1:11">
      <c r="A75" s="254">
        <f t="shared" si="3"/>
        <v>12</v>
      </c>
      <c r="B75" s="254">
        <v>928</v>
      </c>
      <c r="D75" s="254" t="s">
        <v>1084</v>
      </c>
      <c r="F75" s="300">
        <v>500159</v>
      </c>
      <c r="G75" s="301"/>
      <c r="H75" s="300">
        <v>0</v>
      </c>
      <c r="I75" s="266"/>
      <c r="J75" s="302">
        <f t="shared" si="4"/>
        <v>500159</v>
      </c>
      <c r="K75" s="266"/>
    </row>
    <row r="76" spans="1:11">
      <c r="A76" s="254">
        <f t="shared" si="3"/>
        <v>13</v>
      </c>
      <c r="B76" s="254">
        <v>929</v>
      </c>
      <c r="D76" s="254" t="s">
        <v>60</v>
      </c>
      <c r="F76" s="300">
        <v>-4575094</v>
      </c>
      <c r="G76" s="301"/>
      <c r="H76" s="300">
        <v>-761367</v>
      </c>
      <c r="I76" s="266"/>
      <c r="J76" s="302">
        <f t="shared" si="4"/>
        <v>-5336461</v>
      </c>
      <c r="K76" s="266"/>
    </row>
    <row r="77" spans="1:11">
      <c r="A77" s="254">
        <f t="shared" si="3"/>
        <v>14</v>
      </c>
      <c r="B77" s="254">
        <v>930.1</v>
      </c>
      <c r="D77" s="250" t="s">
        <v>1085</v>
      </c>
      <c r="F77" s="300">
        <v>3643737.84</v>
      </c>
      <c r="G77" s="301"/>
      <c r="H77" s="300">
        <v>602950.88</v>
      </c>
      <c r="I77" s="266"/>
      <c r="J77" s="302">
        <f t="shared" si="4"/>
        <v>4246688.72</v>
      </c>
      <c r="K77" s="315"/>
    </row>
    <row r="78" spans="1:11">
      <c r="A78" s="254">
        <f t="shared" si="3"/>
        <v>15</v>
      </c>
      <c r="B78" s="254">
        <v>930.2</v>
      </c>
      <c r="D78" s="254" t="s">
        <v>1086</v>
      </c>
      <c r="F78" s="300">
        <v>3308132.73</v>
      </c>
      <c r="G78" s="301"/>
      <c r="H78" s="300">
        <v>507585.2</v>
      </c>
      <c r="I78" s="266"/>
      <c r="J78" s="302">
        <f t="shared" si="4"/>
        <v>3815717.93</v>
      </c>
      <c r="K78" s="266"/>
    </row>
    <row r="79" spans="1:11">
      <c r="A79" s="254">
        <f t="shared" si="3"/>
        <v>16</v>
      </c>
      <c r="B79" s="254">
        <v>931</v>
      </c>
      <c r="D79" s="254" t="s">
        <v>1025</v>
      </c>
      <c r="F79" s="300">
        <v>29660180.430000007</v>
      </c>
      <c r="G79" s="301"/>
      <c r="H79" s="300">
        <v>4792301.46</v>
      </c>
      <c r="I79" s="266"/>
      <c r="J79" s="302">
        <f t="shared" si="4"/>
        <v>34452481.890000008</v>
      </c>
      <c r="K79" s="266"/>
    </row>
    <row r="80" spans="1:11">
      <c r="A80" s="254">
        <f t="shared" si="3"/>
        <v>17</v>
      </c>
      <c r="D80" s="254" t="s">
        <v>13</v>
      </c>
      <c r="F80" s="330">
        <f>SUM(F66:F79)</f>
        <v>258843081.46999997</v>
      </c>
      <c r="G80" s="327"/>
      <c r="H80" s="303">
        <f>SUM(H66:H79)</f>
        <v>43239115.870000027</v>
      </c>
      <c r="I80" s="266"/>
      <c r="J80" s="303">
        <f>SUM(J66:J79)</f>
        <v>302082197.33999997</v>
      </c>
      <c r="K80" s="266"/>
    </row>
    <row r="81" spans="1:11" ht="6" customHeight="1">
      <c r="F81" s="316"/>
      <c r="G81" s="327"/>
      <c r="H81" s="302"/>
      <c r="I81" s="266"/>
      <c r="J81" s="302"/>
      <c r="K81" s="266"/>
    </row>
    <row r="82" spans="1:11">
      <c r="A82" s="254">
        <f>A80+1</f>
        <v>18</v>
      </c>
      <c r="D82" s="296" t="s">
        <v>14</v>
      </c>
      <c r="F82" s="316"/>
      <c r="G82" s="327"/>
      <c r="H82" s="302"/>
      <c r="I82" s="266"/>
      <c r="J82" s="302"/>
      <c r="K82" s="266"/>
    </row>
    <row r="83" spans="1:11">
      <c r="A83" s="254">
        <f t="shared" si="3"/>
        <v>19</v>
      </c>
      <c r="B83" s="254">
        <v>935</v>
      </c>
      <c r="D83" s="254" t="s">
        <v>61</v>
      </c>
      <c r="F83" s="310">
        <v>1383794.7</v>
      </c>
      <c r="G83" s="297"/>
      <c r="H83" s="310">
        <v>179142.66</v>
      </c>
      <c r="I83" s="272"/>
      <c r="J83" s="305">
        <f>SUM(F83:I83)</f>
        <v>1562937.3599999999</v>
      </c>
      <c r="K83" s="266"/>
    </row>
    <row r="84" spans="1:11" ht="6" customHeight="1">
      <c r="F84" s="316"/>
      <c r="G84" s="327"/>
      <c r="H84" s="316"/>
      <c r="I84" s="266"/>
      <c r="J84" s="302"/>
      <c r="K84" s="266"/>
    </row>
    <row r="85" spans="1:11" ht="13.5" thickBot="1">
      <c r="A85" s="254">
        <f>A83+1</f>
        <v>20</v>
      </c>
      <c r="D85" s="254" t="s">
        <v>198</v>
      </c>
      <c r="F85" s="396">
        <f>SUM(F80:F83)</f>
        <v>260226876.16999996</v>
      </c>
      <c r="G85" s="326"/>
      <c r="H85" s="396">
        <f>SUM(H80:H83)</f>
        <v>43418258.530000024</v>
      </c>
      <c r="I85" s="272"/>
      <c r="J85" s="306">
        <f>SUM(J80:J83)</f>
        <v>303645134.69999999</v>
      </c>
      <c r="K85" s="266"/>
    </row>
    <row r="86" spans="1:11" ht="6" customHeight="1" thickTop="1">
      <c r="D86" s="254"/>
      <c r="F86" s="302"/>
      <c r="G86" s="327"/>
      <c r="H86" s="302"/>
      <c r="I86" s="266"/>
      <c r="J86" s="302"/>
      <c r="K86" s="266"/>
    </row>
    <row r="87" spans="1:11">
      <c r="A87" s="254">
        <f>A85+1</f>
        <v>21</v>
      </c>
      <c r="C87" s="317"/>
      <c r="D87" s="254" t="s">
        <v>199</v>
      </c>
      <c r="F87" s="397">
        <f>+F73</f>
        <v>40019</v>
      </c>
      <c r="G87" s="327"/>
      <c r="H87" s="397">
        <f>+H73</f>
        <v>0</v>
      </c>
      <c r="I87" s="266"/>
      <c r="J87" s="302">
        <f>+J73</f>
        <v>40019</v>
      </c>
      <c r="K87" s="266"/>
    </row>
    <row r="88" spans="1:11" ht="6" customHeight="1">
      <c r="C88" s="317"/>
      <c r="D88" s="254"/>
      <c r="F88" s="316"/>
      <c r="G88" s="327"/>
      <c r="H88" s="316"/>
      <c r="I88" s="266"/>
      <c r="J88" s="302"/>
      <c r="K88" s="266"/>
    </row>
    <row r="89" spans="1:11">
      <c r="A89" s="254">
        <f>A87+1</f>
        <v>22</v>
      </c>
      <c r="D89" s="254" t="s">
        <v>200</v>
      </c>
      <c r="F89" s="300">
        <v>346544</v>
      </c>
      <c r="G89" s="327"/>
      <c r="H89" s="300">
        <v>19361</v>
      </c>
      <c r="I89" s="266"/>
      <c r="J89" s="302">
        <f>F89+H89</f>
        <v>365905</v>
      </c>
      <c r="K89" s="266"/>
    </row>
    <row r="90" spans="1:11">
      <c r="A90" s="254">
        <f t="shared" si="3"/>
        <v>23</v>
      </c>
      <c r="C90" s="204"/>
      <c r="D90" s="254" t="s">
        <v>201</v>
      </c>
      <c r="E90" s="204"/>
      <c r="F90" s="333">
        <f>F74+F75</f>
        <v>7780506</v>
      </c>
      <c r="G90" s="203"/>
      <c r="H90" s="333">
        <f>H74+H75</f>
        <v>1384694.6</v>
      </c>
      <c r="I90" s="204"/>
      <c r="J90" s="212">
        <f>+J74+J75</f>
        <v>9165200.5999999996</v>
      </c>
      <c r="K90" s="266"/>
    </row>
    <row r="91" spans="1:11">
      <c r="A91" s="254">
        <f t="shared" si="3"/>
        <v>24</v>
      </c>
      <c r="C91" s="204"/>
      <c r="D91" s="254" t="s">
        <v>202</v>
      </c>
      <c r="E91" s="204"/>
      <c r="F91" s="347">
        <f>+F77</f>
        <v>3643737.84</v>
      </c>
      <c r="G91" s="203"/>
      <c r="H91" s="347">
        <f>+H77</f>
        <v>602950.88</v>
      </c>
      <c r="I91" s="204"/>
      <c r="J91" s="213">
        <f>+J77</f>
        <v>4246688.72</v>
      </c>
    </row>
    <row r="92" spans="1:11">
      <c r="A92" s="254">
        <f t="shared" si="3"/>
        <v>25</v>
      </c>
      <c r="C92" s="204"/>
      <c r="D92" s="254"/>
      <c r="E92" s="204"/>
      <c r="F92" s="398">
        <f>SUM(F89:F91)</f>
        <v>11770787.84</v>
      </c>
      <c r="G92" s="203"/>
      <c r="H92" s="398">
        <f>SUM(H89:H91)</f>
        <v>2007006.48</v>
      </c>
      <c r="I92" s="204"/>
      <c r="J92" s="217">
        <f>SUM(J89:J91)</f>
        <v>13777794.32</v>
      </c>
    </row>
    <row r="93" spans="1:11" ht="4.5" customHeight="1">
      <c r="C93" s="204"/>
      <c r="D93" s="254"/>
      <c r="E93" s="204"/>
      <c r="F93" s="217"/>
      <c r="G93" s="203"/>
      <c r="H93" s="217"/>
      <c r="I93" s="204"/>
      <c r="J93" s="217"/>
    </row>
    <row r="94" spans="1:11">
      <c r="A94" s="254">
        <f>A92+1</f>
        <v>26</v>
      </c>
      <c r="C94" s="204"/>
      <c r="D94" s="254" t="s">
        <v>212</v>
      </c>
      <c r="E94" s="204"/>
      <c r="F94" s="398">
        <f>F75</f>
        <v>500159</v>
      </c>
      <c r="G94" s="203"/>
      <c r="H94" s="398">
        <f>H75</f>
        <v>0</v>
      </c>
      <c r="I94" s="204"/>
      <c r="J94" s="217">
        <f>J75</f>
        <v>500159</v>
      </c>
    </row>
    <row r="95" spans="1:11" ht="5.25" customHeight="1">
      <c r="D95" s="291"/>
      <c r="H95" s="319"/>
      <c r="J95" s="250"/>
    </row>
    <row r="96" spans="1:11" ht="13.5" thickBot="1">
      <c r="A96" s="254">
        <f>A94+1</f>
        <v>27</v>
      </c>
      <c r="D96" s="250" t="s">
        <v>1087</v>
      </c>
      <c r="F96" s="320">
        <f>F85-F87-F92+F94</f>
        <v>248916228.32999995</v>
      </c>
      <c r="H96" s="320">
        <f>H85-H87-H92+H94</f>
        <v>41411252.050000027</v>
      </c>
      <c r="J96" s="318">
        <f>J85-J87-J92+J94</f>
        <v>290327480.38</v>
      </c>
    </row>
    <row r="97" spans="1:10" ht="7.5" customHeight="1" thickTop="1">
      <c r="F97" s="319"/>
      <c r="H97" s="319"/>
      <c r="J97" s="250"/>
    </row>
    <row r="98" spans="1:10" ht="13.5" thickBot="1">
      <c r="A98" s="254">
        <f>A96+1</f>
        <v>28</v>
      </c>
      <c r="D98" s="250" t="s">
        <v>1088</v>
      </c>
      <c r="F98" s="399">
        <f>+F96+F58</f>
        <v>294298752.17000008</v>
      </c>
      <c r="H98" s="399">
        <f>+H96+H58</f>
        <v>52592258.870000035</v>
      </c>
      <c r="I98" s="319"/>
      <c r="J98" s="320">
        <f>+J96+J58</f>
        <v>346891011.04000002</v>
      </c>
    </row>
    <row r="99" spans="1:10" ht="13.5" thickTop="1"/>
    <row r="101" spans="1:10">
      <c r="F101" s="321"/>
    </row>
  </sheetData>
  <phoneticPr fontId="15" type="noConversion"/>
  <pageMargins left="0.5" right="0.25" top="0.25" bottom="0.55000000000000004" header="0.75" footer="0"/>
  <pageSetup scale="72" orientation="portrait" horizontalDpi="1200" verticalDpi="1200" r:id="rId1"/>
  <headerFooter alignWithMargins="0">
    <oddFooter>&amp;CPage  &amp;P  of  &amp;N</oddFooter>
  </headerFooter>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42"/>
    <pageSetUpPr fitToPage="1"/>
  </sheetPr>
  <dimension ref="A1:Q80"/>
  <sheetViews>
    <sheetView showGridLines="0" topLeftCell="A45" zoomScaleNormal="75" workbookViewId="0"/>
  </sheetViews>
  <sheetFormatPr defaultColWidth="8" defaultRowHeight="12"/>
  <cols>
    <col min="1" max="1" width="4.109375" style="8" customWidth="1"/>
    <col min="2" max="2" width="3.21875" style="2" bestFit="1" customWidth="1"/>
    <col min="3" max="3" width="33.33203125" style="2" customWidth="1"/>
    <col min="4" max="4" width="9.44140625" style="2" bestFit="1" customWidth="1"/>
    <col min="5" max="5" width="0.88671875" style="2" customWidth="1"/>
    <col min="6" max="6" width="11.5546875" style="2" bestFit="1" customWidth="1"/>
    <col min="7" max="7" width="0.88671875" style="2" customWidth="1"/>
    <col min="8" max="8" width="8.5546875" style="2" bestFit="1" customWidth="1"/>
    <col min="9" max="9" width="0.88671875" style="2" customWidth="1"/>
    <col min="10" max="10" width="8.88671875" style="2" bestFit="1" customWidth="1"/>
    <col min="11" max="11" width="0.88671875" style="2" customWidth="1"/>
    <col min="12" max="12" width="8.88671875" style="2" bestFit="1" customWidth="1"/>
    <col min="13" max="13" width="0.88671875" style="2" customWidth="1"/>
    <col min="14" max="14" width="14.88671875" style="3" customWidth="1"/>
    <col min="15" max="22" width="9.44140625" style="2" customWidth="1"/>
    <col min="23" max="16384" width="8" style="2"/>
  </cols>
  <sheetData>
    <row r="1" spans="1:17">
      <c r="A1" s="94" t="s">
        <v>1030</v>
      </c>
      <c r="N1" s="48" t="str">
        <f>'Cover Rev 2'!C1</f>
        <v>2015 Workpapers</v>
      </c>
    </row>
    <row r="2" spans="1:17">
      <c r="A2" s="5" t="s">
        <v>63</v>
      </c>
      <c r="D2" s="95"/>
      <c r="N2" s="4"/>
    </row>
    <row r="3" spans="1:17">
      <c r="A3" s="6" t="s">
        <v>337</v>
      </c>
      <c r="N3" s="7"/>
    </row>
    <row r="4" spans="1:17">
      <c r="A4" s="483" t="s">
        <v>232</v>
      </c>
      <c r="D4" s="456"/>
    </row>
    <row r="5" spans="1:17">
      <c r="B5" s="52"/>
    </row>
    <row r="6" spans="1:17">
      <c r="C6" s="96"/>
    </row>
    <row r="7" spans="1:17">
      <c r="D7" s="3"/>
      <c r="E7" s="96"/>
      <c r="G7" s="96"/>
      <c r="H7" s="96"/>
      <c r="I7" s="96"/>
      <c r="J7" s="3"/>
      <c r="K7" s="96"/>
      <c r="M7" s="97"/>
      <c r="N7" s="10" t="s">
        <v>23</v>
      </c>
    </row>
    <row r="8" spans="1:17">
      <c r="A8" s="98" t="s">
        <v>46</v>
      </c>
      <c r="D8" s="99"/>
      <c r="E8" s="10"/>
      <c r="F8" s="11" t="s">
        <v>23</v>
      </c>
      <c r="G8" s="10"/>
      <c r="H8" s="10" t="s">
        <v>1091</v>
      </c>
      <c r="I8" s="10"/>
      <c r="J8" s="99"/>
      <c r="K8" s="10"/>
      <c r="L8" s="11" t="s">
        <v>23</v>
      </c>
      <c r="M8" s="10"/>
      <c r="N8" s="10" t="s">
        <v>6</v>
      </c>
    </row>
    <row r="9" spans="1:17">
      <c r="A9" s="100" t="s">
        <v>22</v>
      </c>
      <c r="D9" s="15" t="s">
        <v>24</v>
      </c>
      <c r="E9" s="101"/>
      <c r="F9" s="15" t="s">
        <v>147</v>
      </c>
      <c r="G9" s="101"/>
      <c r="H9" s="15" t="s">
        <v>1092</v>
      </c>
      <c r="I9" s="101"/>
      <c r="J9" s="15" t="s">
        <v>26</v>
      </c>
      <c r="K9" s="101"/>
      <c r="L9" s="15" t="s">
        <v>1032</v>
      </c>
      <c r="M9" s="101"/>
      <c r="N9" s="15" t="s">
        <v>1090</v>
      </c>
    </row>
    <row r="10" spans="1:17">
      <c r="A10" s="8">
        <v>1</v>
      </c>
      <c r="B10" s="42" t="s">
        <v>1089</v>
      </c>
      <c r="C10" s="42"/>
      <c r="D10" s="102"/>
      <c r="E10" s="102"/>
      <c r="F10" s="102"/>
      <c r="G10" s="102"/>
      <c r="H10" s="102"/>
      <c r="I10" s="102"/>
      <c r="J10" s="102"/>
      <c r="K10" s="102"/>
      <c r="L10" s="102"/>
      <c r="M10" s="102"/>
      <c r="N10" s="102"/>
    </row>
    <row r="11" spans="1:17">
      <c r="A11" s="8">
        <f t="shared" ref="A11:A64" si="0">A10+1</f>
        <v>2</v>
      </c>
      <c r="C11" s="103" t="s">
        <v>340</v>
      </c>
      <c r="D11" s="104">
        <f t="shared" ref="D11:F22" si="1">+D31+D51</f>
        <v>1652408.54</v>
      </c>
      <c r="E11" s="105"/>
      <c r="F11" s="104">
        <f t="shared" si="1"/>
        <v>0</v>
      </c>
      <c r="G11" s="105"/>
      <c r="H11" s="104">
        <f t="shared" ref="H11:H22" si="2">+H31+H51</f>
        <v>0</v>
      </c>
      <c r="I11" s="105"/>
      <c r="J11" s="104">
        <f t="shared" ref="J11:J22" si="3">+J31+J51</f>
        <v>497964.52</v>
      </c>
      <c r="K11" s="105"/>
      <c r="L11" s="104">
        <f t="shared" ref="L11:L22" si="4">+L31+L51</f>
        <v>640826.70999999892</v>
      </c>
      <c r="M11" s="105"/>
      <c r="N11" s="106">
        <f t="shared" ref="N11:N22" si="5">SUM(D11:M11)</f>
        <v>2791199.7699999991</v>
      </c>
      <c r="P11" s="384"/>
      <c r="Q11" s="384"/>
    </row>
    <row r="12" spans="1:17">
      <c r="A12" s="8">
        <f t="shared" si="0"/>
        <v>3</v>
      </c>
      <c r="C12" s="103" t="s">
        <v>47</v>
      </c>
      <c r="D12" s="107">
        <f t="shared" si="1"/>
        <v>1654989.46</v>
      </c>
      <c r="E12" s="107"/>
      <c r="F12" s="107">
        <f t="shared" si="1"/>
        <v>0</v>
      </c>
      <c r="G12" s="107"/>
      <c r="H12" s="107">
        <f t="shared" si="2"/>
        <v>0</v>
      </c>
      <c r="I12" s="107"/>
      <c r="J12" s="107">
        <f t="shared" si="3"/>
        <v>501919.2</v>
      </c>
      <c r="K12" s="107"/>
      <c r="L12" s="107">
        <f t="shared" si="4"/>
        <v>637489.96999999927</v>
      </c>
      <c r="M12" s="107"/>
      <c r="N12" s="26">
        <f t="shared" si="5"/>
        <v>2794398.6299999994</v>
      </c>
      <c r="P12" s="384"/>
      <c r="Q12" s="384"/>
    </row>
    <row r="13" spans="1:17">
      <c r="A13" s="8">
        <f t="shared" si="0"/>
        <v>4</v>
      </c>
      <c r="C13" s="103" t="s">
        <v>48</v>
      </c>
      <c r="D13" s="107">
        <f t="shared" si="1"/>
        <v>1669363.18</v>
      </c>
      <c r="E13" s="107"/>
      <c r="F13" s="107">
        <f t="shared" si="1"/>
        <v>0</v>
      </c>
      <c r="G13" s="107"/>
      <c r="H13" s="107">
        <f t="shared" si="2"/>
        <v>0</v>
      </c>
      <c r="I13" s="107"/>
      <c r="J13" s="107">
        <f t="shared" si="3"/>
        <v>507267.93</v>
      </c>
      <c r="K13" s="107"/>
      <c r="L13" s="107">
        <f t="shared" si="4"/>
        <v>657093.64</v>
      </c>
      <c r="M13" s="107"/>
      <c r="N13" s="26">
        <f t="shared" si="5"/>
        <v>2833724.75</v>
      </c>
      <c r="P13" s="384"/>
      <c r="Q13" s="384"/>
    </row>
    <row r="14" spans="1:17">
      <c r="A14" s="8">
        <f t="shared" si="0"/>
        <v>5</v>
      </c>
      <c r="C14" s="103" t="s">
        <v>49</v>
      </c>
      <c r="D14" s="107">
        <f t="shared" si="1"/>
        <v>1682180.85</v>
      </c>
      <c r="E14" s="107"/>
      <c r="F14" s="107">
        <f t="shared" si="1"/>
        <v>0</v>
      </c>
      <c r="G14" s="107"/>
      <c r="H14" s="107">
        <f t="shared" si="2"/>
        <v>0</v>
      </c>
      <c r="I14" s="107"/>
      <c r="J14" s="107">
        <f t="shared" si="3"/>
        <v>515718.74</v>
      </c>
      <c r="K14" s="107"/>
      <c r="L14" s="107">
        <f t="shared" si="4"/>
        <v>643081.21999999951</v>
      </c>
      <c r="M14" s="107"/>
      <c r="N14" s="26">
        <f t="shared" si="5"/>
        <v>2840980.8099999996</v>
      </c>
      <c r="P14" s="384"/>
      <c r="Q14" s="384"/>
    </row>
    <row r="15" spans="1:17">
      <c r="A15" s="8">
        <f t="shared" si="0"/>
        <v>6</v>
      </c>
      <c r="C15" s="103" t="s">
        <v>21</v>
      </c>
      <c r="D15" s="107">
        <f t="shared" si="1"/>
        <v>1687209.79</v>
      </c>
      <c r="E15" s="107"/>
      <c r="F15" s="107">
        <f t="shared" si="1"/>
        <v>0</v>
      </c>
      <c r="G15" s="107"/>
      <c r="H15" s="107">
        <f t="shared" si="2"/>
        <v>0</v>
      </c>
      <c r="I15" s="107"/>
      <c r="J15" s="107">
        <f t="shared" si="3"/>
        <v>523370.18</v>
      </c>
      <c r="K15" s="107"/>
      <c r="L15" s="107">
        <f t="shared" si="4"/>
        <v>651124.23</v>
      </c>
      <c r="M15" s="107"/>
      <c r="N15" s="26">
        <f t="shared" si="5"/>
        <v>2861704.2</v>
      </c>
      <c r="P15" s="384"/>
      <c r="Q15" s="384"/>
    </row>
    <row r="16" spans="1:17">
      <c r="A16" s="8">
        <f t="shared" si="0"/>
        <v>7</v>
      </c>
      <c r="C16" s="103" t="s">
        <v>50</v>
      </c>
      <c r="D16" s="107">
        <f t="shared" si="1"/>
        <v>1821928.88</v>
      </c>
      <c r="E16" s="107"/>
      <c r="F16" s="107">
        <f t="shared" si="1"/>
        <v>0</v>
      </c>
      <c r="G16" s="107"/>
      <c r="H16" s="107">
        <f t="shared" si="2"/>
        <v>0</v>
      </c>
      <c r="I16" s="107"/>
      <c r="J16" s="107">
        <f t="shared" si="3"/>
        <v>529357.91</v>
      </c>
      <c r="K16" s="107"/>
      <c r="L16" s="107">
        <f t="shared" si="4"/>
        <v>655928.55000000005</v>
      </c>
      <c r="M16" s="107"/>
      <c r="N16" s="26">
        <f t="shared" si="5"/>
        <v>3007215.34</v>
      </c>
      <c r="P16" s="384"/>
      <c r="Q16" s="384"/>
    </row>
    <row r="17" spans="1:17">
      <c r="A17" s="8">
        <f t="shared" si="0"/>
        <v>8</v>
      </c>
      <c r="C17" s="103" t="s">
        <v>51</v>
      </c>
      <c r="D17" s="107">
        <f t="shared" si="1"/>
        <v>1964279.13</v>
      </c>
      <c r="E17" s="107"/>
      <c r="F17" s="107">
        <f t="shared" si="1"/>
        <v>0</v>
      </c>
      <c r="G17" s="107"/>
      <c r="H17" s="107">
        <f t="shared" si="2"/>
        <v>0</v>
      </c>
      <c r="I17" s="107"/>
      <c r="J17" s="107">
        <f t="shared" si="3"/>
        <v>535037.87</v>
      </c>
      <c r="K17" s="107"/>
      <c r="L17" s="107">
        <f t="shared" si="4"/>
        <v>661067.39</v>
      </c>
      <c r="M17" s="107"/>
      <c r="N17" s="26">
        <f t="shared" si="5"/>
        <v>3160384.39</v>
      </c>
      <c r="P17" s="384"/>
      <c r="Q17" s="384"/>
    </row>
    <row r="18" spans="1:17">
      <c r="A18" s="8">
        <f t="shared" si="0"/>
        <v>9</v>
      </c>
      <c r="C18" s="103" t="s">
        <v>52</v>
      </c>
      <c r="D18" s="107">
        <f t="shared" si="1"/>
        <v>1981449.55</v>
      </c>
      <c r="E18" s="107"/>
      <c r="F18" s="107">
        <f t="shared" si="1"/>
        <v>0</v>
      </c>
      <c r="G18" s="107"/>
      <c r="H18" s="107">
        <f t="shared" si="2"/>
        <v>0</v>
      </c>
      <c r="I18" s="107"/>
      <c r="J18" s="107">
        <f t="shared" si="3"/>
        <v>539976.94999999995</v>
      </c>
      <c r="K18" s="107"/>
      <c r="L18" s="107">
        <f t="shared" si="4"/>
        <v>665029.66</v>
      </c>
      <c r="M18" s="107"/>
      <c r="N18" s="26">
        <f t="shared" si="5"/>
        <v>3186456.16</v>
      </c>
      <c r="P18" s="384"/>
      <c r="Q18" s="384"/>
    </row>
    <row r="19" spans="1:17">
      <c r="A19" s="8">
        <f t="shared" si="0"/>
        <v>10</v>
      </c>
      <c r="C19" s="103" t="s">
        <v>53</v>
      </c>
      <c r="D19" s="107">
        <f t="shared" si="1"/>
        <v>1988756</v>
      </c>
      <c r="E19" s="107"/>
      <c r="F19" s="107">
        <f t="shared" si="1"/>
        <v>0</v>
      </c>
      <c r="G19" s="107"/>
      <c r="H19" s="107">
        <f t="shared" si="2"/>
        <v>0</v>
      </c>
      <c r="I19" s="107"/>
      <c r="J19" s="107">
        <f t="shared" si="3"/>
        <v>546811.54</v>
      </c>
      <c r="K19" s="107"/>
      <c r="L19" s="107">
        <f t="shared" si="4"/>
        <v>665526.39</v>
      </c>
      <c r="M19" s="107"/>
      <c r="N19" s="26">
        <f t="shared" si="5"/>
        <v>3201093.93</v>
      </c>
      <c r="P19" s="384"/>
      <c r="Q19" s="384"/>
    </row>
    <row r="20" spans="1:17">
      <c r="A20" s="8">
        <f t="shared" si="0"/>
        <v>11</v>
      </c>
      <c r="C20" s="103" t="s">
        <v>54</v>
      </c>
      <c r="D20" s="107">
        <f t="shared" si="1"/>
        <v>2030100.62</v>
      </c>
      <c r="E20" s="107"/>
      <c r="F20" s="107">
        <f t="shared" si="1"/>
        <v>0</v>
      </c>
      <c r="G20" s="107"/>
      <c r="H20" s="107">
        <f t="shared" si="2"/>
        <v>0</v>
      </c>
      <c r="I20" s="107"/>
      <c r="J20" s="107">
        <f t="shared" si="3"/>
        <v>552843.26</v>
      </c>
      <c r="K20" s="107"/>
      <c r="L20" s="107">
        <f t="shared" si="4"/>
        <v>669094.66</v>
      </c>
      <c r="M20" s="107"/>
      <c r="N20" s="26">
        <f t="shared" si="5"/>
        <v>3252038.54</v>
      </c>
      <c r="P20" s="384"/>
      <c r="Q20" s="384"/>
    </row>
    <row r="21" spans="1:17">
      <c r="A21" s="8">
        <f t="shared" si="0"/>
        <v>12</v>
      </c>
      <c r="C21" s="103" t="s">
        <v>55</v>
      </c>
      <c r="D21" s="107">
        <f t="shared" si="1"/>
        <v>2069782.95</v>
      </c>
      <c r="E21" s="107"/>
      <c r="F21" s="107">
        <f t="shared" si="1"/>
        <v>0</v>
      </c>
      <c r="G21" s="107"/>
      <c r="H21" s="107">
        <f t="shared" si="2"/>
        <v>0</v>
      </c>
      <c r="I21" s="107"/>
      <c r="J21" s="107">
        <f t="shared" si="3"/>
        <v>560234.06999999995</v>
      </c>
      <c r="K21" s="107"/>
      <c r="L21" s="107">
        <f t="shared" si="4"/>
        <v>669881.54000000085</v>
      </c>
      <c r="M21" s="107"/>
      <c r="N21" s="26">
        <f t="shared" si="5"/>
        <v>3299898.560000001</v>
      </c>
      <c r="P21" s="384"/>
      <c r="Q21" s="384"/>
    </row>
    <row r="22" spans="1:17">
      <c r="A22" s="8">
        <f>A21+1</f>
        <v>13</v>
      </c>
      <c r="C22" s="103" t="s">
        <v>339</v>
      </c>
      <c r="D22" s="107">
        <f t="shared" si="1"/>
        <v>62691656.849999994</v>
      </c>
      <c r="E22" s="107"/>
      <c r="F22" s="107">
        <f t="shared" si="1"/>
        <v>-932584.22</v>
      </c>
      <c r="G22" s="107"/>
      <c r="H22" s="107">
        <f t="shared" si="2"/>
        <v>0</v>
      </c>
      <c r="I22" s="107"/>
      <c r="J22" s="107">
        <f t="shared" si="3"/>
        <v>42354991.329999998</v>
      </c>
      <c r="K22" s="107"/>
      <c r="L22" s="107">
        <f t="shared" si="4"/>
        <v>43681158.649999999</v>
      </c>
      <c r="M22" s="107"/>
      <c r="N22" s="26">
        <f t="shared" si="5"/>
        <v>147795222.60999998</v>
      </c>
      <c r="P22" s="384"/>
      <c r="Q22" s="384"/>
    </row>
    <row r="23" spans="1:17">
      <c r="A23" s="8">
        <f t="shared" si="0"/>
        <v>14</v>
      </c>
      <c r="C23" s="103"/>
      <c r="D23" s="108"/>
      <c r="E23" s="107"/>
      <c r="F23" s="108"/>
      <c r="G23" s="107"/>
      <c r="H23" s="108"/>
      <c r="I23" s="107"/>
      <c r="J23" s="108"/>
      <c r="K23" s="107"/>
      <c r="L23" s="108"/>
      <c r="M23" s="107"/>
      <c r="N23" s="88"/>
    </row>
    <row r="24" spans="1:17" ht="12.75" thickBot="1">
      <c r="A24" s="8">
        <f t="shared" si="0"/>
        <v>15</v>
      </c>
      <c r="C24" s="5" t="s">
        <v>36</v>
      </c>
      <c r="D24" s="109">
        <f>SUM(D11:D22)</f>
        <v>82894105.799999997</v>
      </c>
      <c r="E24" s="107"/>
      <c r="F24" s="109">
        <f>SUM(F11:F22)</f>
        <v>-932584.22</v>
      </c>
      <c r="G24" s="107"/>
      <c r="H24" s="109">
        <f>SUM(H11:H22)</f>
        <v>0</v>
      </c>
      <c r="I24" s="107"/>
      <c r="J24" s="109">
        <f>SUM(J11:J22)</f>
        <v>48165493.5</v>
      </c>
      <c r="K24" s="107"/>
      <c r="L24" s="109">
        <f>SUM(L11:L22)</f>
        <v>50897302.609999999</v>
      </c>
      <c r="M24" s="107"/>
      <c r="N24" s="110">
        <f>SUM(D24:M24)</f>
        <v>181024317.69</v>
      </c>
    </row>
    <row r="25" spans="1:17" ht="12.75" thickTop="1">
      <c r="A25" s="8">
        <f t="shared" si="0"/>
        <v>16</v>
      </c>
      <c r="C25" s="5"/>
      <c r="D25" s="111"/>
      <c r="E25" s="107"/>
      <c r="F25" s="111"/>
      <c r="G25" s="107"/>
      <c r="H25" s="107"/>
      <c r="I25" s="107"/>
      <c r="J25" s="111"/>
      <c r="K25" s="107"/>
      <c r="L25" s="111"/>
      <c r="M25" s="107"/>
      <c r="N25" s="112"/>
    </row>
    <row r="26" spans="1:17">
      <c r="A26" s="8">
        <f t="shared" si="0"/>
        <v>17</v>
      </c>
      <c r="C26" s="19"/>
      <c r="D26" s="19"/>
      <c r="E26" s="19"/>
      <c r="F26" s="19"/>
      <c r="G26" s="19"/>
      <c r="H26" s="19"/>
      <c r="I26" s="19"/>
      <c r="J26" s="19"/>
      <c r="K26" s="19"/>
      <c r="L26" s="19"/>
      <c r="M26" s="19"/>
      <c r="N26" s="19"/>
    </row>
    <row r="27" spans="1:17">
      <c r="A27" s="8">
        <f t="shared" si="0"/>
        <v>18</v>
      </c>
      <c r="D27" s="3"/>
      <c r="E27" s="96"/>
      <c r="G27" s="96"/>
      <c r="H27" s="96"/>
      <c r="I27" s="96"/>
      <c r="J27" s="3"/>
      <c r="K27" s="96"/>
      <c r="M27" s="97"/>
      <c r="N27" s="10" t="s">
        <v>23</v>
      </c>
    </row>
    <row r="28" spans="1:17">
      <c r="A28" s="8">
        <f t="shared" si="0"/>
        <v>19</v>
      </c>
      <c r="D28" s="99"/>
      <c r="E28" s="10"/>
      <c r="F28" s="11" t="s">
        <v>23</v>
      </c>
      <c r="G28" s="10"/>
      <c r="H28" s="10" t="s">
        <v>1091</v>
      </c>
      <c r="I28" s="10"/>
      <c r="J28" s="99"/>
      <c r="K28" s="10"/>
      <c r="L28" s="11" t="s">
        <v>23</v>
      </c>
      <c r="M28" s="10"/>
      <c r="N28" s="10" t="s">
        <v>6</v>
      </c>
    </row>
    <row r="29" spans="1:17">
      <c r="A29" s="8">
        <f t="shared" si="0"/>
        <v>20</v>
      </c>
      <c r="D29" s="15" t="s">
        <v>24</v>
      </c>
      <c r="E29" s="101"/>
      <c r="F29" s="15" t="s">
        <v>147</v>
      </c>
      <c r="G29" s="101"/>
      <c r="H29" s="15" t="s">
        <v>1092</v>
      </c>
      <c r="I29" s="101"/>
      <c r="J29" s="15" t="s">
        <v>26</v>
      </c>
      <c r="K29" s="101"/>
      <c r="L29" s="15" t="s">
        <v>1032</v>
      </c>
      <c r="M29" s="101"/>
      <c r="N29" s="15" t="s">
        <v>1090</v>
      </c>
    </row>
    <row r="30" spans="1:17">
      <c r="A30" s="8">
        <f t="shared" si="0"/>
        <v>21</v>
      </c>
      <c r="B30" s="186" t="s">
        <v>118</v>
      </c>
      <c r="C30" s="186"/>
      <c r="D30" s="102"/>
      <c r="E30" s="102"/>
      <c r="F30" s="102"/>
      <c r="G30" s="102"/>
      <c r="H30" s="102"/>
      <c r="I30" s="102"/>
      <c r="J30" s="102"/>
      <c r="K30" s="102"/>
      <c r="L30" s="102"/>
      <c r="M30" s="102"/>
      <c r="N30" s="102"/>
    </row>
    <row r="31" spans="1:17">
      <c r="A31" s="8">
        <f t="shared" si="0"/>
        <v>22</v>
      </c>
      <c r="C31" s="103" t="s">
        <v>340</v>
      </c>
      <c r="D31" s="162">
        <v>0</v>
      </c>
      <c r="E31" s="105"/>
      <c r="F31" s="162">
        <v>0</v>
      </c>
      <c r="G31" s="105"/>
      <c r="H31" s="113"/>
      <c r="I31" s="105"/>
      <c r="J31" s="162">
        <v>0</v>
      </c>
      <c r="K31" s="105"/>
      <c r="L31" s="162">
        <v>0</v>
      </c>
      <c r="M31" s="105"/>
      <c r="N31" s="114">
        <f t="shared" ref="N31:N42" si="6">SUM(D31:M31)</f>
        <v>0</v>
      </c>
    </row>
    <row r="32" spans="1:17">
      <c r="A32" s="8">
        <f t="shared" si="0"/>
        <v>23</v>
      </c>
      <c r="C32" s="103" t="s">
        <v>47</v>
      </c>
      <c r="D32" s="161">
        <v>0</v>
      </c>
      <c r="E32" s="107"/>
      <c r="F32" s="161">
        <v>0</v>
      </c>
      <c r="G32" s="107"/>
      <c r="H32" s="115"/>
      <c r="I32" s="107"/>
      <c r="J32" s="161">
        <v>0</v>
      </c>
      <c r="K32" s="107"/>
      <c r="L32" s="161">
        <v>0</v>
      </c>
      <c r="M32" s="107"/>
      <c r="N32" s="26">
        <f t="shared" si="6"/>
        <v>0</v>
      </c>
    </row>
    <row r="33" spans="1:14">
      <c r="A33" s="8">
        <f t="shared" si="0"/>
        <v>24</v>
      </c>
      <c r="C33" s="103" t="s">
        <v>48</v>
      </c>
      <c r="D33" s="161">
        <v>0</v>
      </c>
      <c r="E33" s="107"/>
      <c r="F33" s="161">
        <v>0</v>
      </c>
      <c r="G33" s="107"/>
      <c r="H33" s="115"/>
      <c r="I33" s="107"/>
      <c r="J33" s="161">
        <v>0</v>
      </c>
      <c r="K33" s="107"/>
      <c r="L33" s="161">
        <v>0</v>
      </c>
      <c r="M33" s="107"/>
      <c r="N33" s="26">
        <f t="shared" si="6"/>
        <v>0</v>
      </c>
    </row>
    <row r="34" spans="1:14">
      <c r="A34" s="8">
        <f t="shared" si="0"/>
        <v>25</v>
      </c>
      <c r="C34" s="103" t="s">
        <v>49</v>
      </c>
      <c r="D34" s="161">
        <v>0</v>
      </c>
      <c r="E34" s="107"/>
      <c r="F34" s="161">
        <v>0</v>
      </c>
      <c r="G34" s="107"/>
      <c r="H34" s="115"/>
      <c r="I34" s="107"/>
      <c r="J34" s="161">
        <v>0</v>
      </c>
      <c r="K34" s="107"/>
      <c r="L34" s="161">
        <v>0</v>
      </c>
      <c r="M34" s="107"/>
      <c r="N34" s="26">
        <f t="shared" si="6"/>
        <v>0</v>
      </c>
    </row>
    <row r="35" spans="1:14">
      <c r="A35" s="8">
        <f t="shared" si="0"/>
        <v>26</v>
      </c>
      <c r="C35" s="103" t="s">
        <v>21</v>
      </c>
      <c r="D35" s="161">
        <v>0</v>
      </c>
      <c r="E35" s="107"/>
      <c r="F35" s="161">
        <v>0</v>
      </c>
      <c r="G35" s="107"/>
      <c r="H35" s="115"/>
      <c r="I35" s="107"/>
      <c r="J35" s="161">
        <v>0</v>
      </c>
      <c r="K35" s="107"/>
      <c r="L35" s="161">
        <v>0</v>
      </c>
      <c r="M35" s="107"/>
      <c r="N35" s="26">
        <f t="shared" si="6"/>
        <v>0</v>
      </c>
    </row>
    <row r="36" spans="1:14">
      <c r="A36" s="8">
        <f t="shared" si="0"/>
        <v>27</v>
      </c>
      <c r="C36" s="103" t="s">
        <v>50</v>
      </c>
      <c r="D36" s="161">
        <v>0</v>
      </c>
      <c r="E36" s="107"/>
      <c r="F36" s="161">
        <v>0</v>
      </c>
      <c r="G36" s="107"/>
      <c r="H36" s="115"/>
      <c r="I36" s="107"/>
      <c r="J36" s="161">
        <v>0</v>
      </c>
      <c r="K36" s="107"/>
      <c r="L36" s="161">
        <v>0</v>
      </c>
      <c r="M36" s="107"/>
      <c r="N36" s="26">
        <f t="shared" si="6"/>
        <v>0</v>
      </c>
    </row>
    <row r="37" spans="1:14">
      <c r="A37" s="8">
        <f t="shared" si="0"/>
        <v>28</v>
      </c>
      <c r="C37" s="103" t="s">
        <v>51</v>
      </c>
      <c r="D37" s="161">
        <v>0</v>
      </c>
      <c r="E37" s="107"/>
      <c r="F37" s="161">
        <v>0</v>
      </c>
      <c r="G37" s="107"/>
      <c r="H37" s="115"/>
      <c r="I37" s="107"/>
      <c r="J37" s="161">
        <v>0</v>
      </c>
      <c r="K37" s="107"/>
      <c r="L37" s="161">
        <v>0</v>
      </c>
      <c r="M37" s="107"/>
      <c r="N37" s="26">
        <f t="shared" si="6"/>
        <v>0</v>
      </c>
    </row>
    <row r="38" spans="1:14">
      <c r="A38" s="8">
        <f t="shared" si="0"/>
        <v>29</v>
      </c>
      <c r="C38" s="103" t="s">
        <v>52</v>
      </c>
      <c r="D38" s="161">
        <v>0</v>
      </c>
      <c r="E38" s="107"/>
      <c r="F38" s="161">
        <v>0</v>
      </c>
      <c r="G38" s="107"/>
      <c r="H38" s="115"/>
      <c r="I38" s="107"/>
      <c r="J38" s="161">
        <v>0</v>
      </c>
      <c r="K38" s="107"/>
      <c r="L38" s="161">
        <v>0</v>
      </c>
      <c r="M38" s="107"/>
      <c r="N38" s="26">
        <f t="shared" si="6"/>
        <v>0</v>
      </c>
    </row>
    <row r="39" spans="1:14">
      <c r="A39" s="8">
        <f t="shared" si="0"/>
        <v>30</v>
      </c>
      <c r="C39" s="103" t="s">
        <v>53</v>
      </c>
      <c r="D39" s="161">
        <v>0</v>
      </c>
      <c r="E39" s="107"/>
      <c r="F39" s="161">
        <v>0</v>
      </c>
      <c r="G39" s="107"/>
      <c r="H39" s="115"/>
      <c r="I39" s="107"/>
      <c r="J39" s="161">
        <v>0</v>
      </c>
      <c r="K39" s="107"/>
      <c r="L39" s="161">
        <v>0</v>
      </c>
      <c r="M39" s="107"/>
      <c r="N39" s="26">
        <f t="shared" si="6"/>
        <v>0</v>
      </c>
    </row>
    <row r="40" spans="1:14">
      <c r="A40" s="8">
        <f t="shared" si="0"/>
        <v>31</v>
      </c>
      <c r="C40" s="103" t="s">
        <v>54</v>
      </c>
      <c r="D40" s="161">
        <v>0</v>
      </c>
      <c r="E40" s="107"/>
      <c r="F40" s="161">
        <v>0</v>
      </c>
      <c r="G40" s="107"/>
      <c r="H40" s="115"/>
      <c r="I40" s="107"/>
      <c r="J40" s="161">
        <v>0</v>
      </c>
      <c r="K40" s="107"/>
      <c r="L40" s="161">
        <v>0</v>
      </c>
      <c r="M40" s="107"/>
      <c r="N40" s="26">
        <f t="shared" si="6"/>
        <v>0</v>
      </c>
    </row>
    <row r="41" spans="1:14">
      <c r="A41" s="8">
        <f t="shared" si="0"/>
        <v>32</v>
      </c>
      <c r="C41" s="103" t="s">
        <v>55</v>
      </c>
      <c r="D41" s="161">
        <v>0</v>
      </c>
      <c r="E41" s="107"/>
      <c r="F41" s="161">
        <v>0</v>
      </c>
      <c r="G41" s="107"/>
      <c r="H41" s="115"/>
      <c r="I41" s="107"/>
      <c r="J41" s="161">
        <v>0</v>
      </c>
      <c r="K41" s="107"/>
      <c r="L41" s="161">
        <v>0</v>
      </c>
      <c r="M41" s="107"/>
      <c r="N41" s="26">
        <f t="shared" si="6"/>
        <v>0</v>
      </c>
    </row>
    <row r="42" spans="1:14">
      <c r="A42" s="8">
        <f t="shared" si="0"/>
        <v>33</v>
      </c>
      <c r="C42" s="103" t="s">
        <v>339</v>
      </c>
      <c r="D42" s="161">
        <v>60557007.049999997</v>
      </c>
      <c r="E42" s="107"/>
      <c r="F42" s="161">
        <v>-932584.22</v>
      </c>
      <c r="G42" s="107"/>
      <c r="H42" s="115"/>
      <c r="I42" s="107"/>
      <c r="J42" s="161">
        <v>41784476</v>
      </c>
      <c r="K42" s="107"/>
      <c r="L42" s="161">
        <v>42961671</v>
      </c>
      <c r="M42" s="107"/>
      <c r="N42" s="26">
        <f t="shared" si="6"/>
        <v>144370569.82999998</v>
      </c>
    </row>
    <row r="43" spans="1:14">
      <c r="A43" s="8">
        <f t="shared" si="0"/>
        <v>34</v>
      </c>
      <c r="C43" s="103"/>
      <c r="D43" s="108"/>
      <c r="E43" s="107"/>
      <c r="F43" s="108"/>
      <c r="G43" s="107"/>
      <c r="H43" s="108"/>
      <c r="I43" s="107"/>
      <c r="J43" s="108"/>
      <c r="K43" s="107"/>
      <c r="L43" s="108"/>
      <c r="M43" s="107"/>
      <c r="N43" s="88"/>
    </row>
    <row r="44" spans="1:14" ht="12.75" thickBot="1">
      <c r="A44" s="8">
        <f t="shared" si="0"/>
        <v>35</v>
      </c>
      <c r="C44" s="5" t="s">
        <v>36</v>
      </c>
      <c r="D44" s="109">
        <f>SUM(D31:D42)</f>
        <v>60557007.049999997</v>
      </c>
      <c r="E44" s="107"/>
      <c r="F44" s="109">
        <f>SUM(F31:F42)</f>
        <v>-932584.22</v>
      </c>
      <c r="G44" s="107"/>
      <c r="H44" s="109">
        <f>SUM(H31:H42)</f>
        <v>0</v>
      </c>
      <c r="I44" s="107"/>
      <c r="J44" s="109">
        <f>SUM(J31:J42)</f>
        <v>41784476</v>
      </c>
      <c r="K44" s="107"/>
      <c r="L44" s="109">
        <f>SUM(L31:L42)</f>
        <v>42961671</v>
      </c>
      <c r="M44" s="107"/>
      <c r="N44" s="110">
        <f>SUM(D44:M44)</f>
        <v>144370569.82999998</v>
      </c>
    </row>
    <row r="45" spans="1:14" ht="12.75" thickTop="1">
      <c r="A45" s="8">
        <f t="shared" si="0"/>
        <v>36</v>
      </c>
      <c r="C45" s="19"/>
      <c r="D45" s="19"/>
      <c r="E45" s="19"/>
      <c r="F45" s="19"/>
      <c r="G45" s="19"/>
      <c r="H45" s="19"/>
      <c r="I45" s="19"/>
      <c r="J45" s="19"/>
      <c r="K45" s="19"/>
      <c r="L45" s="19"/>
      <c r="M45" s="19"/>
      <c r="N45" s="19"/>
    </row>
    <row r="46" spans="1:14">
      <c r="A46" s="8">
        <f t="shared" si="0"/>
        <v>37</v>
      </c>
      <c r="C46" s="19"/>
      <c r="D46" s="19"/>
      <c r="E46" s="19"/>
      <c r="F46" s="19"/>
      <c r="G46" s="19"/>
      <c r="H46" s="19"/>
      <c r="I46" s="19"/>
      <c r="J46" s="19"/>
      <c r="K46" s="19"/>
      <c r="L46" s="19"/>
      <c r="M46" s="19"/>
      <c r="N46" s="19"/>
    </row>
    <row r="47" spans="1:14">
      <c r="A47" s="8">
        <f t="shared" si="0"/>
        <v>38</v>
      </c>
      <c r="D47" s="3"/>
      <c r="E47" s="96"/>
      <c r="G47" s="96"/>
      <c r="H47" s="96"/>
      <c r="I47" s="96"/>
      <c r="J47" s="3"/>
      <c r="K47" s="96"/>
      <c r="M47" s="97"/>
      <c r="N47" s="10" t="s">
        <v>23</v>
      </c>
    </row>
    <row r="48" spans="1:14">
      <c r="A48" s="8">
        <f t="shared" si="0"/>
        <v>39</v>
      </c>
      <c r="D48" s="99"/>
      <c r="E48" s="10"/>
      <c r="F48" s="11" t="s">
        <v>23</v>
      </c>
      <c r="G48" s="10"/>
      <c r="H48" s="10" t="s">
        <v>1091</v>
      </c>
      <c r="I48" s="10"/>
      <c r="J48" s="99"/>
      <c r="K48" s="10"/>
      <c r="L48" s="11" t="s">
        <v>23</v>
      </c>
      <c r="M48" s="10"/>
      <c r="N48" s="10" t="s">
        <v>6</v>
      </c>
    </row>
    <row r="49" spans="1:14">
      <c r="A49" s="8">
        <f t="shared" si="0"/>
        <v>40</v>
      </c>
      <c r="D49" s="15" t="s">
        <v>24</v>
      </c>
      <c r="E49" s="101"/>
      <c r="F49" s="15" t="s">
        <v>147</v>
      </c>
      <c r="G49" s="101"/>
      <c r="H49" s="15" t="s">
        <v>1092</v>
      </c>
      <c r="I49" s="101"/>
      <c r="J49" s="15" t="s">
        <v>26</v>
      </c>
      <c r="K49" s="101"/>
      <c r="L49" s="15" t="s">
        <v>1032</v>
      </c>
      <c r="M49" s="101"/>
      <c r="N49" s="15" t="s">
        <v>1090</v>
      </c>
    </row>
    <row r="50" spans="1:14">
      <c r="A50" s="8">
        <f t="shared" si="0"/>
        <v>41</v>
      </c>
      <c r="B50" s="186" t="s">
        <v>117</v>
      </c>
      <c r="C50" s="186"/>
      <c r="D50" s="102"/>
      <c r="E50" s="102"/>
      <c r="F50" s="102"/>
      <c r="G50" s="102"/>
      <c r="H50" s="102"/>
      <c r="I50" s="102"/>
      <c r="J50" s="102"/>
      <c r="K50" s="102"/>
      <c r="L50" s="102"/>
      <c r="M50" s="102"/>
      <c r="N50" s="102"/>
    </row>
    <row r="51" spans="1:14">
      <c r="A51" s="8">
        <f t="shared" si="0"/>
        <v>42</v>
      </c>
      <c r="C51" s="103" t="s">
        <v>340</v>
      </c>
      <c r="D51" s="162">
        <v>1652408.54</v>
      </c>
      <c r="E51" s="390"/>
      <c r="F51" s="162"/>
      <c r="G51" s="390"/>
      <c r="H51" s="162"/>
      <c r="I51" s="390"/>
      <c r="J51" s="162">
        <v>497964.52</v>
      </c>
      <c r="K51" s="390"/>
      <c r="L51" s="162">
        <v>640826.70999999892</v>
      </c>
      <c r="M51" s="105"/>
      <c r="N51" s="114">
        <f t="shared" ref="N51:N62" si="7">SUM(D51:M51)</f>
        <v>2791199.7699999991</v>
      </c>
    </row>
    <row r="52" spans="1:14">
      <c r="A52" s="8">
        <f t="shared" si="0"/>
        <v>43</v>
      </c>
      <c r="C52" s="103" t="s">
        <v>47</v>
      </c>
      <c r="D52" s="161">
        <v>1654989.46</v>
      </c>
      <c r="E52" s="391"/>
      <c r="F52" s="161"/>
      <c r="G52" s="391"/>
      <c r="H52" s="161"/>
      <c r="I52" s="391"/>
      <c r="J52" s="161">
        <v>501919.2</v>
      </c>
      <c r="K52" s="391"/>
      <c r="L52" s="161">
        <v>637489.96999999927</v>
      </c>
      <c r="M52" s="107"/>
      <c r="N52" s="26">
        <f t="shared" si="7"/>
        <v>2794398.6299999994</v>
      </c>
    </row>
    <row r="53" spans="1:14">
      <c r="A53" s="8">
        <f t="shared" si="0"/>
        <v>44</v>
      </c>
      <c r="C53" s="103" t="s">
        <v>48</v>
      </c>
      <c r="D53" s="161">
        <v>1669363.18</v>
      </c>
      <c r="E53" s="391"/>
      <c r="F53" s="161"/>
      <c r="G53" s="391"/>
      <c r="H53" s="161"/>
      <c r="I53" s="391"/>
      <c r="J53" s="161">
        <v>507267.93</v>
      </c>
      <c r="K53" s="391"/>
      <c r="L53" s="161">
        <v>657093.64</v>
      </c>
      <c r="M53" s="107"/>
      <c r="N53" s="26">
        <f t="shared" si="7"/>
        <v>2833724.75</v>
      </c>
    </row>
    <row r="54" spans="1:14">
      <c r="A54" s="8">
        <f t="shared" si="0"/>
        <v>45</v>
      </c>
      <c r="C54" s="103" t="s">
        <v>49</v>
      </c>
      <c r="D54" s="161">
        <v>1682180.85</v>
      </c>
      <c r="E54" s="391"/>
      <c r="F54" s="161"/>
      <c r="G54" s="391"/>
      <c r="H54" s="161"/>
      <c r="I54" s="391"/>
      <c r="J54" s="161">
        <v>515718.74</v>
      </c>
      <c r="K54" s="391"/>
      <c r="L54" s="161">
        <v>643081.21999999951</v>
      </c>
      <c r="M54" s="107"/>
      <c r="N54" s="26">
        <f t="shared" si="7"/>
        <v>2840980.8099999996</v>
      </c>
    </row>
    <row r="55" spans="1:14">
      <c r="A55" s="8">
        <f t="shared" si="0"/>
        <v>46</v>
      </c>
      <c r="C55" s="103" t="s">
        <v>21</v>
      </c>
      <c r="D55" s="161">
        <v>1687209.79</v>
      </c>
      <c r="E55" s="391"/>
      <c r="F55" s="161"/>
      <c r="G55" s="391"/>
      <c r="H55" s="161"/>
      <c r="I55" s="391"/>
      <c r="J55" s="161">
        <v>523370.18</v>
      </c>
      <c r="K55" s="391"/>
      <c r="L55" s="161">
        <v>651124.23</v>
      </c>
      <c r="M55" s="107"/>
      <c r="N55" s="26">
        <f t="shared" si="7"/>
        <v>2861704.2</v>
      </c>
    </row>
    <row r="56" spans="1:14">
      <c r="A56" s="8">
        <f t="shared" si="0"/>
        <v>47</v>
      </c>
      <c r="C56" s="103" t="s">
        <v>50</v>
      </c>
      <c r="D56" s="161">
        <v>1821928.88</v>
      </c>
      <c r="E56" s="391"/>
      <c r="F56" s="161"/>
      <c r="G56" s="391"/>
      <c r="H56" s="161"/>
      <c r="I56" s="391"/>
      <c r="J56" s="161">
        <v>529357.91</v>
      </c>
      <c r="K56" s="391"/>
      <c r="L56" s="161">
        <v>655928.55000000005</v>
      </c>
      <c r="M56" s="107"/>
      <c r="N56" s="26">
        <f t="shared" si="7"/>
        <v>3007215.34</v>
      </c>
    </row>
    <row r="57" spans="1:14">
      <c r="A57" s="8">
        <f t="shared" si="0"/>
        <v>48</v>
      </c>
      <c r="C57" s="103" t="s">
        <v>51</v>
      </c>
      <c r="D57" s="161">
        <v>1964279.13</v>
      </c>
      <c r="E57" s="391"/>
      <c r="F57" s="161"/>
      <c r="G57" s="391"/>
      <c r="H57" s="161"/>
      <c r="I57" s="391"/>
      <c r="J57" s="161">
        <v>535037.87</v>
      </c>
      <c r="K57" s="391"/>
      <c r="L57" s="161">
        <v>661067.39</v>
      </c>
      <c r="M57" s="107"/>
      <c r="N57" s="26">
        <f t="shared" si="7"/>
        <v>3160384.39</v>
      </c>
    </row>
    <row r="58" spans="1:14">
      <c r="A58" s="8">
        <f t="shared" si="0"/>
        <v>49</v>
      </c>
      <c r="C58" s="103" t="s">
        <v>52</v>
      </c>
      <c r="D58" s="161">
        <v>1981449.55</v>
      </c>
      <c r="E58" s="391"/>
      <c r="F58" s="161"/>
      <c r="G58" s="391"/>
      <c r="H58" s="161"/>
      <c r="I58" s="391"/>
      <c r="J58" s="161">
        <v>539976.94999999995</v>
      </c>
      <c r="K58" s="391"/>
      <c r="L58" s="161">
        <v>665029.66</v>
      </c>
      <c r="M58" s="107"/>
      <c r="N58" s="26">
        <f t="shared" si="7"/>
        <v>3186456.16</v>
      </c>
    </row>
    <row r="59" spans="1:14">
      <c r="A59" s="8">
        <f t="shared" si="0"/>
        <v>50</v>
      </c>
      <c r="C59" s="103" t="s">
        <v>53</v>
      </c>
      <c r="D59" s="161">
        <v>1988756</v>
      </c>
      <c r="E59" s="391"/>
      <c r="F59" s="161"/>
      <c r="G59" s="391"/>
      <c r="H59" s="161"/>
      <c r="I59" s="391"/>
      <c r="J59" s="161">
        <v>546811.54</v>
      </c>
      <c r="K59" s="391"/>
      <c r="L59" s="161">
        <v>665526.39</v>
      </c>
      <c r="M59" s="107"/>
      <c r="N59" s="26">
        <f t="shared" si="7"/>
        <v>3201093.93</v>
      </c>
    </row>
    <row r="60" spans="1:14">
      <c r="A60" s="8">
        <f t="shared" si="0"/>
        <v>51</v>
      </c>
      <c r="C60" s="103" t="s">
        <v>54</v>
      </c>
      <c r="D60" s="161">
        <v>2030100.62</v>
      </c>
      <c r="E60" s="391"/>
      <c r="F60" s="161"/>
      <c r="G60" s="391"/>
      <c r="H60" s="161"/>
      <c r="I60" s="391"/>
      <c r="J60" s="161">
        <v>552843.26</v>
      </c>
      <c r="K60" s="391"/>
      <c r="L60" s="161">
        <v>669094.66</v>
      </c>
      <c r="M60" s="107"/>
      <c r="N60" s="26">
        <f t="shared" si="7"/>
        <v>3252038.54</v>
      </c>
    </row>
    <row r="61" spans="1:14">
      <c r="A61" s="8">
        <f t="shared" si="0"/>
        <v>52</v>
      </c>
      <c r="C61" s="103" t="s">
        <v>55</v>
      </c>
      <c r="D61" s="161">
        <v>2069782.95</v>
      </c>
      <c r="E61" s="391"/>
      <c r="F61" s="161"/>
      <c r="G61" s="391"/>
      <c r="H61" s="161"/>
      <c r="I61" s="391"/>
      <c r="J61" s="161">
        <v>560234.06999999995</v>
      </c>
      <c r="K61" s="391"/>
      <c r="L61" s="161">
        <v>669881.54000000085</v>
      </c>
      <c r="M61" s="107"/>
      <c r="N61" s="26">
        <f t="shared" si="7"/>
        <v>3299898.560000001</v>
      </c>
    </row>
    <row r="62" spans="1:14">
      <c r="A62" s="8">
        <f t="shared" si="0"/>
        <v>53</v>
      </c>
      <c r="C62" s="103" t="s">
        <v>339</v>
      </c>
      <c r="D62" s="161">
        <v>2134649.7999999998</v>
      </c>
      <c r="E62" s="391"/>
      <c r="F62" s="161"/>
      <c r="G62" s="391"/>
      <c r="H62" s="161"/>
      <c r="I62" s="391"/>
      <c r="J62" s="161">
        <v>570515.32999999996</v>
      </c>
      <c r="K62" s="391"/>
      <c r="L62" s="161">
        <v>719487.65</v>
      </c>
      <c r="M62" s="107"/>
      <c r="N62" s="26">
        <f t="shared" si="7"/>
        <v>3424652.78</v>
      </c>
    </row>
    <row r="63" spans="1:14">
      <c r="A63" s="8">
        <f t="shared" si="0"/>
        <v>54</v>
      </c>
      <c r="C63" s="103"/>
      <c r="D63" s="108"/>
      <c r="E63" s="107"/>
      <c r="F63" s="108"/>
      <c r="G63" s="107"/>
      <c r="H63" s="108"/>
      <c r="I63" s="107"/>
      <c r="J63" s="108"/>
      <c r="K63" s="107"/>
      <c r="L63" s="108"/>
      <c r="M63" s="107"/>
      <c r="N63" s="88"/>
    </row>
    <row r="64" spans="1:14" ht="12.75" thickBot="1">
      <c r="A64" s="8">
        <f t="shared" si="0"/>
        <v>55</v>
      </c>
      <c r="C64" s="5" t="s">
        <v>36</v>
      </c>
      <c r="D64" s="109">
        <f>SUM(D51:D62)</f>
        <v>22337098.75</v>
      </c>
      <c r="E64" s="107"/>
      <c r="F64" s="109">
        <f>SUM(F51:F62)</f>
        <v>0</v>
      </c>
      <c r="G64" s="107"/>
      <c r="H64" s="109">
        <f>SUM(H51:H62)</f>
        <v>0</v>
      </c>
      <c r="I64" s="107"/>
      <c r="J64" s="109">
        <f>SUM(J51:J62)</f>
        <v>6381017.5</v>
      </c>
      <c r="K64" s="107"/>
      <c r="L64" s="109">
        <f>SUM(L51:L62)</f>
        <v>7935631.6099999994</v>
      </c>
      <c r="M64" s="107"/>
      <c r="N64" s="110">
        <f>SUM(D64:M64)</f>
        <v>36653747.859999999</v>
      </c>
    </row>
    <row r="65" spans="2:3" ht="12.75" thickTop="1"/>
    <row r="69" spans="2:3">
      <c r="C69" s="2" t="s">
        <v>216</v>
      </c>
    </row>
    <row r="80" spans="2:3">
      <c r="B80" s="51"/>
    </row>
  </sheetData>
  <phoneticPr fontId="15" type="noConversion"/>
  <pageMargins left="0.5" right="0.25" top="0.5" bottom="0.25" header="0.75" footer="0.5"/>
  <pageSetup scale="77" orientation="portrait" horizontalDpi="1200" verticalDpi="1200" r:id="rId1"/>
  <headerFooter alignWithMargins="0">
    <oddFooter>&amp;CPage  &amp;P  of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47"/>
  <sheetViews>
    <sheetView showGridLines="0" workbookViewId="0">
      <selection activeCell="F10" sqref="F10"/>
    </sheetView>
  </sheetViews>
  <sheetFormatPr defaultRowHeight="12.75"/>
  <cols>
    <col min="1" max="1" width="13.77734375" style="991" customWidth="1"/>
    <col min="2" max="2" width="41.77734375" style="990" customWidth="1"/>
    <col min="3" max="3" width="67.88671875" style="991" customWidth="1"/>
    <col min="4" max="16384" width="8.88671875" style="991"/>
  </cols>
  <sheetData>
    <row r="1" spans="1:4" ht="24.75" customHeight="1">
      <c r="A1" s="989" t="s">
        <v>1139</v>
      </c>
    </row>
    <row r="2" spans="1:4">
      <c r="A2" s="992" t="s">
        <v>1140</v>
      </c>
      <c r="B2" s="992" t="s">
        <v>1141</v>
      </c>
      <c r="C2" s="992" t="s">
        <v>1142</v>
      </c>
    </row>
    <row r="3" spans="1:4" ht="38.25">
      <c r="A3" s="993" t="s">
        <v>1143</v>
      </c>
      <c r="B3" s="994" t="s">
        <v>1144</v>
      </c>
      <c r="C3" s="995" t="s">
        <v>1168</v>
      </c>
    </row>
    <row r="4" spans="1:4" ht="38.25">
      <c r="A4" s="993" t="s">
        <v>1145</v>
      </c>
      <c r="B4" s="994" t="s">
        <v>1146</v>
      </c>
      <c r="C4" s="995" t="s">
        <v>1168</v>
      </c>
    </row>
    <row r="5" spans="1:4" ht="51">
      <c r="A5" s="993" t="s">
        <v>1147</v>
      </c>
      <c r="B5" s="994" t="s">
        <v>1148</v>
      </c>
      <c r="C5" s="995" t="s">
        <v>1168</v>
      </c>
    </row>
    <row r="6" spans="1:4" ht="38.25">
      <c r="A6" s="993">
        <v>4</v>
      </c>
      <c r="B6" s="994" t="s">
        <v>1149</v>
      </c>
      <c r="C6" s="996" t="s">
        <v>1172</v>
      </c>
    </row>
    <row r="7" spans="1:4">
      <c r="A7" s="997" t="s">
        <v>1150</v>
      </c>
      <c r="B7" s="1006" t="s">
        <v>1151</v>
      </c>
      <c r="C7" s="1003"/>
      <c r="D7" s="999"/>
    </row>
    <row r="8" spans="1:4" ht="25.5" customHeight="1">
      <c r="A8" s="1000" t="s">
        <v>1152</v>
      </c>
      <c r="B8" s="1004" t="s">
        <v>1153</v>
      </c>
      <c r="C8" s="1005" t="s">
        <v>1174</v>
      </c>
      <c r="D8" s="999"/>
    </row>
    <row r="9" spans="1:4" ht="38.25">
      <c r="A9" s="1001" t="s">
        <v>1154</v>
      </c>
      <c r="B9" s="998" t="s">
        <v>1155</v>
      </c>
      <c r="C9" s="1005" t="s">
        <v>1174</v>
      </c>
      <c r="D9" s="999"/>
    </row>
    <row r="10" spans="1:4" ht="25.5">
      <c r="A10" s="1001" t="s">
        <v>1156</v>
      </c>
      <c r="B10" s="998" t="s">
        <v>1157</v>
      </c>
      <c r="C10" s="1005" t="s">
        <v>1174</v>
      </c>
      <c r="D10" s="999"/>
    </row>
    <row r="11" spans="1:4" ht="25.5">
      <c r="A11" s="1001" t="s">
        <v>1158</v>
      </c>
      <c r="B11" s="998" t="s">
        <v>1159</v>
      </c>
      <c r="C11" s="1005" t="s">
        <v>1174</v>
      </c>
    </row>
    <row r="12" spans="1:4" ht="27.75" customHeight="1">
      <c r="A12" s="1001" t="s">
        <v>1160</v>
      </c>
      <c r="B12" s="998" t="s">
        <v>1161</v>
      </c>
      <c r="C12" s="1005" t="s">
        <v>1174</v>
      </c>
      <c r="D12" s="999"/>
    </row>
    <row r="13" spans="1:4" ht="38.25">
      <c r="A13" s="1001" t="s">
        <v>1162</v>
      </c>
      <c r="B13" s="998" t="s">
        <v>1163</v>
      </c>
      <c r="C13" s="995" t="s">
        <v>1179</v>
      </c>
    </row>
    <row r="14" spans="1:4" ht="51">
      <c r="A14" s="1002" t="s">
        <v>1164</v>
      </c>
      <c r="B14" s="994" t="s">
        <v>1165</v>
      </c>
      <c r="C14" s="995" t="s">
        <v>1166</v>
      </c>
    </row>
    <row r="15" spans="1:4" ht="51">
      <c r="A15" s="1002" t="s">
        <v>1167</v>
      </c>
      <c r="B15" s="994" t="s">
        <v>1169</v>
      </c>
      <c r="C15" s="996" t="s">
        <v>1173</v>
      </c>
    </row>
    <row r="16" spans="1:4">
      <c r="A16" s="990"/>
      <c r="C16" s="990"/>
    </row>
    <row r="17" spans="1:3">
      <c r="A17" s="990"/>
      <c r="C17" s="990"/>
    </row>
    <row r="18" spans="1:3">
      <c r="A18" s="990"/>
      <c r="C18" s="990"/>
    </row>
    <row r="19" spans="1:3">
      <c r="A19" s="990"/>
      <c r="C19" s="990"/>
    </row>
    <row r="20" spans="1:3">
      <c r="A20" s="990"/>
      <c r="C20" s="990"/>
    </row>
    <row r="21" spans="1:3">
      <c r="A21" s="990"/>
      <c r="C21" s="990"/>
    </row>
    <row r="22" spans="1:3">
      <c r="A22" s="990"/>
      <c r="C22" s="990"/>
    </row>
    <row r="23" spans="1:3">
      <c r="A23" s="990"/>
      <c r="C23" s="990"/>
    </row>
    <row r="24" spans="1:3">
      <c r="A24" s="990"/>
      <c r="C24" s="990"/>
    </row>
    <row r="25" spans="1:3">
      <c r="A25" s="990"/>
      <c r="C25" s="990"/>
    </row>
    <row r="26" spans="1:3">
      <c r="A26" s="990"/>
      <c r="C26" s="990"/>
    </row>
    <row r="27" spans="1:3">
      <c r="A27" s="990"/>
      <c r="C27" s="990"/>
    </row>
    <row r="28" spans="1:3">
      <c r="A28" s="990"/>
      <c r="C28" s="990"/>
    </row>
    <row r="29" spans="1:3">
      <c r="A29" s="990"/>
      <c r="C29" s="990"/>
    </row>
    <row r="30" spans="1:3">
      <c r="A30" s="990"/>
      <c r="C30" s="990"/>
    </row>
    <row r="31" spans="1:3">
      <c r="A31" s="990"/>
      <c r="C31" s="990"/>
    </row>
    <row r="32" spans="1:3">
      <c r="A32" s="990"/>
      <c r="C32" s="990"/>
    </row>
    <row r="33" spans="1:3">
      <c r="A33" s="990"/>
      <c r="C33" s="990"/>
    </row>
    <row r="34" spans="1:3">
      <c r="A34" s="990"/>
      <c r="C34" s="990"/>
    </row>
    <row r="35" spans="1:3">
      <c r="A35" s="990"/>
      <c r="C35" s="990"/>
    </row>
    <row r="36" spans="1:3">
      <c r="A36" s="990"/>
      <c r="C36" s="990"/>
    </row>
    <row r="37" spans="1:3">
      <c r="A37" s="990"/>
      <c r="C37" s="990"/>
    </row>
    <row r="38" spans="1:3">
      <c r="A38" s="990"/>
    </row>
    <row r="39" spans="1:3">
      <c r="A39" s="990"/>
      <c r="B39" s="991"/>
    </row>
    <row r="40" spans="1:3">
      <c r="A40" s="990"/>
      <c r="B40" s="991"/>
    </row>
    <row r="41" spans="1:3">
      <c r="A41" s="990"/>
      <c r="B41" s="991"/>
    </row>
    <row r="42" spans="1:3">
      <c r="A42" s="990"/>
      <c r="B42" s="991"/>
    </row>
    <row r="43" spans="1:3">
      <c r="A43" s="990"/>
      <c r="B43" s="991"/>
    </row>
    <row r="44" spans="1:3">
      <c r="A44" s="990"/>
      <c r="B44" s="991"/>
    </row>
    <row r="45" spans="1:3">
      <c r="A45" s="990"/>
      <c r="B45" s="991"/>
    </row>
    <row r="46" spans="1:3">
      <c r="A46" s="990"/>
      <c r="B46" s="991"/>
    </row>
    <row r="47" spans="1:3">
      <c r="A47" s="990"/>
      <c r="B47" s="991"/>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42"/>
    <pageSetUpPr fitToPage="1"/>
  </sheetPr>
  <dimension ref="A1:L31"/>
  <sheetViews>
    <sheetView showGridLines="0" zoomScaleNormal="100" workbookViewId="0"/>
  </sheetViews>
  <sheetFormatPr defaultColWidth="8" defaultRowHeight="12"/>
  <cols>
    <col min="1" max="1" width="4" style="8" customWidth="1"/>
    <col min="2" max="2" width="2.33203125" style="2" customWidth="1"/>
    <col min="3" max="3" width="3.21875" style="2" customWidth="1"/>
    <col min="4" max="4" width="27.21875" style="2" customWidth="1"/>
    <col min="5" max="5" width="0.88671875" style="2" customWidth="1"/>
    <col min="6" max="6" width="11.77734375" style="2" customWidth="1"/>
    <col min="7" max="7" width="0.88671875" style="2" customWidth="1"/>
    <col min="8" max="8" width="10.44140625" style="3" customWidth="1"/>
    <col min="9" max="9" width="0.88671875" style="2" customWidth="1"/>
    <col min="10" max="10" width="10.44140625" style="2" bestFit="1" customWidth="1"/>
    <col min="11" max="11" width="8" style="2" customWidth="1"/>
    <col min="12" max="12" width="10.21875" style="2" customWidth="1"/>
    <col min="13" max="16384" width="8" style="2"/>
  </cols>
  <sheetData>
    <row r="1" spans="1:12">
      <c r="A1" s="1" t="s">
        <v>1030</v>
      </c>
      <c r="J1" s="48" t="str">
        <f>'Cover Rev 2'!C1</f>
        <v>2015 Workpapers</v>
      </c>
    </row>
    <row r="2" spans="1:12">
      <c r="A2" s="5" t="s">
        <v>1097</v>
      </c>
      <c r="J2" s="4"/>
    </row>
    <row r="3" spans="1:12">
      <c r="A3" s="6" t="s">
        <v>337</v>
      </c>
      <c r="J3" s="7"/>
    </row>
    <row r="4" spans="1:12">
      <c r="A4" s="485" t="s">
        <v>232</v>
      </c>
    </row>
    <row r="5" spans="1:12">
      <c r="D5" s="9"/>
      <c r="E5" s="9"/>
    </row>
    <row r="6" spans="1:12">
      <c r="D6" s="9"/>
      <c r="E6" s="9"/>
      <c r="J6" s="10"/>
    </row>
    <row r="7" spans="1:12">
      <c r="A7" s="5" t="s">
        <v>46</v>
      </c>
      <c r="F7" s="10"/>
      <c r="G7" s="11"/>
      <c r="H7" s="10"/>
      <c r="I7" s="10"/>
      <c r="J7" s="10" t="s">
        <v>23</v>
      </c>
    </row>
    <row r="8" spans="1:12">
      <c r="A8" s="12" t="s">
        <v>22</v>
      </c>
      <c r="C8" s="13"/>
      <c r="D8" s="12" t="s">
        <v>33</v>
      </c>
      <c r="E8" s="11"/>
      <c r="F8" s="14" t="s">
        <v>1051</v>
      </c>
      <c r="G8" s="11"/>
      <c r="H8" s="15" t="s">
        <v>1052</v>
      </c>
      <c r="I8" s="10"/>
      <c r="J8" s="15" t="s">
        <v>1053</v>
      </c>
    </row>
    <row r="9" spans="1:12">
      <c r="F9" s="16"/>
      <c r="H9" s="16"/>
      <c r="J9" s="16"/>
    </row>
    <row r="10" spans="1:12">
      <c r="A10" s="8">
        <v>1</v>
      </c>
      <c r="B10" s="186" t="s">
        <v>119</v>
      </c>
      <c r="C10" s="187"/>
      <c r="D10" s="187"/>
      <c r="F10" s="18"/>
      <c r="H10" s="18"/>
      <c r="J10" s="18"/>
    </row>
    <row r="11" spans="1:12">
      <c r="A11" s="8">
        <f t="shared" ref="A11:A26" si="0">+A10+1</f>
        <v>2</v>
      </c>
      <c r="C11" s="43" t="s">
        <v>41</v>
      </c>
      <c r="F11" s="24"/>
      <c r="G11" s="20"/>
      <c r="H11" s="24"/>
      <c r="I11" s="20"/>
      <c r="J11" s="24"/>
    </row>
    <row r="12" spans="1:12">
      <c r="A12" s="8">
        <f t="shared" si="0"/>
        <v>3</v>
      </c>
      <c r="D12" s="2" t="s">
        <v>1093</v>
      </c>
      <c r="F12" s="163">
        <v>34837842.090000033</v>
      </c>
      <c r="G12" s="20"/>
      <c r="H12" s="163">
        <v>3284226.48</v>
      </c>
      <c r="I12" s="20"/>
      <c r="J12" s="21">
        <f>SUM(F12:H12)</f>
        <v>38122068.57000003</v>
      </c>
      <c r="L12" s="384"/>
    </row>
    <row r="13" spans="1:12">
      <c r="A13" s="8">
        <f t="shared" si="0"/>
        <v>4</v>
      </c>
      <c r="C13" s="44"/>
      <c r="D13" s="2" t="s">
        <v>1094</v>
      </c>
      <c r="F13" s="147">
        <v>0</v>
      </c>
      <c r="G13" s="20"/>
      <c r="H13" s="147">
        <v>0</v>
      </c>
      <c r="I13" s="20"/>
      <c r="J13" s="22">
        <f>SUM(F13:H13)</f>
        <v>0</v>
      </c>
    </row>
    <row r="14" spans="1:12">
      <c r="A14" s="8">
        <f t="shared" si="0"/>
        <v>5</v>
      </c>
      <c r="C14" s="8"/>
      <c r="F14" s="148"/>
      <c r="G14" s="20"/>
      <c r="H14" s="148"/>
      <c r="I14" s="20"/>
      <c r="J14" s="25"/>
    </row>
    <row r="15" spans="1:12">
      <c r="A15" s="8">
        <f t="shared" si="0"/>
        <v>6</v>
      </c>
      <c r="D15" s="8"/>
      <c r="E15" s="8"/>
      <c r="F15" s="149"/>
      <c r="G15" s="20"/>
      <c r="H15" s="149"/>
      <c r="I15" s="20"/>
      <c r="J15" s="22"/>
    </row>
    <row r="16" spans="1:12">
      <c r="A16" s="8">
        <f t="shared" si="0"/>
        <v>7</v>
      </c>
      <c r="C16" s="45" t="s">
        <v>1029</v>
      </c>
      <c r="F16" s="149"/>
      <c r="G16" s="20"/>
      <c r="H16" s="149"/>
      <c r="I16" s="20"/>
      <c r="J16" s="22"/>
    </row>
    <row r="17" spans="1:10">
      <c r="A17" s="8">
        <f t="shared" si="0"/>
        <v>8</v>
      </c>
      <c r="C17" s="8"/>
      <c r="D17" s="2" t="s">
        <v>1095</v>
      </c>
      <c r="F17" s="147">
        <v>205396000</v>
      </c>
      <c r="G17" s="20"/>
      <c r="H17" s="147">
        <v>830000</v>
      </c>
      <c r="I17" s="20"/>
      <c r="J17" s="22">
        <f>SUM(F17:H17)</f>
        <v>206226000</v>
      </c>
    </row>
    <row r="18" spans="1:10">
      <c r="A18" s="8">
        <f t="shared" si="0"/>
        <v>9</v>
      </c>
      <c r="D18" s="2" t="s">
        <v>107</v>
      </c>
      <c r="F18" s="147">
        <v>0</v>
      </c>
      <c r="G18" s="20"/>
      <c r="H18" s="147">
        <v>21948384.258819502</v>
      </c>
      <c r="I18" s="20"/>
      <c r="J18" s="22">
        <f>SUM(F18:H18)</f>
        <v>21948384.258819502</v>
      </c>
    </row>
    <row r="19" spans="1:10">
      <c r="A19" s="8">
        <f t="shared" si="0"/>
        <v>10</v>
      </c>
      <c r="C19" s="44"/>
      <c r="D19" s="2" t="s">
        <v>108</v>
      </c>
      <c r="F19" s="147">
        <v>0</v>
      </c>
      <c r="G19" s="20"/>
      <c r="H19" s="147">
        <v>0</v>
      </c>
      <c r="I19" s="20"/>
      <c r="J19" s="22">
        <f>SUM(F19:H19)</f>
        <v>0</v>
      </c>
    </row>
    <row r="20" spans="1:10">
      <c r="A20" s="8">
        <f t="shared" si="0"/>
        <v>11</v>
      </c>
      <c r="D20" s="2" t="s">
        <v>1096</v>
      </c>
      <c r="F20" s="147">
        <v>0</v>
      </c>
      <c r="G20" s="20"/>
      <c r="H20" s="147">
        <v>0</v>
      </c>
      <c r="I20" s="20"/>
      <c r="J20" s="22">
        <f>SUM(F20:H20)</f>
        <v>0</v>
      </c>
    </row>
    <row r="21" spans="1:10">
      <c r="A21" s="8">
        <f t="shared" si="0"/>
        <v>12</v>
      </c>
      <c r="F21" s="88"/>
      <c r="G21" s="20"/>
      <c r="H21" s="88"/>
      <c r="I21" s="20"/>
      <c r="J21" s="89"/>
    </row>
    <row r="22" spans="1:10">
      <c r="A22" s="8">
        <f t="shared" si="0"/>
        <v>13</v>
      </c>
      <c r="F22" s="26"/>
      <c r="G22" s="20"/>
      <c r="H22" s="26"/>
      <c r="I22" s="20"/>
      <c r="J22" s="26"/>
    </row>
    <row r="23" spans="1:10" ht="12.75" thickBot="1">
      <c r="A23" s="8">
        <f t="shared" si="0"/>
        <v>14</v>
      </c>
      <c r="D23" s="8" t="s">
        <v>9</v>
      </c>
      <c r="E23" s="8"/>
      <c r="F23" s="90">
        <f>SUM(F11:F21)</f>
        <v>240233842.09000003</v>
      </c>
      <c r="G23" s="20"/>
      <c r="H23" s="90">
        <f>SUM(H11:H21)</f>
        <v>26062610.738819502</v>
      </c>
      <c r="I23" s="20"/>
      <c r="J23" s="90">
        <f>SUM(F23:H23)</f>
        <v>266296452.82881954</v>
      </c>
    </row>
    <row r="24" spans="1:10" ht="12.75" thickTop="1">
      <c r="A24" s="8">
        <f t="shared" si="0"/>
        <v>15</v>
      </c>
      <c r="F24" s="3"/>
      <c r="J24" s="91"/>
    </row>
    <row r="25" spans="1:10">
      <c r="A25" s="8">
        <f t="shared" si="0"/>
        <v>16</v>
      </c>
    </row>
    <row r="26" spans="1:10" ht="12.75" thickBot="1">
      <c r="A26" s="8">
        <f t="shared" si="0"/>
        <v>17</v>
      </c>
      <c r="B26" s="92" t="s">
        <v>1098</v>
      </c>
      <c r="C26" s="92"/>
      <c r="D26" s="92"/>
      <c r="F26" s="164">
        <v>-1501001</v>
      </c>
      <c r="G26" s="20"/>
      <c r="H26" s="164">
        <v>-618662.52</v>
      </c>
      <c r="I26" s="20"/>
      <c r="J26" s="93">
        <f>SUM(F26:H26)</f>
        <v>-2119663.52</v>
      </c>
    </row>
    <row r="27" spans="1:10" ht="12.75" thickTop="1"/>
    <row r="29" spans="1:10">
      <c r="E29" s="8"/>
    </row>
    <row r="30" spans="1:10">
      <c r="A30" s="2"/>
    </row>
    <row r="31" spans="1:10">
      <c r="A31" s="2" t="s">
        <v>109</v>
      </c>
    </row>
  </sheetData>
  <phoneticPr fontId="15" type="noConversion"/>
  <pageMargins left="0.5" right="0.25" top="0.5" bottom="0.25" header="0.75" footer="0.5"/>
  <pageSetup orientation="portrait" horizontalDpi="1200" verticalDpi="1200" r:id="rId1"/>
  <headerFooter alignWithMargins="0">
    <oddFooter>&amp;CPage  &amp;P  of  &amp;N</oddFooter>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42"/>
    <pageSetUpPr fitToPage="1"/>
  </sheetPr>
  <dimension ref="A1:K40"/>
  <sheetViews>
    <sheetView showGridLines="0" zoomScaleNormal="100" workbookViewId="0"/>
  </sheetViews>
  <sheetFormatPr defaultColWidth="8" defaultRowHeight="12"/>
  <cols>
    <col min="1" max="1" width="4" style="8" customWidth="1"/>
    <col min="2" max="2" width="2.33203125" style="2" customWidth="1"/>
    <col min="3" max="3" width="3.21875" style="2" customWidth="1"/>
    <col min="4" max="4" width="50.6640625" style="2" bestFit="1" customWidth="1"/>
    <col min="5" max="5" width="0.88671875" style="2" customWidth="1"/>
    <col min="6" max="6" width="11.77734375" style="2" customWidth="1"/>
    <col min="7" max="7" width="0.88671875" style="2" customWidth="1"/>
    <col min="8" max="8" width="12.109375" style="3" bestFit="1" customWidth="1"/>
    <col min="9" max="9" width="0.88671875" style="2" customWidth="1"/>
    <col min="10" max="10" width="13.109375" style="2" bestFit="1" customWidth="1"/>
    <col min="11" max="16384" width="8" style="2"/>
  </cols>
  <sheetData>
    <row r="1" spans="1:11">
      <c r="A1" s="1" t="s">
        <v>1030</v>
      </c>
      <c r="J1" s="48" t="str">
        <f>'Cover Rev 2'!C1</f>
        <v>2015 Workpapers</v>
      </c>
    </row>
    <row r="2" spans="1:11">
      <c r="A2" s="5" t="s">
        <v>1099</v>
      </c>
      <c r="J2" s="4"/>
    </row>
    <row r="3" spans="1:11">
      <c r="A3" s="6" t="s">
        <v>337</v>
      </c>
      <c r="J3" s="7"/>
    </row>
    <row r="4" spans="1:11">
      <c r="A4" s="485" t="s">
        <v>232</v>
      </c>
      <c r="F4" s="185"/>
    </row>
    <row r="5" spans="1:11">
      <c r="E5" s="9"/>
    </row>
    <row r="6" spans="1:11">
      <c r="D6" s="9"/>
      <c r="E6" s="9"/>
      <c r="J6" s="10"/>
    </row>
    <row r="7" spans="1:11">
      <c r="A7" s="5" t="s">
        <v>46</v>
      </c>
      <c r="F7" s="10"/>
      <c r="G7" s="11"/>
      <c r="H7" s="10"/>
      <c r="I7" s="10"/>
      <c r="J7" s="10" t="s">
        <v>23</v>
      </c>
    </row>
    <row r="8" spans="1:11">
      <c r="A8" s="12" t="s">
        <v>22</v>
      </c>
      <c r="C8" s="13"/>
      <c r="D8" s="12" t="s">
        <v>33</v>
      </c>
      <c r="E8" s="11"/>
      <c r="F8" s="14" t="s">
        <v>1051</v>
      </c>
      <c r="G8" s="11"/>
      <c r="H8" s="15" t="s">
        <v>1052</v>
      </c>
      <c r="I8" s="10"/>
      <c r="J8" s="15" t="s">
        <v>1053</v>
      </c>
    </row>
    <row r="9" spans="1:11">
      <c r="F9" s="16"/>
      <c r="H9" s="16"/>
      <c r="J9" s="16"/>
    </row>
    <row r="10" spans="1:11">
      <c r="A10" s="8">
        <v>1</v>
      </c>
      <c r="B10" s="186" t="s">
        <v>120</v>
      </c>
      <c r="C10" s="187"/>
      <c r="D10" s="187"/>
      <c r="F10" s="18"/>
      <c r="H10" s="18"/>
      <c r="J10" s="18"/>
    </row>
    <row r="11" spans="1:11">
      <c r="A11" s="8">
        <f t="shared" ref="A11:A39" si="0">+A10+1</f>
        <v>2</v>
      </c>
      <c r="C11" s="43"/>
      <c r="D11" s="2" t="s">
        <v>98</v>
      </c>
      <c r="F11" s="163">
        <f>'Gross Plant'!F48</f>
        <v>3122037666</v>
      </c>
      <c r="G11" s="20"/>
      <c r="H11" s="163">
        <f>'Gross Plant'!F70</f>
        <v>847575645.01076949</v>
      </c>
      <c r="I11" s="20"/>
      <c r="J11" s="21">
        <f>SUM(F11:H11)</f>
        <v>3969613311.0107694</v>
      </c>
      <c r="K11" s="139"/>
    </row>
    <row r="12" spans="1:11">
      <c r="A12" s="8">
        <f t="shared" si="0"/>
        <v>3</v>
      </c>
      <c r="C12" s="43"/>
      <c r="D12" s="2" t="s">
        <v>148</v>
      </c>
      <c r="F12" s="147">
        <v>0</v>
      </c>
      <c r="G12" s="20"/>
      <c r="H12" s="147">
        <v>0</v>
      </c>
      <c r="I12" s="20"/>
      <c r="J12" s="138">
        <f>SUM(F12:H12)</f>
        <v>0</v>
      </c>
      <c r="K12" s="139"/>
    </row>
    <row r="13" spans="1:11">
      <c r="A13" s="8">
        <f t="shared" si="0"/>
        <v>4</v>
      </c>
      <c r="D13" s="2" t="s">
        <v>110</v>
      </c>
      <c r="F13" s="147">
        <v>72126344.034189641</v>
      </c>
      <c r="G13" s="20"/>
      <c r="H13" s="147">
        <v>9151198.1600000039</v>
      </c>
      <c r="I13" s="20"/>
      <c r="J13" s="138">
        <f>SUM(F13:H13)</f>
        <v>81277542.194189638</v>
      </c>
    </row>
    <row r="14" spans="1:11">
      <c r="A14" s="8">
        <f t="shared" si="0"/>
        <v>5</v>
      </c>
      <c r="C14" s="44"/>
      <c r="H14" s="392"/>
    </row>
    <row r="15" spans="1:11">
      <c r="A15" s="8">
        <f t="shared" si="0"/>
        <v>6</v>
      </c>
      <c r="C15" s="8"/>
      <c r="F15" s="24"/>
      <c r="G15" s="20"/>
      <c r="H15" s="148"/>
      <c r="I15" s="20"/>
      <c r="J15" s="25"/>
    </row>
    <row r="16" spans="1:11">
      <c r="A16" s="8">
        <f t="shared" si="0"/>
        <v>7</v>
      </c>
      <c r="B16" s="186" t="s">
        <v>121</v>
      </c>
      <c r="C16" s="186"/>
      <c r="D16" s="188"/>
      <c r="E16" s="8"/>
      <c r="F16" s="26"/>
      <c r="G16" s="20"/>
      <c r="H16" s="149"/>
      <c r="I16" s="20"/>
      <c r="J16" s="22"/>
    </row>
    <row r="17" spans="1:10">
      <c r="A17" s="8">
        <f t="shared" si="0"/>
        <v>8</v>
      </c>
      <c r="C17" s="45"/>
      <c r="D17" s="2" t="s">
        <v>1100</v>
      </c>
      <c r="F17" s="26"/>
      <c r="G17" s="20"/>
      <c r="H17" s="149"/>
      <c r="I17" s="20"/>
      <c r="J17" s="22"/>
    </row>
    <row r="18" spans="1:10">
      <c r="A18" s="8">
        <f t="shared" si="0"/>
        <v>9</v>
      </c>
      <c r="C18" s="8"/>
      <c r="D18" s="2" t="s">
        <v>1101</v>
      </c>
      <c r="F18" s="163">
        <f>'O&amp;M'!F13</f>
        <v>46207.97</v>
      </c>
      <c r="G18" s="27"/>
      <c r="H18" s="163">
        <f>'O&amp;M'!H13</f>
        <v>0</v>
      </c>
      <c r="I18" s="27"/>
      <c r="J18" s="21">
        <f>SUM(F18:H18)</f>
        <v>46207.97</v>
      </c>
    </row>
    <row r="19" spans="1:10">
      <c r="A19" s="8">
        <f t="shared" si="0"/>
        <v>10</v>
      </c>
      <c r="D19" s="2" t="s">
        <v>1102</v>
      </c>
      <c r="F19" s="147">
        <f>'O&amp;M'!F14</f>
        <v>6724241.4700000016</v>
      </c>
      <c r="G19" s="20"/>
      <c r="H19" s="147">
        <f>'O&amp;M'!H14</f>
        <v>2043691.8</v>
      </c>
      <c r="I19" s="20"/>
      <c r="J19" s="22">
        <f>SUM(F19:H19)</f>
        <v>8767933.2700000014</v>
      </c>
    </row>
    <row r="20" spans="1:10">
      <c r="A20" s="8">
        <f t="shared" si="0"/>
        <v>11</v>
      </c>
      <c r="C20" s="44"/>
      <c r="D20" s="2" t="s">
        <v>1103</v>
      </c>
      <c r="F20" s="165">
        <f>'O&amp;M'!F15</f>
        <v>23430.12</v>
      </c>
      <c r="G20" s="20"/>
      <c r="H20" s="165">
        <f>'O&amp;M'!H15</f>
        <v>0</v>
      </c>
      <c r="I20" s="20"/>
      <c r="J20" s="28">
        <f>SUM(F20:H20)</f>
        <v>23430.12</v>
      </c>
    </row>
    <row r="21" spans="1:10">
      <c r="A21" s="8">
        <f t="shared" si="0"/>
        <v>12</v>
      </c>
      <c r="F21" s="19"/>
      <c r="G21" s="19"/>
      <c r="H21" s="19"/>
      <c r="I21" s="19"/>
      <c r="J21" s="19"/>
    </row>
    <row r="22" spans="1:10" ht="12.75" thickBot="1">
      <c r="A22" s="8">
        <f t="shared" si="0"/>
        <v>13</v>
      </c>
      <c r="D22" s="2" t="s">
        <v>1104</v>
      </c>
      <c r="F22" s="29">
        <f>SUM(F18:F20)</f>
        <v>6793879.5600000015</v>
      </c>
      <c r="G22" s="19"/>
      <c r="H22" s="29">
        <f>SUM(H18:H20)</f>
        <v>2043691.8</v>
      </c>
      <c r="I22" s="19"/>
      <c r="J22" s="29">
        <f>SUM(J18:J20)</f>
        <v>8837571.3600000013</v>
      </c>
    </row>
    <row r="23" spans="1:10" ht="12.75" thickTop="1">
      <c r="A23" s="8">
        <f t="shared" si="0"/>
        <v>14</v>
      </c>
      <c r="F23" s="26"/>
      <c r="G23" s="20"/>
      <c r="H23" s="26"/>
      <c r="I23" s="20"/>
      <c r="J23" s="26"/>
    </row>
    <row r="24" spans="1:10">
      <c r="A24" s="8">
        <f t="shared" si="0"/>
        <v>15</v>
      </c>
      <c r="B24" s="19"/>
      <c r="C24" s="19"/>
      <c r="D24" s="19"/>
      <c r="E24" s="19"/>
      <c r="F24" s="19"/>
      <c r="G24" s="19"/>
      <c r="H24" s="19"/>
      <c r="I24" s="19"/>
      <c r="J24" s="19"/>
    </row>
    <row r="25" spans="1:10">
      <c r="A25" s="8">
        <f t="shared" si="0"/>
        <v>16</v>
      </c>
      <c r="B25" s="189" t="s">
        <v>122</v>
      </c>
      <c r="C25" s="189"/>
      <c r="D25" s="189"/>
      <c r="E25" s="19"/>
      <c r="F25" s="19"/>
      <c r="G25" s="19"/>
      <c r="H25" s="19"/>
      <c r="I25" s="19"/>
      <c r="J25" s="19"/>
    </row>
    <row r="26" spans="1:10">
      <c r="A26" s="8">
        <f t="shared" si="0"/>
        <v>17</v>
      </c>
      <c r="B26" s="19"/>
      <c r="C26" s="19"/>
      <c r="D26" s="19" t="s">
        <v>4</v>
      </c>
      <c r="E26" s="19"/>
      <c r="F26" s="386">
        <v>290818847.65999973</v>
      </c>
      <c r="G26" s="173"/>
      <c r="H26" s="163">
        <v>12949071.890000023</v>
      </c>
      <c r="I26" s="27"/>
      <c r="J26" s="21">
        <f>SUM(F26:H26)</f>
        <v>303767919.54999977</v>
      </c>
    </row>
    <row r="27" spans="1:10">
      <c r="A27" s="8">
        <f t="shared" si="0"/>
        <v>18</v>
      </c>
      <c r="B27" s="19"/>
      <c r="C27" s="19"/>
      <c r="D27" s="19" t="s">
        <v>24</v>
      </c>
      <c r="E27" s="19"/>
      <c r="F27" s="387">
        <v>20919243.729999986</v>
      </c>
      <c r="G27" s="174"/>
      <c r="H27" s="147">
        <v>4727514.6100000003</v>
      </c>
      <c r="I27" s="20"/>
      <c r="J27" s="22">
        <f>SUM(F27:H27)</f>
        <v>25646758.339999985</v>
      </c>
    </row>
    <row r="28" spans="1:10">
      <c r="A28" s="8">
        <f t="shared" si="0"/>
        <v>19</v>
      </c>
      <c r="D28" s="2" t="s">
        <v>25</v>
      </c>
      <c r="F28" s="387">
        <v>57417470.120000035</v>
      </c>
      <c r="G28" s="174"/>
      <c r="H28" s="147">
        <v>13997430.499999998</v>
      </c>
      <c r="I28" s="20"/>
      <c r="J28" s="22">
        <f>SUM(F28:H28)</f>
        <v>71414900.620000035</v>
      </c>
    </row>
    <row r="29" spans="1:10">
      <c r="A29" s="8">
        <f t="shared" si="0"/>
        <v>20</v>
      </c>
      <c r="D29" s="2" t="s">
        <v>111</v>
      </c>
      <c r="F29" s="388">
        <v>16316295.17</v>
      </c>
      <c r="G29" s="174"/>
      <c r="H29" s="165">
        <v>3683946.83</v>
      </c>
      <c r="I29" s="20"/>
      <c r="J29" s="28">
        <f>SUM(F29:H29)</f>
        <v>20000242</v>
      </c>
    </row>
    <row r="30" spans="1:10">
      <c r="A30" s="8">
        <f t="shared" si="0"/>
        <v>21</v>
      </c>
      <c r="E30" s="8"/>
    </row>
    <row r="31" spans="1:10" ht="12.75" thickBot="1">
      <c r="A31" s="8">
        <f t="shared" si="0"/>
        <v>22</v>
      </c>
      <c r="D31" s="2" t="s">
        <v>1105</v>
      </c>
      <c r="F31" s="46">
        <f>SUM(F26:F29)</f>
        <v>385471856.67999977</v>
      </c>
      <c r="H31" s="46">
        <f>SUM(H26:H29)</f>
        <v>35357963.830000021</v>
      </c>
      <c r="J31" s="46">
        <f>SUM(J26:J29)</f>
        <v>420829820.50999975</v>
      </c>
    </row>
    <row r="32" spans="1:10" ht="12.75" thickTop="1">
      <c r="A32" s="8">
        <f t="shared" si="0"/>
        <v>23</v>
      </c>
    </row>
    <row r="33" spans="1:10">
      <c r="A33" s="8">
        <f t="shared" si="0"/>
        <v>24</v>
      </c>
    </row>
    <row r="34" spans="1:10">
      <c r="A34" s="8">
        <f t="shared" si="0"/>
        <v>25</v>
      </c>
      <c r="B34" s="186" t="s">
        <v>123</v>
      </c>
      <c r="C34" s="187"/>
      <c r="D34" s="187"/>
    </row>
    <row r="35" spans="1:10">
      <c r="A35" s="8">
        <f t="shared" si="0"/>
        <v>26</v>
      </c>
      <c r="D35" s="2" t="s">
        <v>8</v>
      </c>
      <c r="F35" s="163">
        <v>15099661928</v>
      </c>
      <c r="G35" s="27"/>
      <c r="H35" s="163">
        <v>2419185039</v>
      </c>
      <c r="I35" s="27"/>
      <c r="J35" s="21">
        <f>SUM(F35:H35)</f>
        <v>17518846967</v>
      </c>
    </row>
    <row r="36" spans="1:10">
      <c r="A36" s="8">
        <f t="shared" si="0"/>
        <v>27</v>
      </c>
      <c r="D36" s="2" t="s">
        <v>1119</v>
      </c>
      <c r="F36" s="163">
        <v>1175368901</v>
      </c>
      <c r="G36" s="20"/>
      <c r="H36" s="147">
        <v>272587314</v>
      </c>
      <c r="I36" s="20"/>
      <c r="J36" s="22">
        <f>SUM(F36:H36)</f>
        <v>1447956215</v>
      </c>
    </row>
    <row r="37" spans="1:10">
      <c r="A37" s="8">
        <f t="shared" si="0"/>
        <v>28</v>
      </c>
      <c r="D37" s="2" t="s">
        <v>1106</v>
      </c>
      <c r="F37" s="165">
        <v>0</v>
      </c>
      <c r="G37" s="20"/>
      <c r="H37" s="165">
        <v>0</v>
      </c>
      <c r="I37" s="20"/>
      <c r="J37" s="28">
        <f>SUM(F37:H37)</f>
        <v>0</v>
      </c>
    </row>
    <row r="38" spans="1:10">
      <c r="A38" s="8">
        <f t="shared" si="0"/>
        <v>29</v>
      </c>
      <c r="F38" s="19"/>
      <c r="G38" s="19"/>
      <c r="H38" s="19"/>
      <c r="I38" s="19"/>
      <c r="J38" s="19"/>
    </row>
    <row r="39" spans="1:10" ht="12.75" thickBot="1">
      <c r="A39" s="8">
        <f t="shared" si="0"/>
        <v>30</v>
      </c>
      <c r="D39" s="2" t="s">
        <v>1107</v>
      </c>
      <c r="F39" s="29">
        <f>SUM(F35:F37)</f>
        <v>16275030829</v>
      </c>
      <c r="G39" s="19"/>
      <c r="H39" s="29">
        <f>SUM(H35:H37)</f>
        <v>2691772353</v>
      </c>
      <c r="I39" s="19"/>
      <c r="J39" s="29">
        <f>SUM(J35:J37)</f>
        <v>18966803182</v>
      </c>
    </row>
    <row r="40" spans="1:10" ht="12.75" thickTop="1"/>
  </sheetData>
  <phoneticPr fontId="15" type="noConversion"/>
  <pageMargins left="0.5" right="0.25" top="0.5" bottom="0.25" header="0.75" footer="0.5"/>
  <pageSetup scale="82" orientation="portrait" horizontalDpi="1200" verticalDpi="1200" r:id="rId1"/>
  <headerFooter alignWithMargins="0">
    <oddFooter>&amp;CPage  &amp;P  of  &amp;N</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2"/>
    <pageSetUpPr fitToPage="1"/>
  </sheetPr>
  <dimension ref="A1:P39"/>
  <sheetViews>
    <sheetView showGridLines="0" zoomScaleNormal="100" workbookViewId="0"/>
  </sheetViews>
  <sheetFormatPr defaultColWidth="8" defaultRowHeight="12"/>
  <cols>
    <col min="1" max="1" width="4" style="8" customWidth="1"/>
    <col min="2" max="2" width="2.33203125" style="2" customWidth="1"/>
    <col min="3" max="3" width="3.21875" style="2" customWidth="1"/>
    <col min="4" max="4" width="50.6640625" style="2" bestFit="1" customWidth="1"/>
    <col min="5" max="5" width="0.88671875" style="2" customWidth="1"/>
    <col min="6" max="6" width="11.77734375" style="2" customWidth="1"/>
    <col min="7" max="7" width="0.88671875" style="2" customWidth="1"/>
    <col min="8" max="8" width="10.44140625" style="3" customWidth="1"/>
    <col min="9" max="9" width="0.88671875" style="2" customWidth="1"/>
    <col min="10" max="10" width="12.109375" style="2" bestFit="1" customWidth="1"/>
    <col min="11" max="11" width="0.88671875" style="2" customWidth="1"/>
    <col min="12" max="12" width="10.33203125" style="2" customWidth="1"/>
    <col min="13" max="16384" width="8" style="2"/>
  </cols>
  <sheetData>
    <row r="1" spans="1:16">
      <c r="A1" s="1" t="s">
        <v>1030</v>
      </c>
      <c r="L1" s="48" t="str">
        <f>'Cover Rev 2'!C1</f>
        <v>2015 Workpapers</v>
      </c>
    </row>
    <row r="2" spans="1:16">
      <c r="A2" s="5" t="s">
        <v>1116</v>
      </c>
      <c r="L2" s="4"/>
    </row>
    <row r="3" spans="1:16">
      <c r="A3" s="6" t="s">
        <v>337</v>
      </c>
      <c r="L3" s="7"/>
      <c r="P3" s="140"/>
    </row>
    <row r="4" spans="1:16">
      <c r="A4" s="455" t="s">
        <v>232</v>
      </c>
      <c r="H4" s="150"/>
    </row>
    <row r="5" spans="1:16">
      <c r="D5" s="9"/>
      <c r="E5" s="9"/>
    </row>
    <row r="6" spans="1:16">
      <c r="D6" s="9"/>
      <c r="E6" s="9"/>
      <c r="J6" s="10"/>
    </row>
    <row r="7" spans="1:16">
      <c r="A7" s="5" t="s">
        <v>46</v>
      </c>
      <c r="F7" s="10"/>
      <c r="G7" s="11"/>
      <c r="H7" s="10"/>
      <c r="I7" s="10"/>
      <c r="J7" s="10" t="s">
        <v>23</v>
      </c>
    </row>
    <row r="8" spans="1:16">
      <c r="A8" s="12" t="s">
        <v>22</v>
      </c>
      <c r="C8" s="13"/>
      <c r="D8" s="12" t="s">
        <v>33</v>
      </c>
      <c r="E8" s="11"/>
      <c r="F8" s="14" t="s">
        <v>1051</v>
      </c>
      <c r="G8" s="11"/>
      <c r="H8" s="15" t="s">
        <v>1052</v>
      </c>
      <c r="I8" s="10"/>
      <c r="J8" s="15" t="s">
        <v>1053</v>
      </c>
    </row>
    <row r="9" spans="1:16">
      <c r="F9" s="16"/>
      <c r="H9" s="16"/>
      <c r="J9" s="16"/>
    </row>
    <row r="10" spans="1:16">
      <c r="A10" s="8">
        <v>1</v>
      </c>
      <c r="B10" s="189" t="s">
        <v>115</v>
      </c>
      <c r="C10" s="189"/>
      <c r="D10" s="189"/>
      <c r="F10" s="18"/>
      <c r="H10" s="18"/>
      <c r="J10" s="18"/>
    </row>
    <row r="11" spans="1:16">
      <c r="A11" s="8">
        <f t="shared" ref="A11:A34" si="0">+A10+1</f>
        <v>2</v>
      </c>
      <c r="B11" s="19"/>
      <c r="C11" s="19"/>
      <c r="D11" s="19" t="s">
        <v>1109</v>
      </c>
      <c r="F11" s="384">
        <v>4550045934</v>
      </c>
      <c r="G11" s="20"/>
      <c r="H11" s="384">
        <v>669089880</v>
      </c>
      <c r="I11" s="20"/>
      <c r="J11" s="21">
        <f>SUM(F11:H11)</f>
        <v>5219135814</v>
      </c>
    </row>
    <row r="12" spans="1:16">
      <c r="A12" s="8">
        <f t="shared" si="0"/>
        <v>3</v>
      </c>
      <c r="B12" s="19"/>
      <c r="C12" s="19"/>
      <c r="D12" s="19" t="s">
        <v>1110</v>
      </c>
      <c r="F12" s="384">
        <v>226349027</v>
      </c>
      <c r="G12" s="20"/>
      <c r="H12" s="384">
        <v>35939610</v>
      </c>
      <c r="I12" s="20"/>
      <c r="J12" s="22">
        <f>SUM(F12:H12)</f>
        <v>262288637</v>
      </c>
    </row>
    <row r="13" spans="1:16">
      <c r="A13" s="8">
        <f t="shared" si="0"/>
        <v>4</v>
      </c>
      <c r="B13" s="19"/>
      <c r="C13" s="19"/>
      <c r="D13" s="19" t="s">
        <v>1111</v>
      </c>
      <c r="F13" s="337"/>
      <c r="H13" s="337"/>
      <c r="J13" s="23">
        <f>+J12/J11</f>
        <v>5.0255185215994459E-2</v>
      </c>
    </row>
    <row r="14" spans="1:16">
      <c r="A14" s="8">
        <f t="shared" si="0"/>
        <v>5</v>
      </c>
      <c r="B14" s="19"/>
      <c r="C14" s="19"/>
      <c r="D14" s="19"/>
      <c r="F14" s="338"/>
      <c r="G14" s="20"/>
      <c r="H14" s="338"/>
      <c r="I14" s="20"/>
      <c r="J14" s="25"/>
    </row>
    <row r="15" spans="1:16">
      <c r="A15" s="8">
        <f t="shared" si="0"/>
        <v>6</v>
      </c>
      <c r="B15" s="19"/>
      <c r="C15" s="19"/>
      <c r="D15" s="19"/>
      <c r="E15" s="8"/>
      <c r="F15" s="339"/>
      <c r="G15" s="20"/>
      <c r="H15" s="339"/>
      <c r="I15" s="20"/>
      <c r="J15" s="22"/>
    </row>
    <row r="16" spans="1:16">
      <c r="A16" s="8">
        <f t="shared" si="0"/>
        <v>7</v>
      </c>
      <c r="B16" s="189" t="s">
        <v>116</v>
      </c>
      <c r="C16" s="189"/>
      <c r="D16" s="189"/>
      <c r="F16" s="339"/>
      <c r="G16" s="20"/>
      <c r="H16" s="339"/>
      <c r="I16" s="20"/>
      <c r="J16" s="22"/>
    </row>
    <row r="17" spans="1:12">
      <c r="A17" s="8">
        <f t="shared" si="0"/>
        <v>8</v>
      </c>
      <c r="B17" s="19"/>
      <c r="C17" s="19"/>
      <c r="D17" s="19" t="s">
        <v>1112</v>
      </c>
      <c r="F17" s="383">
        <v>5183189669</v>
      </c>
      <c r="G17" s="27"/>
      <c r="H17" s="383">
        <v>810631887</v>
      </c>
      <c r="I17" s="27"/>
      <c r="J17" s="21">
        <f>SUM(F17:H17)</f>
        <v>5993821556</v>
      </c>
    </row>
    <row r="18" spans="1:12">
      <c r="A18" s="8">
        <f t="shared" si="0"/>
        <v>9</v>
      </c>
      <c r="B18" s="19"/>
      <c r="C18" s="19"/>
      <c r="D18" s="19" t="s">
        <v>1113</v>
      </c>
      <c r="F18" s="336">
        <v>0</v>
      </c>
      <c r="G18" s="20"/>
      <c r="H18" s="336">
        <v>0</v>
      </c>
      <c r="I18" s="20"/>
      <c r="J18" s="22">
        <f>SUM(F18:H18)</f>
        <v>0</v>
      </c>
    </row>
    <row r="19" spans="1:12">
      <c r="A19" s="8">
        <f t="shared" si="0"/>
        <v>10</v>
      </c>
      <c r="B19" s="19"/>
      <c r="C19" s="19"/>
      <c r="D19" s="19" t="s">
        <v>1114</v>
      </c>
      <c r="F19" s="28">
        <v>3117178</v>
      </c>
      <c r="G19" s="20"/>
      <c r="H19" s="385">
        <v>-2435172</v>
      </c>
      <c r="I19" s="20"/>
      <c r="J19" s="28">
        <f>SUM(F19:H19)</f>
        <v>682006</v>
      </c>
    </row>
    <row r="20" spans="1:12">
      <c r="A20" s="8">
        <f t="shared" si="0"/>
        <v>11</v>
      </c>
      <c r="B20" s="19"/>
      <c r="C20" s="19"/>
      <c r="D20" s="19"/>
      <c r="F20" s="19"/>
      <c r="G20" s="19"/>
      <c r="H20" s="19"/>
      <c r="I20" s="19"/>
      <c r="J20" s="19"/>
    </row>
    <row r="21" spans="1:12" ht="12.75" thickBot="1">
      <c r="A21" s="8">
        <f t="shared" si="0"/>
        <v>12</v>
      </c>
      <c r="B21" s="19"/>
      <c r="C21" s="19"/>
      <c r="D21" s="19" t="s">
        <v>1115</v>
      </c>
      <c r="F21" s="29">
        <f>SUM(F17:F19)</f>
        <v>5186306847</v>
      </c>
      <c r="G21" s="19"/>
      <c r="H21" s="29">
        <f>SUM(H17:H19)</f>
        <v>808196715</v>
      </c>
      <c r="I21" s="19"/>
      <c r="J21" s="29">
        <f>SUM(J17:J19)</f>
        <v>5994503562</v>
      </c>
    </row>
    <row r="22" spans="1:12" ht="12.75" thickTop="1">
      <c r="A22" s="8">
        <f t="shared" si="0"/>
        <v>13</v>
      </c>
      <c r="B22" s="19"/>
      <c r="C22" s="19"/>
      <c r="D22" s="19"/>
      <c r="F22" s="26"/>
      <c r="G22" s="20"/>
      <c r="H22" s="26"/>
      <c r="I22" s="20"/>
      <c r="J22" s="26"/>
    </row>
    <row r="23" spans="1:12">
      <c r="A23" s="8">
        <f t="shared" si="0"/>
        <v>14</v>
      </c>
      <c r="B23" s="19"/>
      <c r="C23" s="19"/>
      <c r="D23" s="19"/>
      <c r="E23" s="19"/>
      <c r="F23" s="19"/>
      <c r="G23" s="19"/>
      <c r="H23" s="19"/>
      <c r="I23" s="19"/>
      <c r="J23" s="19"/>
    </row>
    <row r="24" spans="1:12">
      <c r="A24" s="8">
        <f t="shared" si="0"/>
        <v>15</v>
      </c>
      <c r="F24" s="19"/>
      <c r="G24" s="19"/>
      <c r="H24" s="19"/>
      <c r="I24" s="19"/>
      <c r="J24" s="19"/>
    </row>
    <row r="25" spans="1:12">
      <c r="A25" s="8">
        <f t="shared" si="0"/>
        <v>16</v>
      </c>
      <c r="F25" s="19"/>
      <c r="G25" s="19"/>
      <c r="H25" s="19"/>
      <c r="I25" s="19"/>
      <c r="J25" s="19"/>
    </row>
    <row r="26" spans="1:12">
      <c r="A26" s="8">
        <f t="shared" si="0"/>
        <v>17</v>
      </c>
      <c r="B26" s="17" t="s">
        <v>1116</v>
      </c>
      <c r="C26" s="17"/>
      <c r="D26" s="17"/>
      <c r="E26" s="19"/>
      <c r="F26" s="30" t="s">
        <v>65</v>
      </c>
      <c r="G26" s="31"/>
      <c r="H26" s="30" t="s">
        <v>16</v>
      </c>
      <c r="I26" s="31"/>
      <c r="J26" s="30" t="s">
        <v>39</v>
      </c>
      <c r="K26" s="10"/>
      <c r="L26" s="15" t="s">
        <v>38</v>
      </c>
    </row>
    <row r="27" spans="1:12">
      <c r="A27" s="8">
        <f t="shared" si="0"/>
        <v>18</v>
      </c>
      <c r="B27" s="19"/>
      <c r="C27" s="19"/>
      <c r="D27" s="19"/>
      <c r="E27" s="19"/>
      <c r="F27" s="19"/>
      <c r="G27" s="19"/>
      <c r="H27" s="19"/>
      <c r="I27" s="19"/>
      <c r="J27" s="19"/>
    </row>
    <row r="28" spans="1:12">
      <c r="A28" s="8">
        <f t="shared" si="0"/>
        <v>19</v>
      </c>
      <c r="B28" s="19"/>
      <c r="C28" s="19"/>
      <c r="D28" s="19" t="s">
        <v>1108</v>
      </c>
      <c r="E28" s="19"/>
      <c r="F28" s="32">
        <f>+J11</f>
        <v>5219135814</v>
      </c>
      <c r="G28" s="19"/>
      <c r="H28" s="33">
        <f>+F28/$F$34</f>
        <v>0.46542747086822317</v>
      </c>
      <c r="I28" s="19"/>
      <c r="J28" s="34">
        <f>+J13</f>
        <v>5.0255185215994459E-2</v>
      </c>
      <c r="L28" s="35">
        <f>+H28*J28</f>
        <v>2.3390143753094422E-2</v>
      </c>
    </row>
    <row r="29" spans="1:12">
      <c r="A29" s="8">
        <f t="shared" si="0"/>
        <v>20</v>
      </c>
      <c r="B29" s="19"/>
      <c r="C29" s="19"/>
      <c r="D29" s="19"/>
      <c r="E29" s="8"/>
      <c r="F29" s="19"/>
      <c r="G29" s="19"/>
      <c r="H29" s="19"/>
      <c r="I29" s="19"/>
      <c r="J29" s="36"/>
      <c r="L29" s="35"/>
    </row>
    <row r="30" spans="1:12">
      <c r="A30" s="8">
        <f t="shared" si="0"/>
        <v>21</v>
      </c>
      <c r="B30" s="19"/>
      <c r="C30" s="19"/>
      <c r="D30" s="19" t="s">
        <v>1023</v>
      </c>
      <c r="F30" s="37">
        <f>-J18</f>
        <v>0</v>
      </c>
      <c r="G30" s="19"/>
      <c r="H30" s="33">
        <f>+F30/$F$34</f>
        <v>0</v>
      </c>
      <c r="I30" s="19"/>
      <c r="J30" s="34">
        <v>0</v>
      </c>
      <c r="L30" s="35">
        <f>+H30*J30</f>
        <v>0</v>
      </c>
    </row>
    <row r="31" spans="1:12">
      <c r="A31" s="8">
        <f t="shared" si="0"/>
        <v>22</v>
      </c>
      <c r="B31" s="19"/>
      <c r="C31" s="19"/>
      <c r="D31" s="19"/>
      <c r="F31" s="19"/>
      <c r="G31" s="19"/>
      <c r="H31" s="19"/>
      <c r="I31" s="19"/>
      <c r="J31" s="36"/>
      <c r="L31" s="35"/>
    </row>
    <row r="32" spans="1:12">
      <c r="A32" s="8">
        <f t="shared" si="0"/>
        <v>23</v>
      </c>
      <c r="B32" s="19"/>
      <c r="C32" s="19"/>
      <c r="D32" s="19" t="s">
        <v>1117</v>
      </c>
      <c r="F32" s="38">
        <f>+J21</f>
        <v>5994503562</v>
      </c>
      <c r="G32" s="19"/>
      <c r="H32" s="39">
        <f>+F32/$F$34</f>
        <v>0.53457252913177689</v>
      </c>
      <c r="I32" s="19"/>
      <c r="J32" s="34">
        <v>0.12379999999999999</v>
      </c>
      <c r="L32" s="40">
        <f>+H32*J32</f>
        <v>6.6180079106513981E-2</v>
      </c>
    </row>
    <row r="33" spans="1:12">
      <c r="A33" s="8">
        <f t="shared" si="0"/>
        <v>24</v>
      </c>
      <c r="B33" s="19"/>
      <c r="C33" s="19"/>
      <c r="D33" s="19"/>
      <c r="F33" s="19"/>
      <c r="G33" s="19"/>
      <c r="H33" s="19"/>
      <c r="I33" s="19"/>
      <c r="J33" s="19"/>
      <c r="L33" s="35"/>
    </row>
    <row r="34" spans="1:12" ht="12.75" thickBot="1">
      <c r="A34" s="8">
        <f t="shared" si="0"/>
        <v>25</v>
      </c>
      <c r="B34" s="19"/>
      <c r="C34" s="19"/>
      <c r="D34" s="19" t="s">
        <v>1118</v>
      </c>
      <c r="F34" s="29">
        <f>SUM(F28:F32)</f>
        <v>11213639376</v>
      </c>
      <c r="G34" s="19"/>
      <c r="H34" s="33">
        <f>+F34/$F$34</f>
        <v>1</v>
      </c>
      <c r="I34" s="19"/>
      <c r="J34" s="19"/>
      <c r="L34" s="41">
        <f>SUM(L28:L32)</f>
        <v>8.9570222859608403E-2</v>
      </c>
    </row>
    <row r="35" spans="1:12" ht="12.75" thickTop="1">
      <c r="B35" s="19"/>
      <c r="C35" s="19"/>
      <c r="D35" s="19"/>
      <c r="F35" s="19"/>
      <c r="G35" s="19"/>
      <c r="H35" s="19"/>
      <c r="I35" s="19"/>
      <c r="J35" s="19"/>
    </row>
    <row r="36" spans="1:12">
      <c r="B36" s="19"/>
      <c r="C36" s="19"/>
      <c r="D36" s="19"/>
      <c r="F36" s="19"/>
      <c r="G36" s="19"/>
      <c r="H36" s="19"/>
      <c r="I36" s="19"/>
      <c r="J36" s="19"/>
    </row>
    <row r="37" spans="1:12">
      <c r="B37" s="19"/>
      <c r="C37" s="19"/>
      <c r="D37" s="19"/>
      <c r="F37" s="19"/>
      <c r="G37" s="19"/>
      <c r="H37" s="19"/>
      <c r="I37" s="19"/>
      <c r="J37" s="19"/>
    </row>
    <row r="38" spans="1:12">
      <c r="B38" s="19"/>
      <c r="C38" s="19"/>
      <c r="D38" s="19"/>
      <c r="F38" s="19"/>
      <c r="G38" s="19"/>
      <c r="H38" s="19"/>
      <c r="I38" s="19"/>
      <c r="J38" s="19"/>
    </row>
    <row r="39" spans="1:12">
      <c r="F39" s="19"/>
      <c r="G39" s="19"/>
      <c r="H39" s="19"/>
      <c r="I39" s="19"/>
      <c r="J39" s="19"/>
    </row>
  </sheetData>
  <phoneticPr fontId="15" type="noConversion"/>
  <pageMargins left="0.5" right="0.25" top="0.5" bottom="0.25" header="0.75" footer="0.5"/>
  <pageSetup scale="76" orientation="portrait" horizontalDpi="1200" verticalDpi="1200" r:id="rId1"/>
  <headerFooter alignWithMargins="0">
    <oddFooter>&amp;CPage  &amp;P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L39"/>
  <sheetViews>
    <sheetView showGridLines="0" workbookViewId="0">
      <selection activeCell="F26" sqref="F26"/>
    </sheetView>
  </sheetViews>
  <sheetFormatPr defaultColWidth="8" defaultRowHeight="12.75"/>
  <cols>
    <col min="1" max="1" width="4" style="254" customWidth="1"/>
    <col min="2" max="2" width="2.33203125" style="250" customWidth="1"/>
    <col min="3" max="3" width="3.21875" style="250" customWidth="1"/>
    <col min="4" max="4" width="36.44140625" style="250" bestFit="1" customWidth="1"/>
    <col min="5" max="5" width="0.88671875" style="250" customWidth="1"/>
    <col min="6" max="6" width="11.77734375" style="250" customWidth="1"/>
    <col min="7" max="7" width="0.88671875" style="250" customWidth="1"/>
    <col min="8" max="8" width="10.44140625" style="251" customWidth="1"/>
    <col min="9" max="9" width="0.88671875" style="250" customWidth="1"/>
    <col min="10" max="10" width="10.44140625" style="250" bestFit="1" customWidth="1"/>
    <col min="11" max="16384" width="8" style="250"/>
  </cols>
  <sheetData>
    <row r="1" spans="1:12" s="2" customFormat="1" ht="12">
      <c r="A1" s="1" t="s">
        <v>1030</v>
      </c>
      <c r="H1" s="3"/>
      <c r="J1" s="48" t="str">
        <f>'Cover Rev 2'!C1</f>
        <v>2015 Workpapers</v>
      </c>
    </row>
    <row r="2" spans="1:12" s="2" customFormat="1" ht="12">
      <c r="A2" s="5" t="s">
        <v>184</v>
      </c>
      <c r="H2" s="3"/>
      <c r="J2" s="4"/>
    </row>
    <row r="3" spans="1:12">
      <c r="A3" s="6" t="s">
        <v>337</v>
      </c>
      <c r="J3" s="253"/>
    </row>
    <row r="4" spans="1:12">
      <c r="A4" s="971" t="s">
        <v>232</v>
      </c>
      <c r="H4" s="373"/>
      <c r="I4" s="375"/>
      <c r="J4" s="375"/>
    </row>
    <row r="5" spans="1:12">
      <c r="D5" s="255"/>
      <c r="E5" s="255"/>
      <c r="G5" s="372"/>
      <c r="H5" s="373"/>
      <c r="I5" s="375"/>
      <c r="J5" s="375"/>
      <c r="K5" s="372"/>
      <c r="L5" s="372"/>
    </row>
    <row r="6" spans="1:12">
      <c r="D6" s="255"/>
      <c r="E6" s="255"/>
      <c r="G6" s="372"/>
      <c r="H6" s="373"/>
      <c r="I6" s="375"/>
      <c r="J6" s="376"/>
      <c r="K6" s="372"/>
      <c r="L6" s="372"/>
    </row>
    <row r="7" spans="1:12">
      <c r="A7" s="209" t="s">
        <v>46</v>
      </c>
      <c r="F7" s="256"/>
      <c r="G7" s="376"/>
      <c r="H7" s="376"/>
      <c r="I7" s="376"/>
      <c r="J7" s="376" t="s">
        <v>23</v>
      </c>
      <c r="K7" s="372"/>
      <c r="L7" s="372"/>
    </row>
    <row r="8" spans="1:12">
      <c r="A8" s="258" t="s">
        <v>22</v>
      </c>
      <c r="C8" s="259"/>
      <c r="D8" s="258" t="s">
        <v>33</v>
      </c>
      <c r="E8" s="257"/>
      <c r="F8" s="260" t="s">
        <v>1051</v>
      </c>
      <c r="G8" s="376"/>
      <c r="H8" s="260" t="s">
        <v>1052</v>
      </c>
      <c r="I8" s="376"/>
      <c r="J8" s="260" t="s">
        <v>1053</v>
      </c>
      <c r="K8" s="372"/>
      <c r="L8" s="372"/>
    </row>
    <row r="9" spans="1:12">
      <c r="F9" s="262"/>
      <c r="G9" s="372"/>
      <c r="H9" s="373"/>
      <c r="I9" s="375"/>
      <c r="J9" s="373"/>
      <c r="K9" s="372"/>
      <c r="L9" s="372"/>
    </row>
    <row r="10" spans="1:12">
      <c r="A10" s="254">
        <v>1</v>
      </c>
      <c r="B10" s="263" t="s">
        <v>169</v>
      </c>
      <c r="C10" s="264"/>
      <c r="D10" s="264"/>
      <c r="F10" s="265"/>
      <c r="G10" s="372"/>
      <c r="H10" s="265"/>
      <c r="I10" s="375"/>
      <c r="J10" s="265"/>
      <c r="K10" s="372"/>
      <c r="L10" s="372"/>
    </row>
    <row r="11" spans="1:12">
      <c r="A11" s="254">
        <f t="shared" ref="A11:A25" si="0">+A10+1</f>
        <v>2</v>
      </c>
      <c r="C11" s="250" t="s">
        <v>170</v>
      </c>
      <c r="D11" s="250" t="s">
        <v>171</v>
      </c>
      <c r="F11" s="343">
        <v>0</v>
      </c>
      <c r="G11" s="378"/>
      <c r="H11" s="400">
        <v>0</v>
      </c>
      <c r="I11" s="374"/>
      <c r="J11" s="343">
        <f>SUM(F11:H11)</f>
        <v>0</v>
      </c>
      <c r="K11" s="372"/>
      <c r="L11" s="372"/>
    </row>
    <row r="12" spans="1:12">
      <c r="A12" s="254">
        <f t="shared" si="0"/>
        <v>3</v>
      </c>
      <c r="C12" s="267" t="s">
        <v>172</v>
      </c>
      <c r="D12" s="250" t="s">
        <v>173</v>
      </c>
      <c r="F12" s="346">
        <v>0</v>
      </c>
      <c r="G12" s="378"/>
      <c r="H12" s="401">
        <v>0</v>
      </c>
      <c r="I12" s="374"/>
      <c r="J12" s="346">
        <f>SUM(F12:H12)</f>
        <v>0</v>
      </c>
      <c r="K12" s="372"/>
      <c r="L12" s="372"/>
    </row>
    <row r="13" spans="1:12">
      <c r="A13" s="254">
        <f t="shared" si="0"/>
        <v>4</v>
      </c>
      <c r="C13" s="267"/>
      <c r="F13" s="268"/>
      <c r="G13" s="378"/>
      <c r="H13" s="402"/>
      <c r="I13" s="374"/>
      <c r="J13" s="268"/>
      <c r="K13" s="372"/>
      <c r="L13" s="372"/>
    </row>
    <row r="14" spans="1:12">
      <c r="A14" s="254">
        <f t="shared" si="0"/>
        <v>5</v>
      </c>
      <c r="C14" s="254"/>
      <c r="D14" s="250" t="s">
        <v>174</v>
      </c>
      <c r="F14" s="269">
        <f>SUM(F11:F12)</f>
        <v>0</v>
      </c>
      <c r="G14" s="378"/>
      <c r="H14" s="403">
        <f>SUM(H11:H12)</f>
        <v>0</v>
      </c>
      <c r="I14" s="374"/>
      <c r="J14" s="269">
        <f>SUM(J11:J12)</f>
        <v>0</v>
      </c>
      <c r="K14" s="372"/>
      <c r="L14" s="372"/>
    </row>
    <row r="15" spans="1:12">
      <c r="A15" s="254">
        <f t="shared" si="0"/>
        <v>6</v>
      </c>
      <c r="C15" s="254"/>
      <c r="F15" s="269"/>
      <c r="G15" s="378"/>
      <c r="H15" s="403"/>
      <c r="I15" s="374"/>
      <c r="J15" s="269"/>
      <c r="K15" s="372"/>
      <c r="L15" s="372"/>
    </row>
    <row r="16" spans="1:12">
      <c r="A16" s="254">
        <f t="shared" si="0"/>
        <v>7</v>
      </c>
      <c r="D16" s="254"/>
      <c r="E16" s="254"/>
      <c r="F16" s="270"/>
      <c r="G16" s="378"/>
      <c r="H16" s="404"/>
      <c r="I16" s="374"/>
      <c r="J16" s="270"/>
      <c r="K16" s="372"/>
      <c r="L16" s="372"/>
    </row>
    <row r="17" spans="1:12">
      <c r="A17" s="254">
        <f t="shared" si="0"/>
        <v>8</v>
      </c>
      <c r="B17" s="263" t="s">
        <v>175</v>
      </c>
      <c r="C17" s="271"/>
      <c r="D17" s="263"/>
      <c r="F17" s="270"/>
      <c r="G17" s="378"/>
      <c r="H17" s="404"/>
      <c r="I17" s="374"/>
      <c r="J17" s="270"/>
      <c r="K17" s="372"/>
      <c r="L17" s="372"/>
    </row>
    <row r="18" spans="1:12">
      <c r="A18" s="254">
        <f t="shared" si="0"/>
        <v>9</v>
      </c>
      <c r="C18" s="254"/>
      <c r="D18" s="250" t="s">
        <v>176</v>
      </c>
      <c r="F18" s="343">
        <v>168864</v>
      </c>
      <c r="G18" s="379"/>
      <c r="H18" s="400">
        <v>0</v>
      </c>
      <c r="I18" s="377"/>
      <c r="J18" s="343">
        <f>SUM(F18:H18)</f>
        <v>168864</v>
      </c>
      <c r="K18" s="372"/>
      <c r="L18" s="372"/>
    </row>
    <row r="19" spans="1:12">
      <c r="A19" s="254">
        <f t="shared" si="0"/>
        <v>10</v>
      </c>
      <c r="B19" s="204"/>
      <c r="C19" s="204"/>
      <c r="D19" s="204"/>
      <c r="E19" s="204"/>
      <c r="F19" s="204"/>
      <c r="G19" s="203"/>
      <c r="H19" s="203"/>
      <c r="I19" s="215"/>
      <c r="J19" s="204"/>
      <c r="K19" s="372"/>
      <c r="L19" s="372"/>
    </row>
    <row r="20" spans="1:12">
      <c r="A20" s="254">
        <f t="shared" si="0"/>
        <v>11</v>
      </c>
      <c r="B20" s="204"/>
      <c r="C20" s="204"/>
      <c r="D20" s="204"/>
      <c r="E20" s="204"/>
      <c r="F20" s="204"/>
      <c r="G20" s="203"/>
      <c r="H20" s="203"/>
      <c r="I20" s="215"/>
      <c r="J20" s="204"/>
      <c r="K20" s="372"/>
      <c r="L20" s="372"/>
    </row>
    <row r="21" spans="1:12">
      <c r="A21" s="254">
        <f t="shared" si="0"/>
        <v>12</v>
      </c>
      <c r="B21" s="263" t="s">
        <v>177</v>
      </c>
      <c r="C21" s="271"/>
      <c r="D21" s="263"/>
      <c r="E21" s="204"/>
      <c r="F21" s="204"/>
      <c r="G21" s="203"/>
      <c r="H21" s="203"/>
      <c r="I21" s="215"/>
      <c r="J21" s="204"/>
      <c r="K21" s="372"/>
      <c r="L21" s="372"/>
    </row>
    <row r="22" spans="1:12">
      <c r="A22" s="254">
        <f t="shared" si="0"/>
        <v>13</v>
      </c>
      <c r="C22" s="254" t="s">
        <v>170</v>
      </c>
      <c r="D22" s="250" t="s">
        <v>178</v>
      </c>
      <c r="E22" s="204"/>
      <c r="F22" s="343">
        <f>'Revenue Cr MISO Review Rev 2 '!E40</f>
        <v>220488128.81302121</v>
      </c>
      <c r="G22" s="378"/>
      <c r="H22" s="400">
        <v>0</v>
      </c>
      <c r="I22" s="374"/>
      <c r="J22" s="343">
        <f>SUM(F22:H22)</f>
        <v>220488128.81302121</v>
      </c>
      <c r="K22" s="372"/>
      <c r="L22" s="372"/>
    </row>
    <row r="23" spans="1:12">
      <c r="A23" s="254">
        <f t="shared" si="0"/>
        <v>14</v>
      </c>
      <c r="B23" s="204"/>
      <c r="C23" s="204" t="s">
        <v>172</v>
      </c>
      <c r="D23" s="204" t="s">
        <v>179</v>
      </c>
      <c r="E23" s="204"/>
      <c r="F23" s="344">
        <f>'Revenue Cr MISO Review Rev 2 '!E41</f>
        <v>74139004.624245763</v>
      </c>
      <c r="G23" s="380"/>
      <c r="H23" s="405">
        <v>0</v>
      </c>
      <c r="I23" s="374"/>
      <c r="J23" s="344">
        <f>SUM(F23:H23)</f>
        <v>74139004.624245763</v>
      </c>
      <c r="K23" s="372"/>
      <c r="L23" s="372"/>
    </row>
    <row r="24" spans="1:12">
      <c r="A24" s="254">
        <f t="shared" si="0"/>
        <v>15</v>
      </c>
      <c r="B24" s="204"/>
      <c r="D24" s="204" t="s">
        <v>187</v>
      </c>
      <c r="E24" s="204"/>
      <c r="F24" s="345"/>
      <c r="G24" s="378"/>
      <c r="H24" s="319"/>
      <c r="I24" s="374"/>
      <c r="J24" s="345"/>
      <c r="K24" s="372"/>
      <c r="L24" s="372"/>
    </row>
    <row r="25" spans="1:12">
      <c r="A25" s="254">
        <f t="shared" si="0"/>
        <v>16</v>
      </c>
      <c r="B25" s="204"/>
      <c r="C25" s="204" t="s">
        <v>180</v>
      </c>
      <c r="D25" s="204" t="s">
        <v>181</v>
      </c>
      <c r="E25" s="204"/>
      <c r="F25" s="344">
        <f>'Revenue Cr MISO Review Rev 2 '!E42</f>
        <v>69555635.542111367</v>
      </c>
      <c r="G25" s="380"/>
      <c r="H25" s="405">
        <v>0</v>
      </c>
      <c r="I25" s="374"/>
      <c r="J25" s="344">
        <f>SUM(F25:H25)</f>
        <v>69555635.542111367</v>
      </c>
      <c r="K25" s="375"/>
      <c r="L25" s="372"/>
    </row>
    <row r="26" spans="1:12">
      <c r="A26" s="254">
        <f>+A25+1</f>
        <v>17</v>
      </c>
      <c r="B26" s="204"/>
      <c r="C26" s="204" t="s">
        <v>180</v>
      </c>
      <c r="D26" s="204" t="s">
        <v>181</v>
      </c>
      <c r="E26" s="204"/>
      <c r="F26" s="344">
        <f>'Revenue Cr MISO Review Rev 2 '!E43</f>
        <v>58586292.12649063</v>
      </c>
      <c r="G26" s="380"/>
      <c r="H26" s="405">
        <v>0</v>
      </c>
      <c r="I26" s="374"/>
      <c r="J26" s="344">
        <f>SUM(F26:H26)</f>
        <v>58586292.12649063</v>
      </c>
      <c r="K26" s="375"/>
      <c r="L26" s="372"/>
    </row>
    <row r="27" spans="1:12">
      <c r="A27" s="254">
        <f>+A25+1</f>
        <v>17</v>
      </c>
      <c r="B27" s="204"/>
      <c r="C27" s="204"/>
      <c r="D27" s="204" t="s">
        <v>182</v>
      </c>
      <c r="E27" s="204"/>
      <c r="F27" s="370">
        <f>F22-F23-F25-F26</f>
        <v>18207196.520173453</v>
      </c>
      <c r="G27" s="374"/>
      <c r="H27" s="370">
        <f>H22-H23-H25-H26</f>
        <v>0</v>
      </c>
      <c r="I27" s="374"/>
      <c r="J27" s="370">
        <f>J22-J23-J25-J26</f>
        <v>18207196.520173453</v>
      </c>
      <c r="K27" s="375"/>
      <c r="L27" s="372"/>
    </row>
    <row r="28" spans="1:12">
      <c r="B28" s="204"/>
      <c r="C28" s="204"/>
      <c r="E28" s="204"/>
      <c r="F28" s="204"/>
      <c r="G28" s="204"/>
      <c r="H28" s="215"/>
      <c r="I28" s="215"/>
      <c r="J28" s="215"/>
      <c r="K28" s="372"/>
      <c r="L28" s="372"/>
    </row>
    <row r="29" spans="1:12">
      <c r="A29" s="254">
        <v>18</v>
      </c>
      <c r="B29" s="263" t="s">
        <v>236</v>
      </c>
      <c r="C29" s="263"/>
      <c r="D29" s="263"/>
      <c r="G29" s="204"/>
      <c r="H29" s="215"/>
      <c r="I29" s="215"/>
      <c r="J29" s="215"/>
      <c r="K29" s="372"/>
      <c r="L29" s="372"/>
    </row>
    <row r="30" spans="1:12" ht="13.5" thickBot="1">
      <c r="A30" s="254">
        <v>19</v>
      </c>
      <c r="D30" s="250" t="s">
        <v>259</v>
      </c>
      <c r="F30" s="320">
        <f>'Attachment GG Rev 2'!$L$94</f>
        <v>76180656.149380967</v>
      </c>
      <c r="G30" s="372"/>
      <c r="H30" s="371"/>
      <c r="I30" s="372"/>
      <c r="J30" s="372"/>
      <c r="K30" s="372"/>
      <c r="L30" s="372"/>
    </row>
    <row r="31" spans="1:12" ht="13.5" thickTop="1">
      <c r="E31" s="254"/>
      <c r="G31" s="372"/>
      <c r="H31" s="371"/>
      <c r="I31" s="372"/>
      <c r="J31" s="372"/>
      <c r="K31" s="372"/>
      <c r="L31" s="372"/>
    </row>
    <row r="32" spans="1:12">
      <c r="A32" s="254">
        <v>20</v>
      </c>
      <c r="B32" s="263" t="s">
        <v>237</v>
      </c>
      <c r="C32" s="263"/>
      <c r="D32" s="263"/>
      <c r="G32" s="372"/>
      <c r="H32" s="371"/>
      <c r="I32" s="372"/>
      <c r="J32" s="372"/>
      <c r="K32" s="372"/>
      <c r="L32" s="372"/>
    </row>
    <row r="33" spans="1:12" ht="13.5" thickBot="1">
      <c r="A33" s="254">
        <v>21</v>
      </c>
      <c r="D33" s="250" t="s">
        <v>260</v>
      </c>
      <c r="F33" s="320">
        <f>'Attachment MM Rev 2'!$P$92</f>
        <v>59794383.016451836</v>
      </c>
      <c r="G33" s="372"/>
      <c r="H33" s="371"/>
      <c r="I33" s="372"/>
      <c r="J33" s="372"/>
      <c r="K33" s="372"/>
      <c r="L33" s="372"/>
    </row>
    <row r="34" spans="1:12" ht="13.5" thickTop="1">
      <c r="G34" s="372"/>
      <c r="H34" s="371"/>
      <c r="I34" s="372"/>
      <c r="J34" s="372"/>
      <c r="K34" s="372"/>
      <c r="L34" s="372"/>
    </row>
    <row r="35" spans="1:12">
      <c r="G35" s="372"/>
      <c r="H35" s="371"/>
      <c r="I35" s="372"/>
      <c r="J35" s="372"/>
      <c r="K35" s="372"/>
      <c r="L35" s="372"/>
    </row>
    <row r="36" spans="1:12">
      <c r="F36" s="321"/>
      <c r="G36" s="372"/>
      <c r="H36" s="371"/>
      <c r="I36" s="372"/>
      <c r="J36" s="372"/>
      <c r="K36" s="372"/>
      <c r="L36" s="372"/>
    </row>
    <row r="37" spans="1:12">
      <c r="G37" s="372"/>
      <c r="H37" s="371"/>
      <c r="I37" s="372"/>
      <c r="J37" s="372"/>
      <c r="K37" s="372"/>
      <c r="L37" s="372"/>
    </row>
    <row r="38" spans="1:12" ht="15">
      <c r="B38" s="274" t="s">
        <v>183</v>
      </c>
      <c r="C38" s="275" t="s">
        <v>186</v>
      </c>
      <c r="G38" s="372"/>
      <c r="H38" s="371"/>
      <c r="I38" s="372"/>
      <c r="J38" s="372"/>
      <c r="K38" s="372"/>
      <c r="L38" s="372"/>
    </row>
    <row r="39" spans="1:12" ht="15">
      <c r="B39" s="276"/>
      <c r="C39" s="275" t="s">
        <v>185</v>
      </c>
    </row>
  </sheetData>
  <phoneticPr fontId="13" type="noConversion"/>
  <pageMargins left="0.5" right="0.25" top="0.5" bottom="0.25" header="0.75" footer="0.5"/>
  <pageSetup scale="92" orientation="portrait" horizontalDpi="1200" verticalDpi="1200" r:id="rId1"/>
  <headerFooter alignWithMargins="0">
    <oddFooter>&amp;CPage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89"/>
    <pageSetUpPr fitToPage="1"/>
  </sheetPr>
  <dimension ref="A1:I35"/>
  <sheetViews>
    <sheetView showGridLines="0" workbookViewId="0">
      <selection activeCell="H30" sqref="H30"/>
    </sheetView>
  </sheetViews>
  <sheetFormatPr defaultRowHeight="12.75"/>
  <cols>
    <col min="1" max="1" width="4.5546875" style="203" customWidth="1"/>
    <col min="2" max="2" width="44.6640625" style="203" customWidth="1"/>
    <col min="3" max="3" width="1.33203125" style="203" customWidth="1"/>
    <col min="4" max="4" width="12.88671875" style="203" bestFit="1" customWidth="1"/>
    <col min="5" max="5" width="1.88671875" style="203" customWidth="1"/>
    <col min="6" max="6" width="11.77734375" style="203" bestFit="1" customWidth="1"/>
    <col min="7" max="7" width="1.88671875" style="203" customWidth="1"/>
    <col min="8" max="8" width="11.33203125" style="203" bestFit="1" customWidth="1"/>
    <col min="9" max="9" width="3.44140625" style="481" customWidth="1"/>
    <col min="10" max="16384" width="8.88671875" style="203"/>
  </cols>
  <sheetData>
    <row r="1" spans="1:9">
      <c r="A1" s="207" t="s">
        <v>1030</v>
      </c>
      <c r="I1" s="48" t="str">
        <f>'Cover Rev 2'!C1</f>
        <v>2015 Workpapers</v>
      </c>
    </row>
    <row r="2" spans="1:9">
      <c r="A2" s="462" t="s">
        <v>144</v>
      </c>
      <c r="I2" s="479"/>
    </row>
    <row r="3" spans="1:9">
      <c r="A3" s="463" t="s">
        <v>337</v>
      </c>
      <c r="I3" s="479"/>
    </row>
    <row r="4" spans="1:9">
      <c r="A4" s="484" t="s">
        <v>232</v>
      </c>
      <c r="I4" s="480"/>
    </row>
    <row r="5" spans="1:9">
      <c r="A5" s="209" t="s">
        <v>46</v>
      </c>
      <c r="D5" s="464" t="s">
        <v>355</v>
      </c>
      <c r="E5" s="464"/>
      <c r="F5" s="464" t="s">
        <v>356</v>
      </c>
    </row>
    <row r="6" spans="1:9">
      <c r="A6" s="258" t="s">
        <v>22</v>
      </c>
    </row>
    <row r="7" spans="1:9">
      <c r="A7" s="254"/>
    </row>
    <row r="8" spans="1:9" ht="13.5" thickBot="1">
      <c r="A8" s="254">
        <v>1</v>
      </c>
      <c r="B8" s="465" t="s">
        <v>124</v>
      </c>
      <c r="C8" s="466"/>
      <c r="D8" s="458">
        <v>308119864.20179546</v>
      </c>
      <c r="E8" s="465"/>
      <c r="F8" s="458">
        <v>322943371</v>
      </c>
      <c r="G8" s="465"/>
      <c r="H8" s="458">
        <f>D8-F8</f>
        <v>-14823506.798204541</v>
      </c>
      <c r="I8" s="481" t="s">
        <v>366</v>
      </c>
    </row>
    <row r="9" spans="1:9" ht="13.5" thickTop="1">
      <c r="A9" s="254">
        <f t="shared" ref="A9:A29" si="0">+A8+1</f>
        <v>2</v>
      </c>
    </row>
    <row r="10" spans="1:9">
      <c r="A10" s="254">
        <f t="shared" si="0"/>
        <v>3</v>
      </c>
      <c r="B10" s="465" t="s">
        <v>125</v>
      </c>
      <c r="C10" s="465"/>
      <c r="D10" s="459">
        <v>6901000</v>
      </c>
      <c r="E10" s="460"/>
      <c r="F10" s="459">
        <v>6758667</v>
      </c>
      <c r="G10" s="465"/>
      <c r="H10" s="467">
        <f>D10-F10</f>
        <v>142333</v>
      </c>
      <c r="I10" s="203"/>
    </row>
    <row r="11" spans="1:9">
      <c r="A11" s="254">
        <f t="shared" si="0"/>
        <v>4</v>
      </c>
      <c r="B11" s="468" t="s">
        <v>126</v>
      </c>
      <c r="C11" s="465"/>
      <c r="D11" s="459">
        <v>471750</v>
      </c>
      <c r="E11" s="460"/>
      <c r="F11" s="459">
        <v>442500</v>
      </c>
      <c r="G11" s="465"/>
      <c r="H11" s="467">
        <f>D11-F11</f>
        <v>29250</v>
      </c>
    </row>
    <row r="12" spans="1:9">
      <c r="A12" s="254">
        <f t="shared" si="0"/>
        <v>5</v>
      </c>
      <c r="B12" s="468" t="s">
        <v>127</v>
      </c>
      <c r="C12" s="465"/>
      <c r="D12" s="461">
        <v>0</v>
      </c>
      <c r="E12" s="460"/>
      <c r="F12" s="461">
        <v>0</v>
      </c>
      <c r="G12" s="465"/>
      <c r="H12" s="467">
        <f>D12-F12</f>
        <v>0</v>
      </c>
    </row>
    <row r="13" spans="1:9">
      <c r="A13" s="254">
        <f t="shared" si="0"/>
        <v>6</v>
      </c>
      <c r="B13" s="465" t="s">
        <v>128</v>
      </c>
      <c r="C13" s="465"/>
      <c r="D13" s="469">
        <f>SUM(D10:D12)</f>
        <v>7372750</v>
      </c>
      <c r="E13" s="465"/>
      <c r="F13" s="469">
        <f>SUM(F10:F12)</f>
        <v>7201167</v>
      </c>
      <c r="G13" s="465"/>
      <c r="H13" s="470">
        <f>D13-F13</f>
        <v>171583</v>
      </c>
    </row>
    <row r="14" spans="1:9">
      <c r="A14" s="254">
        <f t="shared" si="0"/>
        <v>7</v>
      </c>
    </row>
    <row r="15" spans="1:9">
      <c r="A15" s="254">
        <f t="shared" si="0"/>
        <v>8</v>
      </c>
      <c r="B15" s="465" t="s">
        <v>129</v>
      </c>
      <c r="C15" s="465"/>
      <c r="D15" s="471">
        <f>ROUND(D8/D13,8)</f>
        <v>41.791714650000003</v>
      </c>
      <c r="F15" s="471">
        <f>ROUND(F8/F13,8)</f>
        <v>44.845977189999999</v>
      </c>
      <c r="H15" s="472">
        <f>D15-F15</f>
        <v>-3.0542625399999963</v>
      </c>
    </row>
    <row r="16" spans="1:9">
      <c r="A16" s="254">
        <f t="shared" si="0"/>
        <v>9</v>
      </c>
      <c r="B16" s="465"/>
      <c r="C16" s="465"/>
      <c r="E16" s="465"/>
      <c r="F16" s="473"/>
      <c r="G16" s="465"/>
    </row>
    <row r="17" spans="1:9">
      <c r="A17" s="254">
        <f t="shared" si="0"/>
        <v>10</v>
      </c>
    </row>
    <row r="18" spans="1:9">
      <c r="A18" s="254">
        <f t="shared" si="0"/>
        <v>11</v>
      </c>
      <c r="B18" s="465" t="s">
        <v>130</v>
      </c>
      <c r="H18" s="466">
        <f>D13</f>
        <v>7372750</v>
      </c>
    </row>
    <row r="19" spans="1:9">
      <c r="A19" s="254">
        <f t="shared" si="0"/>
        <v>12</v>
      </c>
      <c r="B19" s="465" t="s">
        <v>131</v>
      </c>
      <c r="H19" s="474">
        <f>F13</f>
        <v>7201167</v>
      </c>
    </row>
    <row r="20" spans="1:9">
      <c r="A20" s="254">
        <f t="shared" si="0"/>
        <v>13</v>
      </c>
      <c r="B20" s="465" t="s">
        <v>132</v>
      </c>
      <c r="H20" s="470">
        <f>H18-H19</f>
        <v>171583</v>
      </c>
    </row>
    <row r="21" spans="1:9">
      <c r="A21" s="254">
        <f t="shared" si="0"/>
        <v>14</v>
      </c>
    </row>
    <row r="22" spans="1:9">
      <c r="A22" s="254">
        <f t="shared" si="0"/>
        <v>15</v>
      </c>
      <c r="B22" s="203" t="s">
        <v>133</v>
      </c>
      <c r="H22" s="475">
        <f>F15</f>
        <v>44.845977189999999</v>
      </c>
    </row>
    <row r="23" spans="1:9">
      <c r="A23" s="254">
        <f t="shared" si="0"/>
        <v>16</v>
      </c>
    </row>
    <row r="24" spans="1:9" ht="13.5" thickBot="1">
      <c r="A24" s="254">
        <f t="shared" si="0"/>
        <v>17</v>
      </c>
      <c r="B24" s="465" t="s">
        <v>134</v>
      </c>
      <c r="H24" s="476">
        <f>H20*H22</f>
        <v>7694807.30419177</v>
      </c>
      <c r="I24" s="481" t="s">
        <v>367</v>
      </c>
    </row>
    <row r="25" spans="1:9" ht="13.5" thickTop="1">
      <c r="A25" s="254">
        <f t="shared" si="0"/>
        <v>18</v>
      </c>
    </row>
    <row r="26" spans="1:9">
      <c r="A26" s="254">
        <f t="shared" si="0"/>
        <v>19</v>
      </c>
      <c r="B26" s="203" t="s">
        <v>139</v>
      </c>
      <c r="H26" s="477">
        <f>ROUND(H8-H24,0)</f>
        <v>-22518314</v>
      </c>
      <c r="I26" s="481" t="s">
        <v>368</v>
      </c>
    </row>
    <row r="27" spans="1:9">
      <c r="A27" s="254">
        <f t="shared" si="0"/>
        <v>20</v>
      </c>
      <c r="I27" s="203"/>
    </row>
    <row r="28" spans="1:9">
      <c r="A28" s="254">
        <f t="shared" si="0"/>
        <v>21</v>
      </c>
      <c r="F28" s="478" t="s">
        <v>136</v>
      </c>
      <c r="H28" s="477">
        <f>ROUND(H15*D13,0)</f>
        <v>-22518314</v>
      </c>
      <c r="I28" s="203"/>
    </row>
    <row r="29" spans="1:9">
      <c r="A29" s="254">
        <f t="shared" si="0"/>
        <v>22</v>
      </c>
      <c r="F29" s="478"/>
    </row>
    <row r="30" spans="1:9">
      <c r="A30" s="254">
        <v>23</v>
      </c>
      <c r="F30" s="478" t="s">
        <v>137</v>
      </c>
      <c r="H30" s="477">
        <f>H26-H28</f>
        <v>0</v>
      </c>
    </row>
    <row r="31" spans="1:9">
      <c r="A31" s="254"/>
    </row>
    <row r="32" spans="1:9">
      <c r="A32" s="254"/>
    </row>
    <row r="33" spans="1:2">
      <c r="A33" s="254"/>
    </row>
    <row r="35" spans="1:2">
      <c r="B35" s="203" t="s">
        <v>138</v>
      </c>
    </row>
  </sheetData>
  <phoneticPr fontId="13" type="noConversion"/>
  <pageMargins left="0.5" right="0.25" top="0.5" bottom="0.25" header="0.75" footer="0.5"/>
  <pageSetup scale="88" orientation="portrait" horizontalDpi="1200" verticalDpi="1200" r:id="rId1"/>
  <headerFooter alignWithMargins="0">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89"/>
    <pageSetUpPr fitToPage="1"/>
  </sheetPr>
  <dimension ref="A1:F53"/>
  <sheetViews>
    <sheetView showGridLines="0" workbookViewId="0">
      <selection activeCell="F40" sqref="F40"/>
    </sheetView>
  </sheetViews>
  <sheetFormatPr defaultRowHeight="12"/>
  <cols>
    <col min="1" max="1" width="4.88671875" style="19" customWidth="1"/>
    <col min="2" max="2" width="42.88671875" style="19" customWidth="1"/>
    <col min="3" max="3" width="14" style="19" bestFit="1" customWidth="1"/>
    <col min="4" max="4" width="11.77734375" style="19" bestFit="1" customWidth="1"/>
    <col min="5" max="16384" width="8.88671875" style="19"/>
  </cols>
  <sheetData>
    <row r="1" spans="1:6">
      <c r="A1" s="1" t="s">
        <v>1030</v>
      </c>
      <c r="F1" s="48" t="str">
        <f>'Cover Rev 2'!C1</f>
        <v>2015 Workpapers</v>
      </c>
    </row>
    <row r="2" spans="1:6">
      <c r="A2" s="146" t="s">
        <v>145</v>
      </c>
    </row>
    <row r="3" spans="1:6">
      <c r="A3" s="6" t="s">
        <v>337</v>
      </c>
    </row>
    <row r="4" spans="1:6">
      <c r="A4" s="485" t="s">
        <v>232</v>
      </c>
    </row>
    <row r="5" spans="1:6">
      <c r="A5" s="5" t="s">
        <v>46</v>
      </c>
    </row>
    <row r="6" spans="1:6">
      <c r="A6" s="12" t="s">
        <v>22</v>
      </c>
    </row>
    <row r="7" spans="1:6">
      <c r="A7" s="8"/>
    </row>
    <row r="8" spans="1:6">
      <c r="A8" s="8">
        <v>1</v>
      </c>
      <c r="B8" s="192" t="s">
        <v>248</v>
      </c>
      <c r="C8" s="193">
        <f>'Prior Year True Up Rev 1'!H8</f>
        <v>-14823506.798204541</v>
      </c>
    </row>
    <row r="9" spans="1:6">
      <c r="A9" s="8">
        <f t="shared" ref="A9:A52" si="0">+A8+1</f>
        <v>2</v>
      </c>
      <c r="B9" s="192" t="s">
        <v>188</v>
      </c>
      <c r="C9" s="193">
        <f>-'Prior Year True Up Rev 1'!H24</f>
        <v>-7694807.30419177</v>
      </c>
    </row>
    <row r="10" spans="1:6">
      <c r="A10" s="8">
        <f t="shared" si="0"/>
        <v>3</v>
      </c>
      <c r="B10" s="145"/>
      <c r="C10" s="193"/>
    </row>
    <row r="11" spans="1:6">
      <c r="A11" s="8">
        <f t="shared" si="0"/>
        <v>4</v>
      </c>
      <c r="B11" s="145" t="s">
        <v>135</v>
      </c>
      <c r="C11" s="193">
        <f>SUM(C8:C10)</f>
        <v>-22518314.102396309</v>
      </c>
    </row>
    <row r="12" spans="1:6">
      <c r="A12" s="8">
        <f t="shared" si="0"/>
        <v>5</v>
      </c>
      <c r="B12" s="145"/>
      <c r="C12" s="193"/>
    </row>
    <row r="13" spans="1:6">
      <c r="A13" s="8">
        <f t="shared" si="0"/>
        <v>6</v>
      </c>
      <c r="B13" s="145" t="s">
        <v>258</v>
      </c>
      <c r="C13" s="335">
        <f>D52</f>
        <v>3.2500000000000001E-2</v>
      </c>
    </row>
    <row r="14" spans="1:6">
      <c r="A14" s="8">
        <f t="shared" si="0"/>
        <v>7</v>
      </c>
    </row>
    <row r="15" spans="1:6" ht="12.75" thickBot="1">
      <c r="A15" s="8">
        <f t="shared" si="0"/>
        <v>8</v>
      </c>
      <c r="B15" s="145" t="s">
        <v>361</v>
      </c>
      <c r="C15" s="328">
        <f>D28</f>
        <v>-1505997.4123126483</v>
      </c>
    </row>
    <row r="16" spans="1:6" ht="12.75" thickTop="1">
      <c r="A16" s="8">
        <f t="shared" si="0"/>
        <v>9</v>
      </c>
    </row>
    <row r="17" spans="1:4">
      <c r="A17" s="8">
        <f t="shared" si="0"/>
        <v>10</v>
      </c>
    </row>
    <row r="18" spans="1:4">
      <c r="A18" s="8">
        <f t="shared" si="0"/>
        <v>11</v>
      </c>
      <c r="B18" s="19" t="s">
        <v>140</v>
      </c>
    </row>
    <row r="19" spans="1:4">
      <c r="A19" s="8">
        <f t="shared" si="0"/>
        <v>12</v>
      </c>
      <c r="C19" s="195" t="s">
        <v>203</v>
      </c>
      <c r="D19" s="195" t="s">
        <v>141</v>
      </c>
    </row>
    <row r="20" spans="1:4">
      <c r="A20" s="8">
        <f t="shared" si="0"/>
        <v>13</v>
      </c>
      <c r="B20" s="19" t="s">
        <v>253</v>
      </c>
      <c r="C20" s="196">
        <f>C11</f>
        <v>-22518314.102396309</v>
      </c>
      <c r="D20" s="196">
        <f>C20*C13/4</f>
        <v>-182961.30208197003</v>
      </c>
    </row>
    <row r="21" spans="1:4">
      <c r="A21" s="8">
        <f t="shared" si="0"/>
        <v>14</v>
      </c>
      <c r="B21" s="19" t="s">
        <v>254</v>
      </c>
      <c r="C21" s="196">
        <f t="shared" ref="C21:C27" si="1">C20+D20</f>
        <v>-22701275.404478278</v>
      </c>
      <c r="D21" s="196">
        <f>C21*C13/4</f>
        <v>-184447.86266138603</v>
      </c>
    </row>
    <row r="22" spans="1:4">
      <c r="A22" s="8">
        <f t="shared" si="0"/>
        <v>15</v>
      </c>
      <c r="B22" s="19" t="s">
        <v>255</v>
      </c>
      <c r="C22" s="196">
        <f t="shared" si="1"/>
        <v>-22885723.267139666</v>
      </c>
      <c r="D22" s="196">
        <f>C22*C13/4</f>
        <v>-185946.50154550979</v>
      </c>
    </row>
    <row r="23" spans="1:4">
      <c r="A23" s="8">
        <f t="shared" si="0"/>
        <v>16</v>
      </c>
      <c r="B23" s="19" t="s">
        <v>256</v>
      </c>
      <c r="C23" s="196">
        <f t="shared" si="1"/>
        <v>-23071669.768685177</v>
      </c>
      <c r="D23" s="196">
        <f>C23*C13/4</f>
        <v>-187457.31687056707</v>
      </c>
    </row>
    <row r="24" spans="1:4">
      <c r="A24" s="8">
        <f t="shared" si="0"/>
        <v>17</v>
      </c>
      <c r="B24" s="19" t="s">
        <v>357</v>
      </c>
      <c r="C24" s="196">
        <f t="shared" si="1"/>
        <v>-23259127.085555743</v>
      </c>
      <c r="D24" s="196">
        <f>C24*C13/4</f>
        <v>-188980.40757014044</v>
      </c>
    </row>
    <row r="25" spans="1:4">
      <c r="A25" s="8">
        <f t="shared" si="0"/>
        <v>18</v>
      </c>
      <c r="B25" s="19" t="s">
        <v>358</v>
      </c>
      <c r="C25" s="196">
        <f t="shared" si="1"/>
        <v>-23448107.493125886</v>
      </c>
      <c r="D25" s="196">
        <f>C25*C13/4</f>
        <v>-190515.87338164783</v>
      </c>
    </row>
    <row r="26" spans="1:4">
      <c r="A26" s="8">
        <f t="shared" si="0"/>
        <v>19</v>
      </c>
      <c r="B26" s="19" t="s">
        <v>359</v>
      </c>
      <c r="C26" s="196">
        <f t="shared" si="1"/>
        <v>-23638623.366507534</v>
      </c>
      <c r="D26" s="196">
        <f>C26*C13/4</f>
        <v>-192063.81485287371</v>
      </c>
    </row>
    <row r="27" spans="1:4">
      <c r="A27" s="8">
        <f t="shared" si="0"/>
        <v>20</v>
      </c>
      <c r="B27" s="19" t="s">
        <v>360</v>
      </c>
      <c r="C27" s="196">
        <f t="shared" si="1"/>
        <v>-23830687.181360409</v>
      </c>
      <c r="D27" s="196">
        <f>C27*C13/4</f>
        <v>-193624.33334855334</v>
      </c>
    </row>
    <row r="28" spans="1:4">
      <c r="A28" s="8">
        <f t="shared" si="0"/>
        <v>21</v>
      </c>
      <c r="B28" s="19" t="s">
        <v>142</v>
      </c>
      <c r="C28" s="197"/>
      <c r="D28" s="198">
        <f>SUM(D20:D27)</f>
        <v>-1505997.4123126483</v>
      </c>
    </row>
    <row r="29" spans="1:4">
      <c r="A29" s="8">
        <f t="shared" si="0"/>
        <v>22</v>
      </c>
    </row>
    <row r="30" spans="1:4">
      <c r="A30" s="8">
        <f t="shared" si="0"/>
        <v>23</v>
      </c>
    </row>
    <row r="31" spans="1:4">
      <c r="A31" s="8">
        <f t="shared" si="0"/>
        <v>24</v>
      </c>
      <c r="B31" s="199"/>
    </row>
    <row r="32" spans="1:4">
      <c r="A32" s="8">
        <f t="shared" si="0"/>
        <v>25</v>
      </c>
      <c r="B32" s="199" t="s">
        <v>257</v>
      </c>
      <c r="C32" s="200"/>
    </row>
    <row r="33" spans="1:4">
      <c r="A33" s="8">
        <f t="shared" si="0"/>
        <v>26</v>
      </c>
      <c r="B33" s="334">
        <v>41275</v>
      </c>
      <c r="C33" s="335">
        <v>3.2500000000000001E-2</v>
      </c>
    </row>
    <row r="34" spans="1:4">
      <c r="A34" s="8">
        <f t="shared" si="0"/>
        <v>27</v>
      </c>
      <c r="B34" s="334">
        <v>41306</v>
      </c>
      <c r="C34" s="335">
        <v>3.2500000000000001E-2</v>
      </c>
    </row>
    <row r="35" spans="1:4">
      <c r="A35" s="8">
        <f t="shared" si="0"/>
        <v>28</v>
      </c>
      <c r="B35" s="334">
        <v>41334</v>
      </c>
      <c r="C35" s="335">
        <v>3.2500000000000001E-2</v>
      </c>
      <c r="D35" s="202"/>
    </row>
    <row r="36" spans="1:4">
      <c r="A36" s="8">
        <f t="shared" si="0"/>
        <v>29</v>
      </c>
      <c r="B36" s="334">
        <v>41365</v>
      </c>
      <c r="C36" s="335">
        <v>3.2500000000000001E-2</v>
      </c>
    </row>
    <row r="37" spans="1:4">
      <c r="A37" s="8">
        <f t="shared" si="0"/>
        <v>30</v>
      </c>
      <c r="B37" s="334">
        <v>41395</v>
      </c>
      <c r="C37" s="335">
        <v>3.2500000000000001E-2</v>
      </c>
    </row>
    <row r="38" spans="1:4">
      <c r="A38" s="8">
        <f t="shared" si="0"/>
        <v>31</v>
      </c>
      <c r="B38" s="334">
        <v>41426</v>
      </c>
      <c r="C38" s="335">
        <v>3.2500000000000001E-2</v>
      </c>
      <c r="D38" s="202"/>
    </row>
    <row r="39" spans="1:4">
      <c r="A39" s="8">
        <f t="shared" si="0"/>
        <v>32</v>
      </c>
      <c r="B39" s="334">
        <v>41456</v>
      </c>
      <c r="C39" s="335">
        <v>3.2500000000000001E-2</v>
      </c>
    </row>
    <row r="40" spans="1:4">
      <c r="A40" s="8">
        <f t="shared" si="0"/>
        <v>33</v>
      </c>
      <c r="B40" s="334">
        <v>41487</v>
      </c>
      <c r="C40" s="335">
        <v>3.2500000000000001E-2</v>
      </c>
    </row>
    <row r="41" spans="1:4">
      <c r="A41" s="8">
        <f t="shared" si="0"/>
        <v>34</v>
      </c>
      <c r="B41" s="334">
        <v>41518</v>
      </c>
      <c r="C41" s="335">
        <v>3.2500000000000001E-2</v>
      </c>
      <c r="D41" s="202"/>
    </row>
    <row r="42" spans="1:4">
      <c r="A42" s="8">
        <f t="shared" si="0"/>
        <v>35</v>
      </c>
      <c r="B42" s="334">
        <v>41548</v>
      </c>
      <c r="C42" s="335">
        <v>3.2500000000000001E-2</v>
      </c>
    </row>
    <row r="43" spans="1:4">
      <c r="A43" s="8">
        <f t="shared" si="0"/>
        <v>36</v>
      </c>
      <c r="B43" s="334">
        <v>41579</v>
      </c>
      <c r="C43" s="335">
        <v>3.2500000000000001E-2</v>
      </c>
    </row>
    <row r="44" spans="1:4">
      <c r="A44" s="8">
        <f t="shared" si="0"/>
        <v>37</v>
      </c>
      <c r="B44" s="334">
        <v>41609</v>
      </c>
      <c r="C44" s="335">
        <v>3.2500000000000001E-2</v>
      </c>
      <c r="D44" s="202"/>
    </row>
    <row r="45" spans="1:4">
      <c r="A45" s="8">
        <f t="shared" si="0"/>
        <v>38</v>
      </c>
      <c r="B45" s="334">
        <v>41640</v>
      </c>
      <c r="C45" s="335">
        <v>3.2500000000000001E-2</v>
      </c>
    </row>
    <row r="46" spans="1:4">
      <c r="A46" s="8">
        <f t="shared" si="0"/>
        <v>39</v>
      </c>
      <c r="B46" s="334">
        <v>41671</v>
      </c>
      <c r="C46" s="335">
        <v>3.2500000000000001E-2</v>
      </c>
    </row>
    <row r="47" spans="1:4">
      <c r="A47" s="8">
        <f t="shared" si="0"/>
        <v>40</v>
      </c>
      <c r="B47" s="334">
        <v>41699</v>
      </c>
      <c r="C47" s="335">
        <v>3.2500000000000001E-2</v>
      </c>
      <c r="D47" s="202"/>
    </row>
    <row r="48" spans="1:4">
      <c r="A48" s="8">
        <f t="shared" si="0"/>
        <v>41</v>
      </c>
      <c r="B48" s="334">
        <v>41730</v>
      </c>
      <c r="C48" s="335">
        <v>3.2500000000000001E-2</v>
      </c>
    </row>
    <row r="49" spans="1:5">
      <c r="A49" s="8">
        <f t="shared" si="0"/>
        <v>42</v>
      </c>
      <c r="B49" s="334">
        <v>41760</v>
      </c>
      <c r="C49" s="335">
        <v>3.2500000000000001E-2</v>
      </c>
    </row>
    <row r="50" spans="1:5">
      <c r="A50" s="8">
        <f t="shared" si="0"/>
        <v>43</v>
      </c>
      <c r="B50" s="334">
        <v>41791</v>
      </c>
      <c r="C50" s="335">
        <v>3.2500000000000001E-2</v>
      </c>
      <c r="D50" s="202"/>
    </row>
    <row r="51" spans="1:5">
      <c r="A51" s="8">
        <f t="shared" si="0"/>
        <v>44</v>
      </c>
      <c r="B51" s="334">
        <v>41821</v>
      </c>
      <c r="C51" s="335">
        <v>3.2500000000000001E-2</v>
      </c>
    </row>
    <row r="52" spans="1:5">
      <c r="A52" s="8">
        <f t="shared" si="0"/>
        <v>45</v>
      </c>
      <c r="B52" s="201"/>
      <c r="C52" s="194"/>
      <c r="D52" s="194">
        <f>ROUND(AVERAGE(C33:C51),4)</f>
        <v>3.2500000000000001E-2</v>
      </c>
      <c r="E52" s="19" t="s">
        <v>143</v>
      </c>
    </row>
    <row r="53" spans="1:5">
      <c r="A53" s="8"/>
    </row>
  </sheetData>
  <phoneticPr fontId="13" type="noConversion"/>
  <pageMargins left="0.5" right="0.25" top="0.5" bottom="0.25" header="0.75" footer="0.5"/>
  <pageSetup scale="90" orientation="portrait" horizontalDpi="1200" verticalDpi="1200" r:id="rId1"/>
  <headerFooter alignWithMargins="0">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FFFF89"/>
    <pageSetUpPr fitToPage="1"/>
  </sheetPr>
  <dimension ref="A1:L26"/>
  <sheetViews>
    <sheetView showGridLines="0" workbookViewId="0"/>
  </sheetViews>
  <sheetFormatPr defaultColWidth="14.44140625" defaultRowHeight="12.75"/>
  <cols>
    <col min="1" max="1" width="3.88671875" style="182" customWidth="1"/>
    <col min="2" max="2" width="2.77734375" style="221" customWidth="1"/>
    <col min="3" max="3" width="30.77734375" style="221" customWidth="1"/>
    <col min="4" max="4" width="11.77734375" style="221" customWidth="1"/>
    <col min="5" max="5" width="0.88671875" style="221" customWidth="1"/>
    <col min="6" max="6" width="11.77734375" style="221" customWidth="1"/>
    <col min="7" max="7" width="0.88671875" style="221" customWidth="1"/>
    <col min="8" max="8" width="11.77734375" style="221" customWidth="1"/>
    <col min="9" max="9" width="0.88671875" style="221" customWidth="1"/>
    <col min="10" max="10" width="11.77734375" style="221" customWidth="1"/>
    <col min="11" max="11" width="0.6640625" style="221" customWidth="1"/>
    <col min="12" max="12" width="12.77734375" style="221" customWidth="1"/>
    <col min="13" max="16384" width="14.44140625" style="221"/>
  </cols>
  <sheetData>
    <row r="1" spans="1:12">
      <c r="A1" s="219" t="s">
        <v>1030</v>
      </c>
      <c r="B1" s="220"/>
      <c r="C1" s="220"/>
      <c r="D1" s="220"/>
      <c r="E1" s="220"/>
      <c r="F1" s="220"/>
      <c r="G1" s="220"/>
      <c r="H1" s="220"/>
      <c r="I1" s="220"/>
      <c r="J1" s="220"/>
      <c r="K1" s="220"/>
      <c r="L1" s="208" t="str">
        <f>'Cover Rev 2'!C1</f>
        <v>2015 Workpapers</v>
      </c>
    </row>
    <row r="2" spans="1:12">
      <c r="A2" s="219" t="s">
        <v>99</v>
      </c>
      <c r="B2" s="220"/>
      <c r="C2" s="220"/>
      <c r="D2" s="220"/>
      <c r="E2" s="220"/>
      <c r="F2" s="220"/>
      <c r="G2" s="220"/>
      <c r="H2" s="220"/>
      <c r="I2" s="220"/>
      <c r="J2" s="220"/>
      <c r="K2" s="220"/>
      <c r="L2" s="222"/>
    </row>
    <row r="3" spans="1:12">
      <c r="A3" s="6" t="s">
        <v>337</v>
      </c>
      <c r="B3" s="220"/>
      <c r="C3" s="220"/>
      <c r="D3" s="220" t="s">
        <v>5</v>
      </c>
      <c r="E3" s="220"/>
      <c r="F3" s="220"/>
      <c r="G3" s="220"/>
      <c r="H3" s="220"/>
      <c r="I3" s="220"/>
      <c r="J3" s="220"/>
      <c r="K3" s="220"/>
    </row>
    <row r="4" spans="1:12">
      <c r="A4" s="457" t="s">
        <v>232</v>
      </c>
    </row>
    <row r="5" spans="1:12">
      <c r="B5" s="223"/>
      <c r="C5" s="224"/>
    </row>
    <row r="6" spans="1:12">
      <c r="B6" s="223"/>
    </row>
    <row r="7" spans="1:12">
      <c r="A7" s="212"/>
      <c r="B7" s="212"/>
      <c r="C7" s="212"/>
      <c r="K7" s="226"/>
    </row>
    <row r="8" spans="1:12">
      <c r="D8" s="212"/>
      <c r="E8" s="212"/>
      <c r="F8" s="227"/>
      <c r="G8" s="212"/>
      <c r="H8" s="227"/>
      <c r="I8" s="212"/>
      <c r="J8" s="227" t="s">
        <v>100</v>
      </c>
      <c r="K8" s="226"/>
      <c r="L8" s="228"/>
    </row>
    <row r="9" spans="1:12">
      <c r="A9" s="182" t="s">
        <v>46</v>
      </c>
      <c r="D9" s="226" t="s">
        <v>101</v>
      </c>
      <c r="E9" s="225"/>
      <c r="F9" s="226" t="s">
        <v>196</v>
      </c>
      <c r="G9" s="225"/>
      <c r="H9" s="226" t="s">
        <v>23</v>
      </c>
      <c r="I9" s="225"/>
      <c r="J9" s="226" t="s">
        <v>102</v>
      </c>
      <c r="L9" s="228"/>
    </row>
    <row r="10" spans="1:12">
      <c r="A10" s="229" t="s">
        <v>22</v>
      </c>
      <c r="D10" s="287"/>
      <c r="E10" s="225"/>
      <c r="F10" s="287"/>
      <c r="G10" s="225"/>
      <c r="H10" s="287"/>
      <c r="I10" s="225"/>
      <c r="J10" s="226" t="s">
        <v>103</v>
      </c>
      <c r="K10" s="228"/>
      <c r="L10" s="230" t="s">
        <v>104</v>
      </c>
    </row>
    <row r="11" spans="1:12">
      <c r="A11" s="231" t="s">
        <v>27</v>
      </c>
      <c r="B11" s="232" t="s">
        <v>1031</v>
      </c>
      <c r="C11" s="233"/>
      <c r="D11" s="234"/>
      <c r="F11" s="234"/>
      <c r="H11" s="234"/>
      <c r="J11" s="234"/>
      <c r="L11" s="234"/>
    </row>
    <row r="12" spans="1:12">
      <c r="A12" s="235">
        <f t="shared" ref="A12:A25" si="0">+A11+1</f>
        <v>2</v>
      </c>
      <c r="C12" s="236" t="s">
        <v>340</v>
      </c>
      <c r="D12" s="348">
        <v>6184000</v>
      </c>
      <c r="E12" s="349"/>
      <c r="F12" s="348">
        <v>72000</v>
      </c>
      <c r="G12" s="238"/>
      <c r="H12" s="237">
        <f t="shared" ref="H12:H23" si="1">D12+F12</f>
        <v>6256000</v>
      </c>
      <c r="I12" s="238"/>
      <c r="J12" s="348">
        <v>588000</v>
      </c>
      <c r="K12" s="237">
        <v>0</v>
      </c>
      <c r="L12" s="239">
        <f>H12+J12</f>
        <v>6844000</v>
      </c>
    </row>
    <row r="13" spans="1:12">
      <c r="A13" s="235">
        <f t="shared" si="0"/>
        <v>3</v>
      </c>
      <c r="C13" s="240" t="s">
        <v>47</v>
      </c>
      <c r="D13" s="348">
        <v>5971000</v>
      </c>
      <c r="E13" s="349"/>
      <c r="F13" s="348">
        <v>73000</v>
      </c>
      <c r="G13" s="238"/>
      <c r="H13" s="237">
        <f t="shared" si="1"/>
        <v>6044000</v>
      </c>
      <c r="I13" s="238"/>
      <c r="J13" s="348">
        <v>558000</v>
      </c>
      <c r="K13" s="237"/>
      <c r="L13" s="239">
        <f t="shared" ref="L13:L23" si="2">H13+J13</f>
        <v>6602000</v>
      </c>
    </row>
    <row r="14" spans="1:12">
      <c r="A14" s="235">
        <f t="shared" si="0"/>
        <v>4</v>
      </c>
      <c r="C14" s="240" t="s">
        <v>48</v>
      </c>
      <c r="D14" s="348">
        <v>5487000</v>
      </c>
      <c r="E14" s="349"/>
      <c r="F14" s="348">
        <v>64000</v>
      </c>
      <c r="G14" s="238"/>
      <c r="H14" s="237">
        <f t="shared" si="1"/>
        <v>5551000</v>
      </c>
      <c r="I14" s="238"/>
      <c r="J14" s="348">
        <v>541000</v>
      </c>
      <c r="K14" s="237"/>
      <c r="L14" s="239">
        <f t="shared" si="2"/>
        <v>6092000</v>
      </c>
    </row>
    <row r="15" spans="1:12">
      <c r="A15" s="235">
        <f t="shared" si="0"/>
        <v>5</v>
      </c>
      <c r="C15" s="240" t="s">
        <v>49</v>
      </c>
      <c r="D15" s="348">
        <v>5645000</v>
      </c>
      <c r="E15" s="349"/>
      <c r="F15" s="348">
        <v>49000</v>
      </c>
      <c r="G15" s="238"/>
      <c r="H15" s="237">
        <f t="shared" si="1"/>
        <v>5694000</v>
      </c>
      <c r="I15" s="238"/>
      <c r="J15" s="348">
        <v>501000</v>
      </c>
      <c r="K15" s="237"/>
      <c r="L15" s="239">
        <f t="shared" si="2"/>
        <v>6195000</v>
      </c>
    </row>
    <row r="16" spans="1:12">
      <c r="A16" s="235">
        <f t="shared" si="0"/>
        <v>6</v>
      </c>
      <c r="C16" s="240" t="s">
        <v>21</v>
      </c>
      <c r="D16" s="348">
        <v>6933000</v>
      </c>
      <c r="E16" s="349"/>
      <c r="F16" s="348">
        <v>54000</v>
      </c>
      <c r="G16" s="238"/>
      <c r="H16" s="237">
        <f t="shared" si="1"/>
        <v>6987000</v>
      </c>
      <c r="I16" s="238"/>
      <c r="J16" s="348">
        <v>539000</v>
      </c>
      <c r="K16" s="237"/>
      <c r="L16" s="239">
        <f t="shared" si="2"/>
        <v>7526000</v>
      </c>
    </row>
    <row r="17" spans="1:12">
      <c r="A17" s="235">
        <f t="shared" si="0"/>
        <v>7</v>
      </c>
      <c r="C17" s="240" t="s">
        <v>50</v>
      </c>
      <c r="D17" s="348">
        <v>8341000</v>
      </c>
      <c r="E17" s="349"/>
      <c r="F17" s="348">
        <v>52000</v>
      </c>
      <c r="G17" s="238"/>
      <c r="H17" s="237">
        <f t="shared" si="1"/>
        <v>8393000</v>
      </c>
      <c r="I17" s="238"/>
      <c r="J17" s="348">
        <v>555000</v>
      </c>
      <c r="K17" s="237"/>
      <c r="L17" s="239">
        <f t="shared" si="2"/>
        <v>8948000</v>
      </c>
    </row>
    <row r="18" spans="1:12">
      <c r="A18" s="235">
        <f t="shared" si="0"/>
        <v>8</v>
      </c>
      <c r="C18" s="240" t="s">
        <v>51</v>
      </c>
      <c r="D18" s="348">
        <v>8259000</v>
      </c>
      <c r="E18" s="349"/>
      <c r="F18" s="348">
        <v>81000</v>
      </c>
      <c r="G18" s="238"/>
      <c r="H18" s="237">
        <f t="shared" si="1"/>
        <v>8340000</v>
      </c>
      <c r="I18" s="238"/>
      <c r="J18" s="348">
        <v>681000</v>
      </c>
      <c r="K18" s="237"/>
      <c r="L18" s="239">
        <f t="shared" si="2"/>
        <v>9021000</v>
      </c>
    </row>
    <row r="19" spans="1:12">
      <c r="A19" s="235">
        <f t="shared" si="0"/>
        <v>9</v>
      </c>
      <c r="C19" s="240" t="s">
        <v>52</v>
      </c>
      <c r="D19" s="348">
        <v>8252000</v>
      </c>
      <c r="E19" s="349"/>
      <c r="F19" s="348">
        <v>79000</v>
      </c>
      <c r="G19" s="238"/>
      <c r="H19" s="237">
        <f t="shared" si="1"/>
        <v>8331000</v>
      </c>
      <c r="I19" s="238"/>
      <c r="J19" s="350">
        <v>695000</v>
      </c>
      <c r="K19" s="237"/>
      <c r="L19" s="239">
        <f t="shared" si="2"/>
        <v>9026000</v>
      </c>
    </row>
    <row r="20" spans="1:12">
      <c r="A20" s="235">
        <f t="shared" si="0"/>
        <v>10</v>
      </c>
      <c r="C20" s="240" t="s">
        <v>53</v>
      </c>
      <c r="D20" s="348">
        <v>7739000</v>
      </c>
      <c r="E20" s="349"/>
      <c r="F20" s="348">
        <v>86000</v>
      </c>
      <c r="G20" s="238"/>
      <c r="H20" s="237">
        <f t="shared" si="1"/>
        <v>7825000</v>
      </c>
      <c r="I20" s="238"/>
      <c r="J20" s="348">
        <v>636000</v>
      </c>
      <c r="K20" s="237"/>
      <c r="L20" s="239">
        <f t="shared" si="2"/>
        <v>8461000</v>
      </c>
    </row>
    <row r="21" spans="1:12">
      <c r="A21" s="235">
        <f t="shared" si="0"/>
        <v>11</v>
      </c>
      <c r="C21" s="240" t="s">
        <v>54</v>
      </c>
      <c r="D21" s="348">
        <v>5686000</v>
      </c>
      <c r="E21" s="349"/>
      <c r="F21" s="348">
        <v>55000</v>
      </c>
      <c r="G21" s="238"/>
      <c r="H21" s="237">
        <f t="shared" si="1"/>
        <v>5741000</v>
      </c>
      <c r="I21" s="238"/>
      <c r="J21" s="348">
        <v>471000</v>
      </c>
      <c r="K21" s="237"/>
      <c r="L21" s="239">
        <f t="shared" si="2"/>
        <v>6212000</v>
      </c>
    </row>
    <row r="22" spans="1:12">
      <c r="A22" s="235">
        <f t="shared" si="0"/>
        <v>12</v>
      </c>
      <c r="C22" s="240" t="s">
        <v>55</v>
      </c>
      <c r="D22" s="348">
        <v>5872000</v>
      </c>
      <c r="E22" s="349"/>
      <c r="F22" s="348">
        <v>106000</v>
      </c>
      <c r="G22" s="238"/>
      <c r="H22" s="237">
        <f t="shared" si="1"/>
        <v>5978000</v>
      </c>
      <c r="I22" s="238"/>
      <c r="J22" s="348">
        <v>547000</v>
      </c>
      <c r="K22" s="237"/>
      <c r="L22" s="239">
        <f t="shared" si="2"/>
        <v>6525000</v>
      </c>
    </row>
    <row r="23" spans="1:12">
      <c r="A23" s="235">
        <f t="shared" si="0"/>
        <v>13</v>
      </c>
      <c r="C23" s="236" t="s">
        <v>339</v>
      </c>
      <c r="D23" s="348">
        <v>6274000</v>
      </c>
      <c r="E23" s="349"/>
      <c r="F23" s="348">
        <v>72000</v>
      </c>
      <c r="G23" s="238"/>
      <c r="H23" s="237">
        <f t="shared" si="1"/>
        <v>6346000</v>
      </c>
      <c r="I23" s="238"/>
      <c r="J23" s="348">
        <v>564000</v>
      </c>
      <c r="K23" s="237"/>
      <c r="L23" s="239">
        <f t="shared" si="2"/>
        <v>6910000</v>
      </c>
    </row>
    <row r="24" spans="1:12">
      <c r="A24" s="235">
        <f t="shared" si="0"/>
        <v>14</v>
      </c>
      <c r="C24" s="240"/>
      <c r="D24" s="241"/>
      <c r="E24" s="242"/>
      <c r="F24" s="241"/>
      <c r="G24" s="242"/>
      <c r="H24" s="241"/>
      <c r="J24" s="241"/>
      <c r="K24" s="243"/>
      <c r="L24" s="244"/>
    </row>
    <row r="25" spans="1:12" ht="13.5" thickBot="1">
      <c r="A25" s="235">
        <f t="shared" si="0"/>
        <v>15</v>
      </c>
      <c r="C25" s="245" t="s">
        <v>105</v>
      </c>
      <c r="D25" s="246">
        <f>SUM(D12:D23)/12</f>
        <v>6720250</v>
      </c>
      <c r="E25" s="242"/>
      <c r="F25" s="246">
        <f>SUM(F12:F23)/12</f>
        <v>70250</v>
      </c>
      <c r="G25" s="242"/>
      <c r="H25" s="246">
        <f>D25+F25</f>
        <v>6790500</v>
      </c>
      <c r="J25" s="246">
        <f>SUM(J12:J23)/12</f>
        <v>573000</v>
      </c>
      <c r="K25" s="247"/>
      <c r="L25" s="246">
        <f>SUM(L12:L23)/12</f>
        <v>7363500</v>
      </c>
    </row>
    <row r="26" spans="1:12" ht="13.5" thickTop="1">
      <c r="J26" s="248"/>
    </row>
  </sheetData>
  <phoneticPr fontId="13" type="noConversion"/>
  <pageMargins left="0.5" right="0.25" top="0.5" bottom="0.25" header="0.75" footer="0.5"/>
  <pageSetup scale="82" orientation="portrait" horizontalDpi="1200" verticalDpi="1200" r:id="rId1"/>
  <headerFooter alignWithMargins="0">
    <oddFooter>&amp;CPage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I49"/>
  <sheetViews>
    <sheetView showGridLines="0" topLeftCell="A7" workbookViewId="0">
      <selection activeCell="E19" sqref="E19:E20"/>
    </sheetView>
  </sheetViews>
  <sheetFormatPr defaultRowHeight="12.75"/>
  <cols>
    <col min="1" max="1" width="7.21875" style="204" customWidth="1"/>
    <col min="2" max="2" width="3.77734375" style="204" customWidth="1"/>
    <col min="3" max="3" width="32.6640625" style="204" customWidth="1"/>
    <col min="4" max="4" width="7.5546875" style="204" bestFit="1" customWidth="1"/>
    <col min="5" max="5" width="14.77734375" style="204" bestFit="1" customWidth="1"/>
    <col min="6" max="6" width="4.77734375" style="215" customWidth="1"/>
    <col min="7" max="7" width="10.109375" style="204" customWidth="1"/>
    <col min="8" max="8" width="20.77734375" style="204" bestFit="1" customWidth="1"/>
    <col min="9" max="16384" width="8.88671875" style="204"/>
  </cols>
  <sheetData>
    <row r="1" spans="1:7">
      <c r="A1" s="207" t="s">
        <v>1030</v>
      </c>
      <c r="G1" s="208" t="str">
        <f>'Cover Rev 2'!C1</f>
        <v>2015 Workpapers</v>
      </c>
    </row>
    <row r="2" spans="1:7">
      <c r="A2" s="209" t="s">
        <v>168</v>
      </c>
    </row>
    <row r="3" spans="1:7">
      <c r="A3" s="6" t="s">
        <v>337</v>
      </c>
      <c r="B3" s="389"/>
      <c r="C3" s="389"/>
    </row>
    <row r="5" spans="1:7">
      <c r="C5" s="204" t="s">
        <v>33</v>
      </c>
      <c r="E5" s="212"/>
      <c r="G5" s="205" t="s">
        <v>149</v>
      </c>
    </row>
    <row r="6" spans="1:7" s="210" customFormat="1">
      <c r="A6" s="210" t="s">
        <v>150</v>
      </c>
      <c r="E6" s="211" t="s">
        <v>363</v>
      </c>
      <c r="F6" s="249"/>
      <c r="G6" s="205" t="s">
        <v>151</v>
      </c>
    </row>
    <row r="7" spans="1:7">
      <c r="E7" s="212"/>
      <c r="F7" s="217"/>
    </row>
    <row r="8" spans="1:7">
      <c r="A8" s="204">
        <v>1</v>
      </c>
      <c r="C8" s="203" t="s">
        <v>152</v>
      </c>
      <c r="D8" s="204" t="s">
        <v>146</v>
      </c>
      <c r="E8" s="410">
        <v>8038449.723506798</v>
      </c>
      <c r="F8" s="217"/>
      <c r="G8" s="212">
        <f>E8</f>
        <v>8038449.723506798</v>
      </c>
    </row>
    <row r="9" spans="1:7">
      <c r="A9" s="204">
        <f>A8+1</f>
        <v>2</v>
      </c>
      <c r="C9" s="203" t="s">
        <v>155</v>
      </c>
      <c r="D9" s="204" t="s">
        <v>146</v>
      </c>
      <c r="E9" s="410">
        <v>811113.22</v>
      </c>
      <c r="F9" s="217"/>
      <c r="G9" s="212">
        <f>E9</f>
        <v>811113.22</v>
      </c>
    </row>
    <row r="10" spans="1:7">
      <c r="A10" s="204">
        <f t="shared" ref="A10:A44" si="0">A9+1</f>
        <v>3</v>
      </c>
      <c r="C10" s="204" t="s">
        <v>102</v>
      </c>
      <c r="D10" s="204" t="s">
        <v>146</v>
      </c>
      <c r="E10" s="411">
        <v>23907579.75074403</v>
      </c>
      <c r="F10" s="217" t="s">
        <v>210</v>
      </c>
      <c r="G10" s="212"/>
    </row>
    <row r="11" spans="1:7">
      <c r="A11" s="204">
        <f t="shared" si="0"/>
        <v>4</v>
      </c>
      <c r="C11" s="204" t="s">
        <v>220</v>
      </c>
      <c r="D11" s="204" t="s">
        <v>146</v>
      </c>
      <c r="E11" s="411">
        <v>0</v>
      </c>
      <c r="F11" s="217" t="s">
        <v>210</v>
      </c>
      <c r="G11" s="212"/>
    </row>
    <row r="12" spans="1:7">
      <c r="A12" s="204">
        <f t="shared" si="0"/>
        <v>5</v>
      </c>
      <c r="C12" s="204" t="s">
        <v>221</v>
      </c>
      <c r="D12" s="204" t="s">
        <v>146</v>
      </c>
      <c r="E12" s="412">
        <v>1049507.5813750001</v>
      </c>
      <c r="F12" s="217" t="s">
        <v>210</v>
      </c>
      <c r="G12" s="212"/>
    </row>
    <row r="13" spans="1:7">
      <c r="A13" s="204">
        <f t="shared" si="0"/>
        <v>6</v>
      </c>
      <c r="C13" s="204" t="s">
        <v>222</v>
      </c>
      <c r="D13" s="204" t="s">
        <v>146</v>
      </c>
      <c r="E13" s="412">
        <v>0</v>
      </c>
      <c r="F13" s="217" t="s">
        <v>210</v>
      </c>
      <c r="G13" s="212"/>
    </row>
    <row r="14" spans="1:7">
      <c r="A14" s="204">
        <f t="shared" si="0"/>
        <v>7</v>
      </c>
      <c r="C14" s="204" t="s">
        <v>157</v>
      </c>
      <c r="D14" s="204" t="s">
        <v>146</v>
      </c>
      <c r="E14" s="412">
        <v>9052264.8815574981</v>
      </c>
      <c r="F14" s="217"/>
    </row>
    <row r="15" spans="1:7">
      <c r="A15" s="204">
        <f t="shared" si="0"/>
        <v>8</v>
      </c>
      <c r="C15" s="204" t="s">
        <v>223</v>
      </c>
      <c r="D15" s="204" t="s">
        <v>146</v>
      </c>
      <c r="E15" s="412">
        <v>0</v>
      </c>
      <c r="F15" s="217" t="s">
        <v>210</v>
      </c>
    </row>
    <row r="16" spans="1:7">
      <c r="A16" s="204">
        <f t="shared" si="0"/>
        <v>9</v>
      </c>
      <c r="C16" s="204" t="s">
        <v>224</v>
      </c>
      <c r="D16" s="204" t="s">
        <v>146</v>
      </c>
      <c r="E16" s="412">
        <v>2026047.85</v>
      </c>
      <c r="F16" s="217"/>
      <c r="G16" s="212"/>
    </row>
    <row r="17" spans="1:9">
      <c r="A17" s="204">
        <f t="shared" si="0"/>
        <v>10</v>
      </c>
      <c r="C17" s="204" t="s">
        <v>225</v>
      </c>
      <c r="D17" s="204" t="s">
        <v>146</v>
      </c>
      <c r="E17" s="412">
        <v>0</v>
      </c>
      <c r="F17" s="217"/>
      <c r="G17" s="212"/>
    </row>
    <row r="18" spans="1:9">
      <c r="A18" s="204">
        <f t="shared" si="0"/>
        <v>11</v>
      </c>
      <c r="C18" s="204" t="s">
        <v>238</v>
      </c>
      <c r="D18" s="204" t="s">
        <v>146</v>
      </c>
      <c r="E18" s="359">
        <f>'Attachment GG Rev 2'!$N$94</f>
        <v>69555635.542111367</v>
      </c>
      <c r="F18" s="217"/>
      <c r="H18" s="204" t="s">
        <v>217</v>
      </c>
      <c r="I18" s="204" t="s">
        <v>290</v>
      </c>
    </row>
    <row r="19" spans="1:9">
      <c r="A19" s="204">
        <f t="shared" si="0"/>
        <v>12</v>
      </c>
      <c r="C19" s="204" t="s">
        <v>262</v>
      </c>
      <c r="D19" s="204" t="s">
        <v>146</v>
      </c>
      <c r="E19" s="359">
        <f>'Attachment MM Rev 2'!$R$92</f>
        <v>58406147.016451836</v>
      </c>
      <c r="F19" s="217"/>
      <c r="H19" s="204" t="s">
        <v>261</v>
      </c>
      <c r="I19" s="204" t="s">
        <v>291</v>
      </c>
    </row>
    <row r="20" spans="1:9">
      <c r="A20" s="204">
        <f t="shared" si="0"/>
        <v>13</v>
      </c>
      <c r="C20" s="204" t="s">
        <v>336</v>
      </c>
      <c r="D20" s="204" t="s">
        <v>146</v>
      </c>
      <c r="E20" s="359">
        <v>180145.11003879367</v>
      </c>
      <c r="F20" s="217"/>
    </row>
    <row r="21" spans="1:9">
      <c r="A21" s="204">
        <f t="shared" si="0"/>
        <v>14</v>
      </c>
      <c r="C21" s="204" t="s">
        <v>226</v>
      </c>
      <c r="D21" s="204" t="s">
        <v>231</v>
      </c>
      <c r="E21" s="413">
        <v>31276513.597100414</v>
      </c>
      <c r="F21" s="217" t="s">
        <v>210</v>
      </c>
    </row>
    <row r="22" spans="1:9">
      <c r="A22" s="204">
        <f t="shared" si="0"/>
        <v>15</v>
      </c>
      <c r="C22" s="204" t="s">
        <v>227</v>
      </c>
      <c r="D22" s="204" t="s">
        <v>231</v>
      </c>
      <c r="E22" s="413">
        <v>5934738.865537487</v>
      </c>
      <c r="F22" s="217" t="s">
        <v>210</v>
      </c>
    </row>
    <row r="23" spans="1:9">
      <c r="A23" s="204">
        <f t="shared" si="0"/>
        <v>16</v>
      </c>
      <c r="C23" s="204" t="s">
        <v>157</v>
      </c>
      <c r="D23" s="204" t="s">
        <v>231</v>
      </c>
      <c r="E23" s="413">
        <v>126983.03999999999</v>
      </c>
      <c r="F23" s="217" t="s">
        <v>210</v>
      </c>
    </row>
    <row r="24" spans="1:9">
      <c r="A24" s="204">
        <f t="shared" si="0"/>
        <v>17</v>
      </c>
      <c r="C24" s="204" t="s">
        <v>153</v>
      </c>
      <c r="D24" s="204" t="s">
        <v>154</v>
      </c>
      <c r="E24" s="414">
        <v>6288982.6066666665</v>
      </c>
      <c r="F24" s="217"/>
      <c r="G24" s="212">
        <f>E24</f>
        <v>6288982.6066666665</v>
      </c>
    </row>
    <row r="25" spans="1:9">
      <c r="A25" s="204">
        <f t="shared" si="0"/>
        <v>18</v>
      </c>
      <c r="C25" s="204" t="s">
        <v>156</v>
      </c>
      <c r="D25" s="204" t="s">
        <v>154</v>
      </c>
      <c r="E25" s="414">
        <v>146455.75933333335</v>
      </c>
      <c r="F25" s="217" t="s">
        <v>210</v>
      </c>
      <c r="G25" s="212"/>
    </row>
    <row r="26" spans="1:9">
      <c r="A26" s="204">
        <f t="shared" si="0"/>
        <v>19</v>
      </c>
      <c r="C26" s="204" t="s">
        <v>157</v>
      </c>
      <c r="D26" s="204" t="s">
        <v>154</v>
      </c>
      <c r="E26" s="414">
        <v>8420.76</v>
      </c>
      <c r="F26" s="217" t="s">
        <v>210</v>
      </c>
      <c r="G26" s="212"/>
    </row>
    <row r="27" spans="1:9">
      <c r="A27" s="204">
        <f t="shared" si="0"/>
        <v>20</v>
      </c>
      <c r="C27" s="204" t="s">
        <v>219</v>
      </c>
      <c r="D27" s="204" t="s">
        <v>154</v>
      </c>
      <c r="E27" s="415">
        <v>236176.30047300001</v>
      </c>
      <c r="F27" s="217" t="s">
        <v>210</v>
      </c>
      <c r="G27" s="212"/>
    </row>
    <row r="28" spans="1:9">
      <c r="A28" s="204">
        <f t="shared" si="0"/>
        <v>21</v>
      </c>
      <c r="C28" s="204" t="s">
        <v>228</v>
      </c>
      <c r="D28" s="204" t="s">
        <v>146</v>
      </c>
      <c r="E28" s="416">
        <v>46866.48</v>
      </c>
      <c r="F28" s="217"/>
      <c r="G28" s="212">
        <f t="shared" ref="G28:G34" si="1">E28</f>
        <v>46866.48</v>
      </c>
    </row>
    <row r="29" spans="1:9">
      <c r="A29" s="204">
        <f t="shared" si="0"/>
        <v>22</v>
      </c>
      <c r="C29" s="204" t="s">
        <v>228</v>
      </c>
      <c r="E29" s="416">
        <v>184597.09</v>
      </c>
      <c r="F29" s="217"/>
      <c r="G29" s="212">
        <f t="shared" si="1"/>
        <v>184597.09</v>
      </c>
    </row>
    <row r="30" spans="1:9">
      <c r="A30" s="204">
        <f t="shared" si="0"/>
        <v>23</v>
      </c>
      <c r="C30" s="204" t="s">
        <v>205</v>
      </c>
      <c r="E30" s="416">
        <v>37440</v>
      </c>
      <c r="F30" s="217"/>
      <c r="G30" s="212">
        <f t="shared" si="1"/>
        <v>37440</v>
      </c>
    </row>
    <row r="31" spans="1:9">
      <c r="A31" s="204">
        <f t="shared" si="0"/>
        <v>24</v>
      </c>
      <c r="C31" s="204" t="s">
        <v>206</v>
      </c>
      <c r="E31" s="416">
        <v>2680000</v>
      </c>
      <c r="F31" s="217"/>
      <c r="G31" s="212">
        <f t="shared" si="1"/>
        <v>2680000</v>
      </c>
    </row>
    <row r="32" spans="1:9">
      <c r="A32" s="204">
        <f t="shared" si="0"/>
        <v>25</v>
      </c>
      <c r="C32" s="204" t="s">
        <v>207</v>
      </c>
      <c r="E32" s="416">
        <v>57951.96</v>
      </c>
      <c r="F32" s="217"/>
      <c r="G32" s="212">
        <f t="shared" si="1"/>
        <v>57951.96</v>
      </c>
    </row>
    <row r="33" spans="1:7">
      <c r="A33" s="204">
        <f t="shared" si="0"/>
        <v>26</v>
      </c>
      <c r="C33" s="204" t="s">
        <v>208</v>
      </c>
      <c r="E33" s="416">
        <v>15527.04</v>
      </c>
      <c r="F33" s="217"/>
      <c r="G33" s="212">
        <f t="shared" si="1"/>
        <v>15527.04</v>
      </c>
    </row>
    <row r="34" spans="1:7">
      <c r="A34" s="204">
        <f t="shared" si="0"/>
        <v>27</v>
      </c>
      <c r="C34" s="204" t="s">
        <v>209</v>
      </c>
      <c r="E34" s="419">
        <v>46268.4</v>
      </c>
      <c r="F34" s="217"/>
      <c r="G34" s="212">
        <f t="shared" si="1"/>
        <v>46268.4</v>
      </c>
    </row>
    <row r="35" spans="1:7">
      <c r="A35" s="204">
        <f t="shared" si="0"/>
        <v>28</v>
      </c>
      <c r="C35" s="204" t="s">
        <v>229</v>
      </c>
      <c r="E35" s="417">
        <v>212410.44</v>
      </c>
      <c r="F35" s="217" t="s">
        <v>210</v>
      </c>
      <c r="G35" s="212"/>
    </row>
    <row r="36" spans="1:7">
      <c r="A36" s="204">
        <f t="shared" si="0"/>
        <v>29</v>
      </c>
      <c r="C36" s="204" t="s">
        <v>230</v>
      </c>
      <c r="E36" s="417">
        <v>37800.720000000001</v>
      </c>
      <c r="F36" s="217" t="s">
        <v>210</v>
      </c>
      <c r="G36" s="212"/>
    </row>
    <row r="37" spans="1:7">
      <c r="A37" s="204">
        <f t="shared" si="0"/>
        <v>30</v>
      </c>
      <c r="C37" s="204" t="s">
        <v>263</v>
      </c>
      <c r="E37" s="418">
        <v>124105.07812499997</v>
      </c>
      <c r="F37" s="217" t="s">
        <v>210</v>
      </c>
      <c r="G37" s="212"/>
    </row>
    <row r="38" spans="1:7">
      <c r="A38" s="204">
        <f t="shared" si="0"/>
        <v>31</v>
      </c>
      <c r="C38" s="203" t="s">
        <v>158</v>
      </c>
      <c r="E38" s="218">
        <f>SUM(E8:E37)</f>
        <v>220488128.81302121</v>
      </c>
      <c r="F38" s="217"/>
      <c r="G38" s="218">
        <f>SUM(G8:G37)</f>
        <v>18207196.520173464</v>
      </c>
    </row>
    <row r="39" spans="1:7" ht="19.5" customHeight="1">
      <c r="A39" s="204">
        <f t="shared" si="0"/>
        <v>32</v>
      </c>
      <c r="E39" s="212"/>
      <c r="F39" s="217"/>
      <c r="G39" s="212" t="s">
        <v>159</v>
      </c>
    </row>
    <row r="40" spans="1:7">
      <c r="A40" s="204">
        <f t="shared" si="0"/>
        <v>33</v>
      </c>
      <c r="C40" s="204" t="s">
        <v>165</v>
      </c>
      <c r="E40" s="214">
        <f>E38</f>
        <v>220488128.81302121</v>
      </c>
      <c r="F40" s="216"/>
      <c r="G40" s="206" t="s">
        <v>160</v>
      </c>
    </row>
    <row r="41" spans="1:7" s="215" customFormat="1">
      <c r="A41" s="204">
        <f t="shared" si="0"/>
        <v>34</v>
      </c>
      <c r="C41" s="204" t="s">
        <v>166</v>
      </c>
      <c r="E41" s="216">
        <f>E40-E44-E42-E43</f>
        <v>74139004.624245763</v>
      </c>
      <c r="F41" s="216"/>
      <c r="G41" s="206" t="s">
        <v>161</v>
      </c>
    </row>
    <row r="42" spans="1:7" s="215" customFormat="1">
      <c r="A42" s="204">
        <f t="shared" si="0"/>
        <v>35</v>
      </c>
      <c r="C42" s="204" t="s">
        <v>167</v>
      </c>
      <c r="E42" s="216">
        <f>E18</f>
        <v>69555635.542111367</v>
      </c>
      <c r="F42" s="216"/>
      <c r="G42" s="206" t="s">
        <v>164</v>
      </c>
    </row>
    <row r="43" spans="1:7" s="215" customFormat="1">
      <c r="A43" s="204">
        <f t="shared" si="0"/>
        <v>36</v>
      </c>
      <c r="C43" s="204" t="s">
        <v>239</v>
      </c>
      <c r="E43" s="216">
        <f>E19+E20</f>
        <v>58586292.12649063</v>
      </c>
      <c r="F43" s="216"/>
      <c r="G43" s="206" t="s">
        <v>242</v>
      </c>
    </row>
    <row r="44" spans="1:7" s="215" customFormat="1">
      <c r="A44" s="204">
        <f t="shared" si="0"/>
        <v>37</v>
      </c>
      <c r="C44" s="204" t="s">
        <v>162</v>
      </c>
      <c r="E44" s="216">
        <f>G38</f>
        <v>18207196.520173464</v>
      </c>
      <c r="F44" s="216"/>
      <c r="G44" s="206" t="s">
        <v>163</v>
      </c>
    </row>
    <row r="45" spans="1:7" s="215" customFormat="1"/>
    <row r="46" spans="1:7" s="215" customFormat="1"/>
    <row r="49" spans="1:1">
      <c r="A49" s="19" t="s">
        <v>211</v>
      </c>
    </row>
  </sheetData>
  <phoneticPr fontId="13" type="noConversion"/>
  <pageMargins left="0.25" right="0.25" top="1" bottom="1" header="0.5" footer="0.5"/>
  <pageSetup scale="71" orientation="portrait" r:id="rId1"/>
  <headerFooter alignWithMargins="0">
    <oddFooter>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2"/>
    <pageSetUpPr fitToPage="1"/>
  </sheetPr>
  <dimension ref="A1:P38"/>
  <sheetViews>
    <sheetView showGridLines="0" topLeftCell="A22" workbookViewId="0"/>
  </sheetViews>
  <sheetFormatPr defaultColWidth="8" defaultRowHeight="15.75"/>
  <cols>
    <col min="1" max="1" width="34.109375" style="420" customWidth="1"/>
    <col min="2" max="2" width="11.109375" style="420" customWidth="1"/>
    <col min="3" max="15" width="10.21875" style="420" customWidth="1"/>
    <col min="16" max="16" width="3.77734375" style="420" customWidth="1"/>
    <col min="17" max="16384" width="8" style="420"/>
  </cols>
  <sheetData>
    <row r="1" spans="1:16" ht="34.5" customHeight="1">
      <c r="B1" s="421">
        <v>41974</v>
      </c>
      <c r="C1" s="421">
        <v>42005</v>
      </c>
      <c r="D1" s="421">
        <v>42036</v>
      </c>
      <c r="E1" s="421">
        <v>42064</v>
      </c>
      <c r="F1" s="421">
        <v>42095</v>
      </c>
      <c r="G1" s="421">
        <v>42125</v>
      </c>
      <c r="H1" s="421">
        <v>42156</v>
      </c>
      <c r="I1" s="421">
        <v>42186</v>
      </c>
      <c r="J1" s="421">
        <v>42217</v>
      </c>
      <c r="K1" s="421">
        <v>42248</v>
      </c>
      <c r="L1" s="421">
        <v>42278</v>
      </c>
      <c r="M1" s="421">
        <v>42309</v>
      </c>
      <c r="N1" s="421">
        <v>42339</v>
      </c>
      <c r="O1" s="421" t="s">
        <v>362</v>
      </c>
      <c r="P1" s="421"/>
    </row>
    <row r="2" spans="1:16">
      <c r="A2" s="422" t="s">
        <v>295</v>
      </c>
    </row>
    <row r="3" spans="1:16" s="424" customFormat="1">
      <c r="A3" s="423" t="s">
        <v>296</v>
      </c>
    </row>
    <row r="4" spans="1:16" s="424" customFormat="1">
      <c r="A4" s="425" t="s">
        <v>297</v>
      </c>
      <c r="B4" s="426">
        <v>-9.3369365572470997E-9</v>
      </c>
      <c r="C4" s="426">
        <v>-9.5482732831442263E-9</v>
      </c>
      <c r="D4" s="426">
        <v>-9.5482732831442263E-9</v>
      </c>
      <c r="E4" s="426">
        <v>-9.5482732831442263E-9</v>
      </c>
      <c r="F4" s="426">
        <v>-9.5482732831442263E-9</v>
      </c>
      <c r="G4" s="426">
        <v>-9.5482732831442263E-9</v>
      </c>
      <c r="H4" s="426">
        <v>-9.5482732831442263E-9</v>
      </c>
      <c r="I4" s="426">
        <v>-9.5482732831442263E-9</v>
      </c>
      <c r="J4" s="426">
        <v>-9.5482732831442263E-9</v>
      </c>
      <c r="K4" s="426">
        <v>-9.5482732831442263E-9</v>
      </c>
      <c r="L4" s="426">
        <v>-9.5482732831442263E-9</v>
      </c>
      <c r="M4" s="426">
        <v>-9.5482732831442263E-9</v>
      </c>
      <c r="N4" s="426">
        <v>-9.5482732831442263E-9</v>
      </c>
    </row>
    <row r="5" spans="1:16" s="427" customFormat="1"/>
    <row r="6" spans="1:16" s="427" customFormat="1">
      <c r="A6" s="439" t="s">
        <v>324</v>
      </c>
    </row>
    <row r="7" spans="1:16" s="424" customFormat="1">
      <c r="A7" s="423" t="s">
        <v>296</v>
      </c>
    </row>
    <row r="8" spans="1:16" s="424" customFormat="1">
      <c r="A8" s="425" t="s">
        <v>297</v>
      </c>
      <c r="B8" s="440">
        <v>9305567.6092789229</v>
      </c>
      <c r="C8" s="440">
        <v>10875743.302281491</v>
      </c>
      <c r="D8" s="440">
        <v>14065775.530102266</v>
      </c>
      <c r="E8" s="440">
        <v>18863013.43851044</v>
      </c>
      <c r="F8" s="440">
        <v>24184452.432392385</v>
      </c>
      <c r="G8" s="440">
        <v>29766953.613606464</v>
      </c>
      <c r="H8" s="440">
        <v>34509429.647797987</v>
      </c>
      <c r="I8" s="440">
        <v>38687536.331260316</v>
      </c>
      <c r="J8" s="440">
        <v>43131135.147529416</v>
      </c>
      <c r="K8" s="440">
        <v>46186272.764409304</v>
      </c>
      <c r="L8" s="440">
        <v>48222658.69782687</v>
      </c>
      <c r="M8" s="440">
        <v>50186035.014543593</v>
      </c>
      <c r="N8" s="440">
        <v>60036.818862299813</v>
      </c>
    </row>
    <row r="9" spans="1:16" s="427" customFormat="1">
      <c r="A9" s="433"/>
    </row>
    <row r="10" spans="1:16" s="427" customFormat="1">
      <c r="A10" s="430" t="s">
        <v>301</v>
      </c>
    </row>
    <row r="11" spans="1:16" s="424" customFormat="1">
      <c r="A11" s="423" t="s">
        <v>296</v>
      </c>
    </row>
    <row r="12" spans="1:16" s="424" customFormat="1">
      <c r="A12" s="425" t="s">
        <v>297</v>
      </c>
      <c r="B12" s="431">
        <v>86314432.630419657</v>
      </c>
      <c r="C12" s="431">
        <v>93398586.881351501</v>
      </c>
      <c r="D12" s="431">
        <v>97995279.688249946</v>
      </c>
      <c r="E12" s="431">
        <v>102428787.35755453</v>
      </c>
      <c r="F12" s="431">
        <v>106976493.03525966</v>
      </c>
      <c r="G12" s="431">
        <v>111741029.72563097</v>
      </c>
      <c r="H12" s="431">
        <v>21014914.402470935</v>
      </c>
      <c r="I12" s="431">
        <v>21511023.145065024</v>
      </c>
      <c r="J12" s="431">
        <v>21809880.433689296</v>
      </c>
      <c r="K12" s="431">
        <v>22179319.372526683</v>
      </c>
      <c r="L12" s="431">
        <v>2201.2180834595347</v>
      </c>
      <c r="M12" s="431">
        <v>1.178705133497715E-9</v>
      </c>
      <c r="N12" s="431">
        <v>1.178705133497715E-9</v>
      </c>
    </row>
    <row r="13" spans="1:16" s="427" customFormat="1"/>
    <row r="14" spans="1:16" s="427" customFormat="1">
      <c r="A14" s="430" t="s">
        <v>303</v>
      </c>
    </row>
    <row r="15" spans="1:16" s="424" customFormat="1">
      <c r="A15" s="423" t="s">
        <v>296</v>
      </c>
    </row>
    <row r="16" spans="1:16" s="424" customFormat="1">
      <c r="A16" s="425" t="s">
        <v>297</v>
      </c>
      <c r="B16" s="431">
        <v>48576416.854187556</v>
      </c>
      <c r="C16" s="431">
        <v>49028998.344630815</v>
      </c>
      <c r="D16" s="431">
        <v>49374598.344630815</v>
      </c>
      <c r="E16" s="431">
        <v>49802569.930687159</v>
      </c>
      <c r="F16" s="431">
        <v>50071677.130687162</v>
      </c>
      <c r="G16" s="431">
        <v>50368020.401477613</v>
      </c>
      <c r="H16" s="431">
        <v>0.70999999283230864</v>
      </c>
      <c r="I16" s="431">
        <v>0.70999999283230864</v>
      </c>
      <c r="J16" s="431">
        <v>0.70999999283230864</v>
      </c>
      <c r="K16" s="431">
        <v>0.70999999283230864</v>
      </c>
      <c r="L16" s="431">
        <v>0.70999999283230864</v>
      </c>
      <c r="M16" s="431">
        <v>0.70999999283230864</v>
      </c>
      <c r="N16" s="431">
        <v>0.70999999283230864</v>
      </c>
    </row>
    <row r="17" spans="1:15" s="427" customFormat="1">
      <c r="A17" s="433"/>
    </row>
    <row r="18" spans="1:15" s="427" customFormat="1">
      <c r="A18" s="434" t="s">
        <v>304</v>
      </c>
    </row>
    <row r="19" spans="1:15" s="424" customFormat="1">
      <c r="A19" s="423" t="s">
        <v>296</v>
      </c>
    </row>
    <row r="20" spans="1:15" s="424" customFormat="1">
      <c r="A20" s="425" t="s">
        <v>297</v>
      </c>
      <c r="B20" s="435">
        <v>94588168.614324063</v>
      </c>
      <c r="C20" s="435">
        <v>95932502.815345749</v>
      </c>
      <c r="D20" s="435">
        <v>97269786.856563181</v>
      </c>
      <c r="E20" s="435">
        <v>98649532.124220714</v>
      </c>
      <c r="F20" s="435">
        <v>99775621.00211437</v>
      </c>
      <c r="G20" s="435">
        <v>-142586.01543185668</v>
      </c>
      <c r="H20" s="435">
        <v>-165213.37501619797</v>
      </c>
      <c r="I20" s="435">
        <v>-196244.16503439401</v>
      </c>
      <c r="J20" s="435">
        <v>-19941.280000012746</v>
      </c>
      <c r="K20" s="435">
        <v>-19941.280000012746</v>
      </c>
      <c r="L20" s="435">
        <v>-19941.280000012746</v>
      </c>
      <c r="M20" s="435">
        <v>-19941.280000012746</v>
      </c>
      <c r="N20" s="435">
        <v>-19941.280000012746</v>
      </c>
    </row>
    <row r="23" spans="1:15" s="427" customFormat="1">
      <c r="A23" s="436" t="s">
        <v>305</v>
      </c>
    </row>
    <row r="24" spans="1:15" s="424" customFormat="1">
      <c r="A24" s="423" t="s">
        <v>296</v>
      </c>
      <c r="O24" s="427"/>
    </row>
    <row r="25" spans="1:15" s="424" customFormat="1">
      <c r="A25" s="425" t="s">
        <v>297</v>
      </c>
      <c r="B25" s="437">
        <v>100041684.14273262</v>
      </c>
      <c r="C25" s="437">
        <v>40122647.106275506</v>
      </c>
      <c r="D25" s="437">
        <v>33044420.243342746</v>
      </c>
      <c r="E25" s="437">
        <v>2100460.6604738808</v>
      </c>
      <c r="F25" s="437">
        <v>2054287.2198312229</v>
      </c>
      <c r="G25" s="437">
        <v>2051931.8915316723</v>
      </c>
      <c r="H25" s="437">
        <v>2049267.565334311</v>
      </c>
      <c r="I25" s="437">
        <v>2046538.2018779211</v>
      </c>
      <c r="J25" s="437">
        <v>2040570.1665002415</v>
      </c>
      <c r="K25" s="437">
        <v>2033637.7623122518</v>
      </c>
      <c r="L25" s="437">
        <v>2022106.5243600984</v>
      </c>
      <c r="M25" s="437">
        <v>2016200.7711347509</v>
      </c>
      <c r="N25" s="437">
        <v>2010552.1829254862</v>
      </c>
      <c r="O25" s="427"/>
    </row>
    <row r="26" spans="1:15">
      <c r="O26" s="427"/>
    </row>
    <row r="27" spans="1:15">
      <c r="A27" s="425"/>
      <c r="O27" s="427"/>
    </row>
    <row r="28" spans="1:15">
      <c r="A28" s="441" t="s">
        <v>306</v>
      </c>
    </row>
    <row r="30" spans="1:15">
      <c r="A30" s="446" t="s">
        <v>325</v>
      </c>
    </row>
    <row r="31" spans="1:15">
      <c r="A31" s="420" t="s">
        <v>326</v>
      </c>
      <c r="B31" s="427">
        <f t="shared" ref="B31:N31" si="0">B4</f>
        <v>-9.3369365572470997E-9</v>
      </c>
      <c r="C31" s="427">
        <f t="shared" si="0"/>
        <v>-9.5482732831442263E-9</v>
      </c>
      <c r="D31" s="427">
        <f t="shared" si="0"/>
        <v>-9.5482732831442263E-9</v>
      </c>
      <c r="E31" s="427">
        <f t="shared" si="0"/>
        <v>-9.5482732831442263E-9</v>
      </c>
      <c r="F31" s="427">
        <f t="shared" si="0"/>
        <v>-9.5482732831442263E-9</v>
      </c>
      <c r="G31" s="427">
        <f t="shared" si="0"/>
        <v>-9.5482732831442263E-9</v>
      </c>
      <c r="H31" s="427">
        <f t="shared" si="0"/>
        <v>-9.5482732831442263E-9</v>
      </c>
      <c r="I31" s="427">
        <f t="shared" si="0"/>
        <v>-9.5482732831442263E-9</v>
      </c>
      <c r="J31" s="427">
        <f t="shared" si="0"/>
        <v>-9.5482732831442263E-9</v>
      </c>
      <c r="K31" s="427">
        <f t="shared" si="0"/>
        <v>-9.5482732831442263E-9</v>
      </c>
      <c r="L31" s="427">
        <f t="shared" si="0"/>
        <v>-9.5482732831442263E-9</v>
      </c>
      <c r="M31" s="427">
        <f t="shared" si="0"/>
        <v>-9.5482732831442263E-9</v>
      </c>
      <c r="N31" s="427">
        <f t="shared" si="0"/>
        <v>-9.5482732831442263E-9</v>
      </c>
      <c r="O31" s="427"/>
    </row>
    <row r="32" spans="1:15">
      <c r="A32" s="420" t="s">
        <v>327</v>
      </c>
      <c r="B32" s="427">
        <f t="shared" ref="B32:N32" si="1">B8+B16+B12</f>
        <v>144196417.09388614</v>
      </c>
      <c r="C32" s="427">
        <f t="shared" si="1"/>
        <v>153303328.52826381</v>
      </c>
      <c r="D32" s="427">
        <f t="shared" si="1"/>
        <v>161435653.56298304</v>
      </c>
      <c r="E32" s="427">
        <f t="shared" si="1"/>
        <v>171094370.72675213</v>
      </c>
      <c r="F32" s="427">
        <f t="shared" si="1"/>
        <v>181232622.5983392</v>
      </c>
      <c r="G32" s="427">
        <f t="shared" si="1"/>
        <v>191876003.74071503</v>
      </c>
      <c r="H32" s="427">
        <f t="shared" si="1"/>
        <v>55524344.760268912</v>
      </c>
      <c r="I32" s="427">
        <f t="shared" si="1"/>
        <v>60198560.186325334</v>
      </c>
      <c r="J32" s="427">
        <f t="shared" si="1"/>
        <v>64941016.291218705</v>
      </c>
      <c r="K32" s="427">
        <f t="shared" si="1"/>
        <v>68365592.846935987</v>
      </c>
      <c r="L32" s="427">
        <f t="shared" si="1"/>
        <v>48224860.625910319</v>
      </c>
      <c r="M32" s="427">
        <f t="shared" si="1"/>
        <v>50186035.724543586</v>
      </c>
      <c r="N32" s="427">
        <f t="shared" si="1"/>
        <v>60037.528862293824</v>
      </c>
      <c r="O32" s="427"/>
    </row>
    <row r="33" spans="1:15">
      <c r="A33" s="420" t="s">
        <v>328</v>
      </c>
      <c r="B33" s="427">
        <f t="shared" ref="B33:N33" si="2">B20</f>
        <v>94588168.614324063</v>
      </c>
      <c r="C33" s="427">
        <f t="shared" si="2"/>
        <v>95932502.815345749</v>
      </c>
      <c r="D33" s="427">
        <f t="shared" si="2"/>
        <v>97269786.856563181</v>
      </c>
      <c r="E33" s="427">
        <f t="shared" si="2"/>
        <v>98649532.124220714</v>
      </c>
      <c r="F33" s="427">
        <f t="shared" si="2"/>
        <v>99775621.00211437</v>
      </c>
      <c r="G33" s="427">
        <f t="shared" si="2"/>
        <v>-142586.01543185668</v>
      </c>
      <c r="H33" s="427">
        <f t="shared" si="2"/>
        <v>-165213.37501619797</v>
      </c>
      <c r="I33" s="427">
        <f t="shared" si="2"/>
        <v>-196244.16503439401</v>
      </c>
      <c r="J33" s="427">
        <f t="shared" si="2"/>
        <v>-19941.280000012746</v>
      </c>
      <c r="K33" s="427">
        <f t="shared" si="2"/>
        <v>-19941.280000012746</v>
      </c>
      <c r="L33" s="427">
        <f t="shared" si="2"/>
        <v>-19941.280000012746</v>
      </c>
      <c r="M33" s="427">
        <f t="shared" si="2"/>
        <v>-19941.280000012746</v>
      </c>
      <c r="N33" s="427">
        <f t="shared" si="2"/>
        <v>-19941.280000012746</v>
      </c>
      <c r="O33" s="427"/>
    </row>
    <row r="34" spans="1:15">
      <c r="A34" s="420" t="s">
        <v>329</v>
      </c>
      <c r="B34" s="427">
        <f t="shared" ref="B34:N34" si="3">B25</f>
        <v>100041684.14273262</v>
      </c>
      <c r="C34" s="427">
        <f t="shared" si="3"/>
        <v>40122647.106275506</v>
      </c>
      <c r="D34" s="427">
        <f t="shared" si="3"/>
        <v>33044420.243342746</v>
      </c>
      <c r="E34" s="427">
        <f t="shared" si="3"/>
        <v>2100460.6604738808</v>
      </c>
      <c r="F34" s="427">
        <f t="shared" si="3"/>
        <v>2054287.2198312229</v>
      </c>
      <c r="G34" s="427">
        <f t="shared" si="3"/>
        <v>2051931.8915316723</v>
      </c>
      <c r="H34" s="427">
        <f t="shared" si="3"/>
        <v>2049267.565334311</v>
      </c>
      <c r="I34" s="427">
        <f t="shared" si="3"/>
        <v>2046538.2018779211</v>
      </c>
      <c r="J34" s="427">
        <f t="shared" si="3"/>
        <v>2040570.1665002415</v>
      </c>
      <c r="K34" s="427">
        <f t="shared" si="3"/>
        <v>2033637.7623122518</v>
      </c>
      <c r="L34" s="427">
        <f t="shared" si="3"/>
        <v>2022106.5243600984</v>
      </c>
      <c r="M34" s="427">
        <f t="shared" si="3"/>
        <v>2016200.7711347509</v>
      </c>
      <c r="N34" s="427">
        <f t="shared" si="3"/>
        <v>2010552.1829254862</v>
      </c>
      <c r="O34" s="420" t="s">
        <v>307</v>
      </c>
    </row>
    <row r="35" spans="1:15">
      <c r="A35" s="420" t="s">
        <v>330</v>
      </c>
      <c r="B35" s="447">
        <f t="shared" ref="B35:N35" si="4">SUM(B31:B34)</f>
        <v>338826269.85094285</v>
      </c>
      <c r="C35" s="447">
        <f t="shared" si="4"/>
        <v>289358478.44988507</v>
      </c>
      <c r="D35" s="447">
        <f t="shared" si="4"/>
        <v>291749860.66288894</v>
      </c>
      <c r="E35" s="447">
        <f t="shared" si="4"/>
        <v>271844363.51144671</v>
      </c>
      <c r="F35" s="447">
        <f t="shared" si="4"/>
        <v>283062530.82028478</v>
      </c>
      <c r="G35" s="447">
        <f t="shared" si="4"/>
        <v>193785349.61681485</v>
      </c>
      <c r="H35" s="447">
        <f t="shared" si="4"/>
        <v>57408398.950587019</v>
      </c>
      <c r="I35" s="447">
        <f t="shared" si="4"/>
        <v>62048854.223168857</v>
      </c>
      <c r="J35" s="447">
        <f t="shared" si="4"/>
        <v>66961645.177718922</v>
      </c>
      <c r="K35" s="447">
        <f t="shared" si="4"/>
        <v>70379289.329248205</v>
      </c>
      <c r="L35" s="447">
        <f t="shared" si="4"/>
        <v>50227025.870270394</v>
      </c>
      <c r="M35" s="447">
        <f t="shared" si="4"/>
        <v>52182295.215678312</v>
      </c>
      <c r="N35" s="447">
        <f t="shared" si="4"/>
        <v>2050648.4317877577</v>
      </c>
      <c r="O35" s="432">
        <f>(B35+SUM(C35:N35))/13</f>
        <v>156145000.7777479</v>
      </c>
    </row>
    <row r="36" spans="1:15">
      <c r="O36" s="427"/>
    </row>
    <row r="37" spans="1:15">
      <c r="A37" s="448" t="s">
        <v>365</v>
      </c>
    </row>
    <row r="38" spans="1:15">
      <c r="A38" s="448" t="s">
        <v>364</v>
      </c>
    </row>
  </sheetData>
  <phoneticPr fontId="13" type="noConversion"/>
  <pageMargins left="0.75" right="0.75" top="1" bottom="1" header="0.5" footer="0.5"/>
  <pageSetup paperSize="3" scale="9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P98"/>
  <sheetViews>
    <sheetView showGridLines="0" workbookViewId="0">
      <pane xSplit="1" ySplit="1" topLeftCell="C74" activePane="bottomRight" state="frozen"/>
      <selection pane="topRight"/>
      <selection pane="bottomLeft"/>
      <selection pane="bottomRight" activeCell="J108" sqref="J108"/>
    </sheetView>
  </sheetViews>
  <sheetFormatPr defaultColWidth="8" defaultRowHeight="15.75"/>
  <cols>
    <col min="1" max="1" width="42" style="420" customWidth="1"/>
    <col min="2" max="2" width="11.109375" style="420" customWidth="1"/>
    <col min="3" max="15" width="10.21875" style="420" customWidth="1"/>
    <col min="16" max="16" width="3.77734375" style="420" customWidth="1"/>
    <col min="17" max="16384" width="8" style="420"/>
  </cols>
  <sheetData>
    <row r="1" spans="1:16">
      <c r="A1" s="420" t="s">
        <v>364</v>
      </c>
      <c r="B1" s="421">
        <v>41974</v>
      </c>
      <c r="C1" s="421">
        <v>42005</v>
      </c>
      <c r="D1" s="421">
        <v>42036</v>
      </c>
      <c r="E1" s="421">
        <v>42064</v>
      </c>
      <c r="F1" s="421">
        <v>42095</v>
      </c>
      <c r="G1" s="421">
        <v>42125</v>
      </c>
      <c r="H1" s="421">
        <v>42156</v>
      </c>
      <c r="I1" s="421">
        <v>42186</v>
      </c>
      <c r="J1" s="421">
        <v>42217</v>
      </c>
      <c r="K1" s="421">
        <v>42248</v>
      </c>
      <c r="L1" s="421">
        <v>42278</v>
      </c>
      <c r="M1" s="421">
        <v>42309</v>
      </c>
      <c r="N1" s="421">
        <v>42339</v>
      </c>
      <c r="O1" s="421" t="s">
        <v>294</v>
      </c>
      <c r="P1" s="421"/>
    </row>
    <row r="2" spans="1:16">
      <c r="A2" s="422" t="s">
        <v>295</v>
      </c>
    </row>
    <row r="3" spans="1:16" s="424" customFormat="1">
      <c r="A3" s="423" t="s">
        <v>296</v>
      </c>
    </row>
    <row r="4" spans="1:16" s="424" customFormat="1">
      <c r="A4" s="425" t="s">
        <v>297</v>
      </c>
      <c r="B4" s="426">
        <v>-9.3369365572470997E-9</v>
      </c>
      <c r="C4" s="426">
        <v>-9.5482732831442263E-9</v>
      </c>
      <c r="D4" s="426">
        <v>-9.5482732831442263E-9</v>
      </c>
      <c r="E4" s="426">
        <v>-9.5482732831442263E-9</v>
      </c>
      <c r="F4" s="426">
        <v>-9.5482732831442263E-9</v>
      </c>
      <c r="G4" s="426">
        <v>-9.5482732831442263E-9</v>
      </c>
      <c r="H4" s="426">
        <v>-9.5482732831442263E-9</v>
      </c>
      <c r="I4" s="426">
        <v>-9.5482732831442263E-9</v>
      </c>
      <c r="J4" s="426">
        <v>-9.5482732831442263E-9</v>
      </c>
      <c r="K4" s="426">
        <v>-9.5482732831442263E-9</v>
      </c>
      <c r="L4" s="426">
        <v>-9.5482732831442263E-9</v>
      </c>
      <c r="M4" s="426">
        <v>-9.5482732831442263E-9</v>
      </c>
      <c r="N4" s="426">
        <v>-9.5482732831442263E-9</v>
      </c>
      <c r="O4" s="424">
        <f>SUM(B4:N4)/13</f>
        <v>-9.5320166119213709E-9</v>
      </c>
    </row>
    <row r="5" spans="1:16" s="427" customFormat="1">
      <c r="A5" s="425" t="s">
        <v>298</v>
      </c>
      <c r="B5" s="426">
        <v>31885891.719999999</v>
      </c>
      <c r="C5" s="426">
        <v>31885891.719999999</v>
      </c>
      <c r="D5" s="426">
        <v>31885891.719999999</v>
      </c>
      <c r="E5" s="426">
        <v>31885891.719999999</v>
      </c>
      <c r="F5" s="426">
        <v>31885891.719999999</v>
      </c>
      <c r="G5" s="426">
        <v>31885891.719999999</v>
      </c>
      <c r="H5" s="426">
        <v>31885891.719999999</v>
      </c>
      <c r="I5" s="426">
        <v>31885891.719999999</v>
      </c>
      <c r="J5" s="426">
        <v>31885891.719999999</v>
      </c>
      <c r="K5" s="426">
        <v>31885891.719999999</v>
      </c>
      <c r="L5" s="426">
        <v>31885891.719999999</v>
      </c>
      <c r="M5" s="426">
        <v>31885891.719999999</v>
      </c>
      <c r="N5" s="426">
        <v>31885891.719999999</v>
      </c>
      <c r="O5" s="424">
        <f t="shared" ref="O5:O12" si="0">SUM(B5:N5)/13</f>
        <v>31885891.72000001</v>
      </c>
    </row>
    <row r="6" spans="1:16" s="427" customFormat="1">
      <c r="A6" s="425" t="s">
        <v>1128</v>
      </c>
      <c r="B6" s="987">
        <v>-1974013.5766229799</v>
      </c>
      <c r="C6" s="987">
        <v>-1974013.5766229799</v>
      </c>
      <c r="D6" s="987">
        <v>-1974013.5766229799</v>
      </c>
      <c r="E6" s="987">
        <v>-1974013.5766229799</v>
      </c>
      <c r="F6" s="987">
        <v>-1974013.5766229799</v>
      </c>
      <c r="G6" s="987">
        <v>-1974013.5766229799</v>
      </c>
      <c r="H6" s="987">
        <v>-1974013.5766229799</v>
      </c>
      <c r="I6" s="987">
        <v>-1974013.5766229799</v>
      </c>
      <c r="J6" s="987">
        <v>-1974013.5766229799</v>
      </c>
      <c r="K6" s="987">
        <v>-1974013.5766229799</v>
      </c>
      <c r="L6" s="987">
        <v>-1974013.5766229799</v>
      </c>
      <c r="M6" s="987">
        <v>-1974013.5766229799</v>
      </c>
      <c r="N6" s="987">
        <v>-1974013.5766229799</v>
      </c>
      <c r="O6" s="424">
        <f t="shared" si="0"/>
        <v>-1974013.5766229804</v>
      </c>
    </row>
    <row r="7" spans="1:16" s="427" customFormat="1">
      <c r="A7" s="425" t="s">
        <v>398</v>
      </c>
      <c r="B7" s="426">
        <f>B4+B5+B6</f>
        <v>29911878.143377006</v>
      </c>
      <c r="C7" s="426">
        <f t="shared" ref="C7:N7" si="1">C4+C5+C6</f>
        <v>29911878.143377006</v>
      </c>
      <c r="D7" s="426">
        <f t="shared" si="1"/>
        <v>29911878.143377006</v>
      </c>
      <c r="E7" s="426">
        <f t="shared" si="1"/>
        <v>29911878.143377006</v>
      </c>
      <c r="F7" s="426">
        <f t="shared" si="1"/>
        <v>29911878.143377006</v>
      </c>
      <c r="G7" s="426">
        <f t="shared" si="1"/>
        <v>29911878.143377006</v>
      </c>
      <c r="H7" s="426">
        <f t="shared" si="1"/>
        <v>29911878.143377006</v>
      </c>
      <c r="I7" s="426">
        <f t="shared" si="1"/>
        <v>29911878.143377006</v>
      </c>
      <c r="J7" s="426">
        <f t="shared" si="1"/>
        <v>29911878.143377006</v>
      </c>
      <c r="K7" s="426">
        <f t="shared" si="1"/>
        <v>29911878.143377006</v>
      </c>
      <c r="L7" s="426">
        <f t="shared" si="1"/>
        <v>29911878.143377006</v>
      </c>
      <c r="M7" s="426">
        <f t="shared" si="1"/>
        <v>29911878.143377006</v>
      </c>
      <c r="N7" s="426">
        <f t="shared" si="1"/>
        <v>29911878.143377006</v>
      </c>
      <c r="O7" s="424">
        <f t="shared" si="0"/>
        <v>29911878.143377006</v>
      </c>
    </row>
    <row r="8" spans="1:16" s="427" customFormat="1">
      <c r="A8" s="425"/>
      <c r="B8" s="426"/>
      <c r="C8" s="426"/>
      <c r="D8" s="426"/>
      <c r="E8" s="426"/>
      <c r="F8" s="426"/>
      <c r="G8" s="426"/>
      <c r="H8" s="426"/>
      <c r="I8" s="426"/>
      <c r="J8" s="426"/>
      <c r="K8" s="426"/>
      <c r="L8" s="426"/>
      <c r="M8" s="426"/>
      <c r="N8" s="426"/>
      <c r="O8" s="424">
        <f t="shared" si="0"/>
        <v>0</v>
      </c>
    </row>
    <row r="9" spans="1:16" s="427" customFormat="1">
      <c r="A9" s="425" t="s">
        <v>299</v>
      </c>
      <c r="B9" s="426">
        <v>1423067.3906776283</v>
      </c>
      <c r="C9" s="426">
        <v>1475570.3776557157</v>
      </c>
      <c r="D9" s="426">
        <v>1528073.364633803</v>
      </c>
      <c r="E9" s="426">
        <v>1580576.3516118904</v>
      </c>
      <c r="F9" s="426">
        <v>1633079.3385899777</v>
      </c>
      <c r="G9" s="426">
        <v>1685582.325568065</v>
      </c>
      <c r="H9" s="426">
        <v>1738085.3125461524</v>
      </c>
      <c r="I9" s="426">
        <v>1790588.2995242397</v>
      </c>
      <c r="J9" s="426">
        <v>1843091.2865023271</v>
      </c>
      <c r="K9" s="426">
        <v>1895594.2734804144</v>
      </c>
      <c r="L9" s="426">
        <v>1948097.2604585018</v>
      </c>
      <c r="M9" s="426">
        <v>2000600.2474365891</v>
      </c>
      <c r="N9" s="426">
        <v>2053103.2344146764</v>
      </c>
      <c r="O9" s="424">
        <f t="shared" si="0"/>
        <v>1738085.3125461529</v>
      </c>
    </row>
    <row r="10" spans="1:16" s="427" customFormat="1">
      <c r="A10" s="425" t="s">
        <v>1129</v>
      </c>
      <c r="B10" s="987">
        <v>-78654.806980003224</v>
      </c>
      <c r="C10" s="987">
        <v>-81265.936980003229</v>
      </c>
      <c r="D10" s="987">
        <v>-83877.066980003234</v>
      </c>
      <c r="E10" s="987">
        <v>-86488.196980003238</v>
      </c>
      <c r="F10" s="987">
        <v>-89099.326980003243</v>
      </c>
      <c r="G10" s="987">
        <v>-91710.456980003248</v>
      </c>
      <c r="H10" s="987">
        <v>-94321.586980003252</v>
      </c>
      <c r="I10" s="987">
        <v>-96932.716980003257</v>
      </c>
      <c r="J10" s="987">
        <v>-99543.846980003262</v>
      </c>
      <c r="K10" s="987">
        <v>-102154.97698000327</v>
      </c>
      <c r="L10" s="987">
        <v>-104766.10698000327</v>
      </c>
      <c r="M10" s="987">
        <v>-107377.23698000328</v>
      </c>
      <c r="N10" s="987">
        <v>-109988.36698000328</v>
      </c>
      <c r="O10" s="424">
        <f t="shared" si="0"/>
        <v>-94321.586980003252</v>
      </c>
    </row>
    <row r="11" spans="1:16" s="427" customFormat="1">
      <c r="A11" s="425" t="s">
        <v>1130</v>
      </c>
      <c r="B11" s="426">
        <f>B9+B10</f>
        <v>1344412.5836976252</v>
      </c>
      <c r="C11" s="426">
        <f t="shared" ref="C11:N11" si="2">C9+C10</f>
        <v>1394304.4406757124</v>
      </c>
      <c r="D11" s="426">
        <f t="shared" si="2"/>
        <v>1444196.2976537999</v>
      </c>
      <c r="E11" s="426">
        <f t="shared" si="2"/>
        <v>1494088.1546318871</v>
      </c>
      <c r="F11" s="426">
        <f t="shared" si="2"/>
        <v>1543980.0116099746</v>
      </c>
      <c r="G11" s="426">
        <f t="shared" si="2"/>
        <v>1593871.8685880618</v>
      </c>
      <c r="H11" s="426">
        <f t="shared" si="2"/>
        <v>1643763.7255661492</v>
      </c>
      <c r="I11" s="426">
        <f t="shared" si="2"/>
        <v>1693655.5825442364</v>
      </c>
      <c r="J11" s="426">
        <f t="shared" si="2"/>
        <v>1743547.4395223239</v>
      </c>
      <c r="K11" s="426">
        <f t="shared" si="2"/>
        <v>1793439.2965004111</v>
      </c>
      <c r="L11" s="426">
        <f t="shared" si="2"/>
        <v>1843331.1534784986</v>
      </c>
      <c r="M11" s="426">
        <f t="shared" si="2"/>
        <v>1893223.0104565858</v>
      </c>
      <c r="N11" s="426">
        <f t="shared" si="2"/>
        <v>1943114.8674346732</v>
      </c>
      <c r="O11" s="424">
        <f t="shared" si="0"/>
        <v>1643763.7255661488</v>
      </c>
    </row>
    <row r="12" spans="1:16" s="427" customFormat="1">
      <c r="A12" s="425"/>
      <c r="B12" s="424">
        <f>B7-B11</f>
        <v>28567465.559679382</v>
      </c>
      <c r="C12" s="424">
        <f t="shared" ref="C12:N12" si="3">C7-C11</f>
        <v>28517573.702701293</v>
      </c>
      <c r="D12" s="424">
        <f t="shared" si="3"/>
        <v>28467681.845723204</v>
      </c>
      <c r="E12" s="424">
        <f t="shared" si="3"/>
        <v>28417789.988745119</v>
      </c>
      <c r="F12" s="424">
        <f t="shared" si="3"/>
        <v>28367898.131767031</v>
      </c>
      <c r="G12" s="424">
        <f t="shared" si="3"/>
        <v>28318006.274788946</v>
      </c>
      <c r="H12" s="424">
        <f t="shared" si="3"/>
        <v>28268114.417810857</v>
      </c>
      <c r="I12" s="424">
        <f t="shared" si="3"/>
        <v>28218222.560832769</v>
      </c>
      <c r="J12" s="424">
        <f t="shared" si="3"/>
        <v>28168330.703854684</v>
      </c>
      <c r="K12" s="424">
        <f t="shared" si="3"/>
        <v>28118438.846876595</v>
      </c>
      <c r="L12" s="424">
        <f t="shared" si="3"/>
        <v>28068546.989898507</v>
      </c>
      <c r="M12" s="424">
        <f t="shared" si="3"/>
        <v>28018655.132920422</v>
      </c>
      <c r="N12" s="424">
        <f t="shared" si="3"/>
        <v>27968763.275942333</v>
      </c>
      <c r="O12" s="424">
        <f t="shared" si="0"/>
        <v>28268114.417810857</v>
      </c>
    </row>
    <row r="13" spans="1:16" s="427" customFormat="1" ht="8.25" customHeight="1">
      <c r="A13" s="428"/>
      <c r="B13" s="424"/>
      <c r="C13" s="424"/>
      <c r="D13" s="424"/>
      <c r="E13" s="424"/>
      <c r="F13" s="424"/>
      <c r="G13" s="424"/>
      <c r="H13" s="424"/>
      <c r="I13" s="424"/>
      <c r="J13" s="424"/>
      <c r="K13" s="424"/>
      <c r="L13" s="424"/>
      <c r="M13" s="424"/>
      <c r="N13" s="424"/>
    </row>
    <row r="14" spans="1:16" s="427" customFormat="1">
      <c r="A14" s="425" t="s">
        <v>300</v>
      </c>
      <c r="B14" s="426"/>
      <c r="C14" s="426">
        <v>52502.986978087349</v>
      </c>
      <c r="D14" s="426">
        <v>52502.986978087349</v>
      </c>
      <c r="E14" s="426">
        <v>52502.986978087349</v>
      </c>
      <c r="F14" s="426">
        <v>52502.986978087349</v>
      </c>
      <c r="G14" s="426">
        <v>52502.986978087349</v>
      </c>
      <c r="H14" s="426">
        <v>52502.986978087349</v>
      </c>
      <c r="I14" s="426">
        <v>52502.986978087349</v>
      </c>
      <c r="J14" s="426">
        <v>52502.986978087349</v>
      </c>
      <c r="K14" s="426">
        <v>52502.986978087349</v>
      </c>
      <c r="L14" s="426">
        <v>52502.986978087349</v>
      </c>
      <c r="M14" s="426">
        <v>52502.986978087349</v>
      </c>
      <c r="N14" s="426">
        <v>52502.986978087349</v>
      </c>
      <c r="O14" s="432">
        <f>SUM(C14:N14)</f>
        <v>630035.84373704821</v>
      </c>
    </row>
    <row r="15" spans="1:16" s="427" customFormat="1">
      <c r="A15" s="986" t="s">
        <v>147</v>
      </c>
      <c r="B15" s="426"/>
      <c r="C15" s="426">
        <v>-2611.13</v>
      </c>
      <c r="D15" s="426">
        <v>-2611.13</v>
      </c>
      <c r="E15" s="426">
        <v>-2611.13</v>
      </c>
      <c r="F15" s="426">
        <v>-2611.13</v>
      </c>
      <c r="G15" s="426">
        <v>-2611.13</v>
      </c>
      <c r="H15" s="426">
        <v>-2611.13</v>
      </c>
      <c r="I15" s="426">
        <v>-2611.13</v>
      </c>
      <c r="J15" s="426">
        <v>-2611.13</v>
      </c>
      <c r="K15" s="426">
        <v>-2611.13</v>
      </c>
      <c r="L15" s="426">
        <v>-2611.13</v>
      </c>
      <c r="M15" s="426">
        <v>-2611.13</v>
      </c>
      <c r="N15" s="426">
        <v>-2611.13</v>
      </c>
      <c r="O15" s="432">
        <f t="shared" ref="O15" si="4">SUM(C15:N15)</f>
        <v>-31333.560000000009</v>
      </c>
    </row>
    <row r="16" spans="1:16" s="427" customFormat="1">
      <c r="O16" s="429">
        <f>O14+O15</f>
        <v>598702.28373704816</v>
      </c>
    </row>
    <row r="17" spans="1:15" s="427" customFormat="1">
      <c r="A17" s="430" t="s">
        <v>301</v>
      </c>
    </row>
    <row r="18" spans="1:15" s="424" customFormat="1">
      <c r="A18" s="423" t="s">
        <v>296</v>
      </c>
    </row>
    <row r="19" spans="1:15" s="424" customFormat="1">
      <c r="A19" s="425" t="s">
        <v>297</v>
      </c>
      <c r="B19" s="431">
        <v>86314432.630419657</v>
      </c>
      <c r="C19" s="431">
        <v>93398586.881351501</v>
      </c>
      <c r="D19" s="431">
        <v>97995279.688249946</v>
      </c>
      <c r="E19" s="431">
        <v>102428787.35755453</v>
      </c>
      <c r="F19" s="431">
        <v>106976493.03525966</v>
      </c>
      <c r="G19" s="431">
        <v>111741029.72563097</v>
      </c>
      <c r="H19" s="431">
        <v>21014914.402470935</v>
      </c>
      <c r="I19" s="431">
        <v>21511023.145065024</v>
      </c>
      <c r="J19" s="431">
        <v>21809880.433689296</v>
      </c>
      <c r="K19" s="431">
        <v>22179319.372526683</v>
      </c>
      <c r="L19" s="431">
        <v>2201.2180834595347</v>
      </c>
      <c r="M19" s="431">
        <v>1.178705133497715E-9</v>
      </c>
      <c r="N19" s="431">
        <v>1.178705133497715E-9</v>
      </c>
    </row>
    <row r="20" spans="1:15" s="427" customFormat="1">
      <c r="A20" s="425" t="s">
        <v>298</v>
      </c>
      <c r="B20" s="431">
        <v>7619634.0795803461</v>
      </c>
      <c r="C20" s="431">
        <v>7655921.8286485001</v>
      </c>
      <c r="D20" s="431">
        <v>7822081.5217500487</v>
      </c>
      <c r="E20" s="431">
        <v>8010204.8524454795</v>
      </c>
      <c r="F20" s="431">
        <v>8013069.674740334</v>
      </c>
      <c r="G20" s="431">
        <v>8154414.9793690331</v>
      </c>
      <c r="H20" s="431">
        <v>103550734.30252907</v>
      </c>
      <c r="I20" s="431">
        <v>108211459.05993497</v>
      </c>
      <c r="J20" s="431">
        <v>111855110.2713107</v>
      </c>
      <c r="K20" s="431">
        <v>112313211.33247332</v>
      </c>
      <c r="L20" s="431">
        <v>135048918.98691654</v>
      </c>
      <c r="M20" s="431">
        <v>135148266.20499998</v>
      </c>
      <c r="N20" s="431">
        <v>135148266.20499998</v>
      </c>
      <c r="O20" s="424"/>
    </row>
    <row r="21" spans="1:15" s="427" customFormat="1">
      <c r="A21" s="425" t="s">
        <v>299</v>
      </c>
      <c r="B21" s="431">
        <v>362.93411614468363</v>
      </c>
      <c r="C21" s="431">
        <v>1088.7765987620417</v>
      </c>
      <c r="D21" s="431">
        <v>1814.6190813793996</v>
      </c>
      <c r="E21" s="431">
        <v>2540.4615639967578</v>
      </c>
      <c r="F21" s="431">
        <v>3266.304046614116</v>
      </c>
      <c r="G21" s="431">
        <v>4104.0790928798133</v>
      </c>
      <c r="H21" s="431">
        <v>88586.756417483368</v>
      </c>
      <c r="I21" s="431">
        <v>260471.15504356983</v>
      </c>
      <c r="J21" s="431">
        <v>439414.83722298901</v>
      </c>
      <c r="K21" s="431">
        <v>621950.18363840901</v>
      </c>
      <c r="L21" s="431">
        <v>823289.94274743623</v>
      </c>
      <c r="M21" s="431">
        <v>1043119.9748209742</v>
      </c>
      <c r="N21" s="431">
        <v>1263036.9994348774</v>
      </c>
      <c r="O21" s="424"/>
    </row>
    <row r="22" spans="1:15" s="427" customFormat="1" ht="8.25" customHeight="1">
      <c r="A22" s="428"/>
      <c r="B22" s="424"/>
      <c r="C22" s="424"/>
      <c r="D22" s="424"/>
      <c r="E22" s="424"/>
      <c r="F22" s="424"/>
      <c r="G22" s="424"/>
      <c r="H22" s="424"/>
      <c r="I22" s="424"/>
      <c r="J22" s="424"/>
      <c r="K22" s="424"/>
      <c r="L22" s="424"/>
      <c r="M22" s="424"/>
      <c r="N22" s="424"/>
    </row>
    <row r="23" spans="1:15" s="427" customFormat="1">
      <c r="A23" s="425" t="s">
        <v>300</v>
      </c>
      <c r="B23" s="431"/>
      <c r="C23" s="431">
        <v>725.84248261735809</v>
      </c>
      <c r="D23" s="431">
        <v>725.84248261735809</v>
      </c>
      <c r="E23" s="431">
        <v>725.84248261735809</v>
      </c>
      <c r="F23" s="431">
        <v>725.84248261735809</v>
      </c>
      <c r="G23" s="431">
        <v>837.77504626569737</v>
      </c>
      <c r="H23" s="431">
        <v>84482.677324603559</v>
      </c>
      <c r="I23" s="431">
        <v>171884.39862608645</v>
      </c>
      <c r="J23" s="431">
        <v>178943.68217941921</v>
      </c>
      <c r="K23" s="431">
        <v>182535.34641542</v>
      </c>
      <c r="L23" s="431">
        <v>201339.75910902719</v>
      </c>
      <c r="M23" s="431">
        <v>219830.03207353805</v>
      </c>
      <c r="N23" s="431">
        <v>219917.0246139032</v>
      </c>
      <c r="O23" s="432">
        <f>SUM(C23:N23)</f>
        <v>1262674.0653187328</v>
      </c>
    </row>
    <row r="24" spans="1:15" s="427" customFormat="1"/>
    <row r="25" spans="1:15" s="427" customFormat="1">
      <c r="A25" s="430" t="s">
        <v>303</v>
      </c>
    </row>
    <row r="26" spans="1:15" s="424" customFormat="1">
      <c r="A26" s="423" t="s">
        <v>296</v>
      </c>
    </row>
    <row r="27" spans="1:15" s="424" customFormat="1">
      <c r="A27" s="425" t="s">
        <v>297</v>
      </c>
      <c r="B27" s="431">
        <v>48576416.854187556</v>
      </c>
      <c r="C27" s="431">
        <v>49028998.344630815</v>
      </c>
      <c r="D27" s="431">
        <v>49374598.344630815</v>
      </c>
      <c r="E27" s="431">
        <v>49802569.930687159</v>
      </c>
      <c r="F27" s="431">
        <v>50071677.130687162</v>
      </c>
      <c r="G27" s="431">
        <v>50368020.401477613</v>
      </c>
      <c r="H27" s="431">
        <v>0.70999999283230864</v>
      </c>
      <c r="I27" s="431">
        <v>0.70999999283230864</v>
      </c>
      <c r="J27" s="431">
        <v>0.70999999283230864</v>
      </c>
      <c r="K27" s="431">
        <v>0.70999999283230864</v>
      </c>
      <c r="L27" s="431">
        <v>0.70999999283230864</v>
      </c>
      <c r="M27" s="431">
        <v>0.70999999283230864</v>
      </c>
      <c r="N27" s="431">
        <v>0.70999999283230864</v>
      </c>
    </row>
    <row r="28" spans="1:15" s="427" customFormat="1">
      <c r="A28" s="425" t="s">
        <v>298</v>
      </c>
      <c r="B28" s="431">
        <v>29957699.331812434</v>
      </c>
      <c r="C28" s="431">
        <v>30153002.641369175</v>
      </c>
      <c r="D28" s="431">
        <v>30153002.641369175</v>
      </c>
      <c r="E28" s="431">
        <v>30253107.855312832</v>
      </c>
      <c r="F28" s="431">
        <v>30253107.855312832</v>
      </c>
      <c r="G28" s="431">
        <v>30169654.184522383</v>
      </c>
      <c r="H28" s="431">
        <v>80538595.476000011</v>
      </c>
      <c r="I28" s="431">
        <v>80538595.476000011</v>
      </c>
      <c r="J28" s="431">
        <v>80538595.476000011</v>
      </c>
      <c r="K28" s="431">
        <v>80538595.476000011</v>
      </c>
      <c r="L28" s="431">
        <v>80538595.476000011</v>
      </c>
      <c r="M28" s="431">
        <v>80538595.476000011</v>
      </c>
      <c r="N28" s="431">
        <v>80538595.476000011</v>
      </c>
      <c r="O28" s="424"/>
    </row>
    <row r="29" spans="1:15" s="427" customFormat="1">
      <c r="A29" s="425" t="s">
        <v>299</v>
      </c>
      <c r="B29" s="431">
        <v>320278.17386630015</v>
      </c>
      <c r="C29" s="431">
        <v>361982.5821330091</v>
      </c>
      <c r="D29" s="431">
        <v>403686.99039971811</v>
      </c>
      <c r="E29" s="431">
        <v>445391.39866642712</v>
      </c>
      <c r="F29" s="431">
        <v>487095.80693313607</v>
      </c>
      <c r="G29" s="431">
        <v>528800.21519984503</v>
      </c>
      <c r="H29" s="431">
        <v>614609.75537640206</v>
      </c>
      <c r="I29" s="431">
        <v>744524.42746280739</v>
      </c>
      <c r="J29" s="431">
        <v>874439.09954921273</v>
      </c>
      <c r="K29" s="431">
        <v>1004353.7716356182</v>
      </c>
      <c r="L29" s="431">
        <v>1134268.4437220236</v>
      </c>
      <c r="M29" s="431">
        <v>1264183.115808429</v>
      </c>
      <c r="N29" s="431">
        <v>1394097.7878948343</v>
      </c>
      <c r="O29" s="424"/>
    </row>
    <row r="30" spans="1:15" s="427" customFormat="1" ht="8.25" customHeight="1">
      <c r="A30" s="428"/>
      <c r="B30" s="424"/>
    </row>
    <row r="31" spans="1:15" s="427" customFormat="1">
      <c r="A31" s="425" t="s">
        <v>300</v>
      </c>
      <c r="B31" s="431"/>
      <c r="C31" s="431">
        <v>41704.408266708968</v>
      </c>
      <c r="D31" s="431">
        <v>41704.408266708968</v>
      </c>
      <c r="E31" s="431">
        <v>41704.408266708968</v>
      </c>
      <c r="F31" s="431">
        <v>41704.408266708968</v>
      </c>
      <c r="G31" s="431">
        <v>41704.408266708968</v>
      </c>
      <c r="H31" s="431">
        <v>85809.540176557159</v>
      </c>
      <c r="I31" s="431">
        <v>129914.67208640536</v>
      </c>
      <c r="J31" s="431">
        <v>129914.67208640536</v>
      </c>
      <c r="K31" s="431">
        <v>129914.67208640536</v>
      </c>
      <c r="L31" s="431">
        <v>129914.67208640536</v>
      </c>
      <c r="M31" s="431">
        <v>129914.67208640536</v>
      </c>
      <c r="N31" s="431">
        <v>129914.67208640536</v>
      </c>
      <c r="O31" s="432">
        <f>SUM(C31:N31)</f>
        <v>1073819.6140285342</v>
      </c>
    </row>
    <row r="32" spans="1:15" s="427" customFormat="1">
      <c r="A32" s="433"/>
    </row>
    <row r="33" spans="1:15" s="427" customFormat="1">
      <c r="A33" s="988" t="s">
        <v>1131</v>
      </c>
    </row>
    <row r="34" spans="1:15" s="427" customFormat="1">
      <c r="A34" s="425" t="s">
        <v>298</v>
      </c>
      <c r="B34" s="431">
        <v>-1879654.1785287813</v>
      </c>
      <c r="C34" s="431">
        <v>-1879654.1785287813</v>
      </c>
      <c r="D34" s="431">
        <v>-1879654.1785287813</v>
      </c>
      <c r="E34" s="431">
        <v>-1879654.1785287813</v>
      </c>
      <c r="F34" s="431">
        <v>-1879654.1785287813</v>
      </c>
      <c r="G34" s="431">
        <v>-1879654.1785287813</v>
      </c>
      <c r="H34" s="431">
        <v>-9621412.4530191198</v>
      </c>
      <c r="I34" s="431">
        <v>-9621412.4530191198</v>
      </c>
      <c r="J34" s="431">
        <v>-9621412.4530191198</v>
      </c>
      <c r="K34" s="431">
        <v>-9621412.4530191198</v>
      </c>
      <c r="L34" s="431">
        <v>-9621412.4530191198</v>
      </c>
      <c r="M34" s="431">
        <v>-9621412.4530191198</v>
      </c>
      <c r="N34" s="431">
        <v>-9621412.4530191198</v>
      </c>
      <c r="O34" s="424">
        <f t="shared" ref="O34" si="5">SUM(B34:N34)/13</f>
        <v>-6048293.2494081948</v>
      </c>
    </row>
    <row r="35" spans="1:15" s="427" customFormat="1">
      <c r="A35" s="425" t="s">
        <v>299</v>
      </c>
      <c r="B35" s="431">
        <v>-19527.369999999995</v>
      </c>
      <c r="C35" s="431">
        <v>-22131.149999999994</v>
      </c>
      <c r="D35" s="431">
        <v>-24734.929999999993</v>
      </c>
      <c r="E35" s="431">
        <v>-27338.709999999992</v>
      </c>
      <c r="F35" s="431">
        <v>-29942.489999999991</v>
      </c>
      <c r="G35" s="431">
        <v>-32546.269999999993</v>
      </c>
      <c r="H35" s="431">
        <v>-40270.26999999999</v>
      </c>
      <c r="I35" s="431">
        <v>-53114.479999999996</v>
      </c>
      <c r="J35" s="431">
        <v>-65958.69</v>
      </c>
      <c r="K35" s="431">
        <v>-78802.899999999994</v>
      </c>
      <c r="L35" s="431">
        <v>-91647.11</v>
      </c>
      <c r="M35" s="431">
        <v>-104491.31999999999</v>
      </c>
      <c r="N35" s="431">
        <v>-117335.53</v>
      </c>
    </row>
    <row r="36" spans="1:15" s="427" customFormat="1">
      <c r="A36" s="425"/>
    </row>
    <row r="37" spans="1:15" s="427" customFormat="1">
      <c r="A37" s="986" t="s">
        <v>1133</v>
      </c>
      <c r="B37" s="427">
        <f>B21+B29+B35</f>
        <v>301113.73798244481</v>
      </c>
      <c r="C37" s="427">
        <f t="shared" ref="C37:N37" si="6">C21+C29+C35</f>
        <v>340940.2087317711</v>
      </c>
      <c r="D37" s="427">
        <f t="shared" si="6"/>
        <v>380766.6794810975</v>
      </c>
      <c r="E37" s="427">
        <f t="shared" si="6"/>
        <v>420593.1502304239</v>
      </c>
      <c r="F37" s="427">
        <f t="shared" si="6"/>
        <v>460419.62097975018</v>
      </c>
      <c r="G37" s="427">
        <f t="shared" si="6"/>
        <v>500358.02429272479</v>
      </c>
      <c r="H37" s="427">
        <f t="shared" si="6"/>
        <v>662926.24179388536</v>
      </c>
      <c r="I37" s="427">
        <f t="shared" si="6"/>
        <v>951881.10250637727</v>
      </c>
      <c r="J37" s="427">
        <f t="shared" si="6"/>
        <v>1247895.2467722017</v>
      </c>
      <c r="K37" s="427">
        <f t="shared" si="6"/>
        <v>1547501.0552740274</v>
      </c>
      <c r="L37" s="427">
        <f t="shared" si="6"/>
        <v>1865911.2764694598</v>
      </c>
      <c r="M37" s="427">
        <f t="shared" si="6"/>
        <v>2202811.7706294032</v>
      </c>
      <c r="N37" s="427">
        <f t="shared" si="6"/>
        <v>2539799.2573297122</v>
      </c>
    </row>
    <row r="38" spans="1:15" s="427" customFormat="1">
      <c r="A38" s="425"/>
    </row>
    <row r="39" spans="1:15" s="427" customFormat="1">
      <c r="A39" s="986" t="s">
        <v>147</v>
      </c>
      <c r="B39" s="431"/>
      <c r="C39" s="431">
        <v>-2603.7799999999997</v>
      </c>
      <c r="D39" s="431">
        <v>-2603.7799999999997</v>
      </c>
      <c r="E39" s="431">
        <v>-2603.7799999999997</v>
      </c>
      <c r="F39" s="431">
        <v>-2603.7799999999997</v>
      </c>
      <c r="G39" s="431">
        <v>-2603.7799999999997</v>
      </c>
      <c r="H39" s="431">
        <v>-7724</v>
      </c>
      <c r="I39" s="431">
        <v>-12844.21</v>
      </c>
      <c r="J39" s="431">
        <v>-12844.21</v>
      </c>
      <c r="K39" s="431">
        <v>-12844.21</v>
      </c>
      <c r="L39" s="431">
        <v>-12844.21</v>
      </c>
      <c r="M39" s="431">
        <v>-12844.21</v>
      </c>
      <c r="N39" s="431">
        <v>-12844.21</v>
      </c>
      <c r="O39" s="432">
        <f>SUM(C39:N39)</f>
        <v>-97808.159999999974</v>
      </c>
    </row>
    <row r="40" spans="1:15" s="427" customFormat="1">
      <c r="A40" s="433"/>
      <c r="B40" s="433"/>
      <c r="C40" s="433"/>
      <c r="D40" s="433"/>
      <c r="E40" s="433"/>
      <c r="F40" s="433"/>
      <c r="G40" s="433"/>
      <c r="H40" s="433"/>
      <c r="I40" s="433"/>
      <c r="J40" s="433"/>
      <c r="K40" s="433"/>
      <c r="L40" s="433"/>
      <c r="M40" s="433"/>
      <c r="N40" s="433"/>
    </row>
    <row r="41" spans="1:15" s="427" customFormat="1">
      <c r="A41" s="425" t="s">
        <v>1132</v>
      </c>
      <c r="C41" s="427">
        <f t="shared" ref="C41:N41" si="7">C23+C31+C39</f>
        <v>39826.470749326327</v>
      </c>
      <c r="D41" s="427">
        <f t="shared" si="7"/>
        <v>39826.470749326327</v>
      </c>
      <c r="E41" s="427">
        <f t="shared" si="7"/>
        <v>39826.470749326327</v>
      </c>
      <c r="F41" s="427">
        <f t="shared" si="7"/>
        <v>39826.470749326327</v>
      </c>
      <c r="G41" s="427">
        <f t="shared" si="7"/>
        <v>39938.403312974668</v>
      </c>
      <c r="H41" s="427">
        <f t="shared" si="7"/>
        <v>162568.21750116072</v>
      </c>
      <c r="I41" s="427">
        <f t="shared" si="7"/>
        <v>288954.86071249179</v>
      </c>
      <c r="J41" s="427">
        <f t="shared" si="7"/>
        <v>296014.14426582452</v>
      </c>
      <c r="K41" s="427">
        <f t="shared" si="7"/>
        <v>299605.80850182538</v>
      </c>
      <c r="L41" s="427">
        <f t="shared" si="7"/>
        <v>318410.22119543253</v>
      </c>
      <c r="M41" s="427">
        <f t="shared" si="7"/>
        <v>336900.49415994337</v>
      </c>
      <c r="N41" s="427">
        <f t="shared" si="7"/>
        <v>336987.48670030857</v>
      </c>
      <c r="O41" s="429">
        <f>SUM(C41:N41)</f>
        <v>2238685.5193472672</v>
      </c>
    </row>
    <row r="42" spans="1:15" s="427" customFormat="1">
      <c r="A42" s="433"/>
      <c r="O42" s="427" t="s">
        <v>302</v>
      </c>
    </row>
    <row r="43" spans="1:15" s="427" customFormat="1">
      <c r="A43" s="434" t="s">
        <v>304</v>
      </c>
    </row>
    <row r="44" spans="1:15" s="424" customFormat="1">
      <c r="A44" s="423" t="s">
        <v>296</v>
      </c>
    </row>
    <row r="45" spans="1:15" s="424" customFormat="1">
      <c r="A45" s="425" t="s">
        <v>297</v>
      </c>
      <c r="B45" s="435">
        <v>94588168.614324063</v>
      </c>
      <c r="C45" s="435">
        <v>95932502.815345749</v>
      </c>
      <c r="D45" s="435">
        <v>97269786.856563181</v>
      </c>
      <c r="E45" s="435">
        <v>98649532.124220714</v>
      </c>
      <c r="F45" s="435">
        <v>99775621.00211437</v>
      </c>
      <c r="G45" s="435">
        <v>-142586.01543185668</v>
      </c>
      <c r="H45" s="435">
        <v>-165213.37501619797</v>
      </c>
      <c r="I45" s="435">
        <v>-196244.16503439401</v>
      </c>
      <c r="J45" s="435">
        <v>-19941.280000012746</v>
      </c>
      <c r="K45" s="435">
        <v>-19941.280000012746</v>
      </c>
      <c r="L45" s="435">
        <v>-19941.280000012746</v>
      </c>
      <c r="M45" s="435">
        <v>-19941.280000012746</v>
      </c>
      <c r="N45" s="435">
        <v>-19941.280000012746</v>
      </c>
    </row>
    <row r="46" spans="1:15" s="427" customFormat="1">
      <c r="A46" s="425" t="s">
        <v>298</v>
      </c>
      <c r="B46" s="435">
        <v>109106201.32667594</v>
      </c>
      <c r="C46" s="435">
        <v>109205761.75215426</v>
      </c>
      <c r="D46" s="435">
        <v>109093915.22843683</v>
      </c>
      <c r="E46" s="435">
        <v>109861725.61477928</v>
      </c>
      <c r="F46" s="435">
        <v>109956640.36838564</v>
      </c>
      <c r="G46" s="435">
        <v>210671000.70793185</v>
      </c>
      <c r="H46" s="435">
        <v>211269227.00701618</v>
      </c>
      <c r="I46" s="435">
        <v>211849781.01453438</v>
      </c>
      <c r="J46" s="435">
        <v>212028665.94049999</v>
      </c>
      <c r="K46" s="435">
        <v>212028665.94049999</v>
      </c>
      <c r="L46" s="435">
        <v>212028665.94049999</v>
      </c>
      <c r="M46" s="435">
        <v>212028665.94049999</v>
      </c>
      <c r="N46" s="435">
        <v>212028665.94049999</v>
      </c>
      <c r="O46" s="424"/>
    </row>
    <row r="47" spans="1:15" s="427" customFormat="1">
      <c r="A47" s="425" t="s">
        <v>1128</v>
      </c>
      <c r="B47" s="435">
        <v>-6424472.023214004</v>
      </c>
      <c r="C47" s="435">
        <v>-6424472.023214004</v>
      </c>
      <c r="D47" s="435">
        <v>-6424472.023214004</v>
      </c>
      <c r="E47" s="435">
        <v>-6424472.023214004</v>
      </c>
      <c r="F47" s="435">
        <v>-6424472.023214004</v>
      </c>
      <c r="G47" s="435">
        <v>-18645774.684985835</v>
      </c>
      <c r="H47" s="435">
        <v>-18645774.684985835</v>
      </c>
      <c r="I47" s="435">
        <v>-18645774.684985835</v>
      </c>
      <c r="J47" s="435">
        <v>-18645774.684985835</v>
      </c>
      <c r="K47" s="435">
        <v>-18645774.684985835</v>
      </c>
      <c r="L47" s="435">
        <v>-18645774.684985835</v>
      </c>
      <c r="M47" s="435">
        <v>-18645774.684985835</v>
      </c>
      <c r="N47" s="435">
        <v>-18645774.684985835</v>
      </c>
      <c r="O47" s="424">
        <f t="shared" ref="O47" si="8">SUM(B47:N47)/13</f>
        <v>-13945273.661227439</v>
      </c>
    </row>
    <row r="48" spans="1:15" s="427" customFormat="1">
      <c r="A48" s="425" t="s">
        <v>398</v>
      </c>
      <c r="B48" s="435">
        <f>B45+B46+B47</f>
        <v>197269897.91778597</v>
      </c>
      <c r="C48" s="435">
        <f t="shared" ref="C48:N48" si="9">C45+C46+C47</f>
        <v>198713792.54428598</v>
      </c>
      <c r="D48" s="435">
        <f t="shared" si="9"/>
        <v>199939230.061786</v>
      </c>
      <c r="E48" s="435">
        <f t="shared" si="9"/>
        <v>202086785.71578598</v>
      </c>
      <c r="F48" s="435">
        <f t="shared" si="9"/>
        <v>203307789.34728602</v>
      </c>
      <c r="G48" s="435">
        <f t="shared" si="9"/>
        <v>191882640.00751415</v>
      </c>
      <c r="H48" s="435">
        <f t="shared" si="9"/>
        <v>192458238.94701412</v>
      </c>
      <c r="I48" s="435">
        <f t="shared" si="9"/>
        <v>193007762.16451415</v>
      </c>
      <c r="J48" s="435">
        <f t="shared" si="9"/>
        <v>193362949.97551414</v>
      </c>
      <c r="K48" s="435">
        <f t="shared" si="9"/>
        <v>193362949.97551414</v>
      </c>
      <c r="L48" s="435">
        <f t="shared" si="9"/>
        <v>193362949.97551414</v>
      </c>
      <c r="M48" s="435">
        <f t="shared" si="9"/>
        <v>193362949.97551414</v>
      </c>
      <c r="N48" s="435">
        <f t="shared" si="9"/>
        <v>193362949.97551414</v>
      </c>
      <c r="O48" s="424"/>
    </row>
    <row r="49" spans="1:15" s="427" customFormat="1">
      <c r="A49" s="425"/>
      <c r="B49" s="435"/>
      <c r="C49" s="435"/>
      <c r="D49" s="435"/>
      <c r="E49" s="435"/>
      <c r="F49" s="435"/>
      <c r="G49" s="435"/>
      <c r="H49" s="435"/>
      <c r="I49" s="435"/>
      <c r="J49" s="435"/>
      <c r="K49" s="435"/>
      <c r="L49" s="435"/>
      <c r="M49" s="435"/>
      <c r="N49" s="435"/>
      <c r="O49" s="424"/>
    </row>
    <row r="50" spans="1:15" s="427" customFormat="1">
      <c r="A50" s="425" t="s">
        <v>299</v>
      </c>
      <c r="B50" s="435">
        <v>2834805.7667115489</v>
      </c>
      <c r="C50" s="435">
        <v>2988541.910767694</v>
      </c>
      <c r="D50" s="435">
        <v>3142278.0548238391</v>
      </c>
      <c r="E50" s="435">
        <v>3296014.1988799842</v>
      </c>
      <c r="F50" s="435">
        <v>3449750.3429361293</v>
      </c>
      <c r="G50" s="435">
        <v>3690944.8480603383</v>
      </c>
      <c r="H50" s="435">
        <v>4020116.4928217093</v>
      </c>
      <c r="I50" s="435">
        <v>4350314.6888310518</v>
      </c>
      <c r="J50" s="435">
        <v>4681189.2026875485</v>
      </c>
      <c r="K50" s="435">
        <v>5012232.2617123295</v>
      </c>
      <c r="L50" s="435">
        <v>5343275.3207371095</v>
      </c>
      <c r="M50" s="435">
        <v>5674318.3797618896</v>
      </c>
      <c r="N50" s="435">
        <v>6005361.4387866706</v>
      </c>
      <c r="O50" s="424"/>
    </row>
    <row r="51" spans="1:15" s="427" customFormat="1">
      <c r="A51" s="425" t="s">
        <v>1129</v>
      </c>
      <c r="B51" s="435">
        <v>-149507.13484663173</v>
      </c>
      <c r="C51" s="435">
        <v>-158192.16484663176</v>
      </c>
      <c r="D51" s="435">
        <v>-166877.19484663178</v>
      </c>
      <c r="E51" s="435">
        <v>-175562.22484663178</v>
      </c>
      <c r="F51" s="435">
        <v>-184247.25484663178</v>
      </c>
      <c r="G51" s="435">
        <v>-201079.56484663178</v>
      </c>
      <c r="H51" s="435">
        <v>-226059.16484663181</v>
      </c>
      <c r="I51" s="435">
        <v>-251038.76484663179</v>
      </c>
      <c r="J51" s="435">
        <v>-276018.36484663177</v>
      </c>
      <c r="K51" s="435">
        <v>-300997.96484663174</v>
      </c>
      <c r="L51" s="435">
        <v>-325977.56484663178</v>
      </c>
      <c r="M51" s="435">
        <v>-350957.16484663176</v>
      </c>
      <c r="N51" s="435">
        <v>-375936.76484663173</v>
      </c>
      <c r="O51" s="424"/>
    </row>
    <row r="52" spans="1:15" s="427" customFormat="1">
      <c r="A52" s="425" t="s">
        <v>1130</v>
      </c>
      <c r="B52" s="435">
        <f>B50+B51</f>
        <v>2685298.631864917</v>
      </c>
      <c r="C52" s="435">
        <f t="shared" ref="C52:N52" si="10">C50+C51</f>
        <v>2830349.7459210623</v>
      </c>
      <c r="D52" s="435">
        <f t="shared" si="10"/>
        <v>2975400.8599772071</v>
      </c>
      <c r="E52" s="435">
        <f t="shared" si="10"/>
        <v>3120451.9740333525</v>
      </c>
      <c r="F52" s="435">
        <f t="shared" si="10"/>
        <v>3265503.0880894978</v>
      </c>
      <c r="G52" s="435">
        <f t="shared" si="10"/>
        <v>3489865.2832137067</v>
      </c>
      <c r="H52" s="435">
        <f t="shared" si="10"/>
        <v>3794057.3279750776</v>
      </c>
      <c r="I52" s="435">
        <f t="shared" si="10"/>
        <v>4099275.92398442</v>
      </c>
      <c r="J52" s="435">
        <f t="shared" si="10"/>
        <v>4405170.8378409166</v>
      </c>
      <c r="K52" s="435">
        <f t="shared" si="10"/>
        <v>4711234.296865698</v>
      </c>
      <c r="L52" s="435">
        <f t="shared" si="10"/>
        <v>5017297.7558904774</v>
      </c>
      <c r="M52" s="435">
        <f t="shared" si="10"/>
        <v>5323361.2149152579</v>
      </c>
      <c r="N52" s="435">
        <f t="shared" si="10"/>
        <v>5629424.6739400392</v>
      </c>
      <c r="O52" s="424"/>
    </row>
    <row r="53" spans="1:15" s="427" customFormat="1">
      <c r="A53" s="428"/>
      <c r="B53" s="424"/>
    </row>
    <row r="54" spans="1:15" s="427" customFormat="1" ht="8.25" customHeight="1">
      <c r="A54" s="428"/>
      <c r="B54" s="424"/>
    </row>
    <row r="55" spans="1:15" s="427" customFormat="1">
      <c r="A55" s="425" t="s">
        <v>300</v>
      </c>
      <c r="B55" s="435"/>
      <c r="C55" s="435">
        <v>153736.14405614513</v>
      </c>
      <c r="D55" s="435">
        <v>153736.14405614513</v>
      </c>
      <c r="E55" s="435">
        <v>153736.14405614513</v>
      </c>
      <c r="F55" s="435">
        <v>153736.14405614513</v>
      </c>
      <c r="G55" s="435">
        <v>241194.50512420884</v>
      </c>
      <c r="H55" s="435">
        <v>329171.64476137114</v>
      </c>
      <c r="I55" s="435">
        <v>330198.19600934203</v>
      </c>
      <c r="J55" s="435">
        <v>330874.51385649724</v>
      </c>
      <c r="K55" s="435">
        <v>331043.05902478029</v>
      </c>
      <c r="L55" s="435">
        <v>331043.05902478029</v>
      </c>
      <c r="M55" s="435">
        <v>331043.05902478029</v>
      </c>
      <c r="N55" s="435">
        <v>331043.05902478029</v>
      </c>
      <c r="O55" s="432">
        <f>SUM(C55:N55)</f>
        <v>3170555.6720751207</v>
      </c>
    </row>
    <row r="56" spans="1:15" s="427" customFormat="1">
      <c r="A56" s="986" t="s">
        <v>147</v>
      </c>
      <c r="B56" s="435"/>
      <c r="C56" s="435">
        <v>-8685.0299999999988</v>
      </c>
      <c r="D56" s="435">
        <v>-8685.0299999999988</v>
      </c>
      <c r="E56" s="435">
        <v>-8685.0299999999988</v>
      </c>
      <c r="F56" s="435">
        <v>-8685.0299999999988</v>
      </c>
      <c r="G56" s="435">
        <v>-16832.310000000001</v>
      </c>
      <c r="H56" s="435">
        <v>-24979.599999999999</v>
      </c>
      <c r="I56" s="435">
        <v>-24979.599999999999</v>
      </c>
      <c r="J56" s="435">
        <v>-24979.599999999999</v>
      </c>
      <c r="K56" s="435">
        <v>-24979.599999999999</v>
      </c>
      <c r="L56" s="435">
        <v>-24979.599999999999</v>
      </c>
      <c r="M56" s="435">
        <v>-24979.599999999999</v>
      </c>
      <c r="N56" s="435">
        <v>-24979.599999999999</v>
      </c>
      <c r="O56" s="432">
        <f t="shared" ref="O56" si="11">SUM(C56:N56)</f>
        <v>-226429.63000000003</v>
      </c>
    </row>
    <row r="57" spans="1:15">
      <c r="B57" s="427"/>
      <c r="O57" s="429">
        <f>O55+O56</f>
        <v>2944126.0420751208</v>
      </c>
    </row>
    <row r="58" spans="1:15" s="427" customFormat="1">
      <c r="A58" s="436" t="s">
        <v>305</v>
      </c>
    </row>
    <row r="59" spans="1:15" s="424" customFormat="1">
      <c r="A59" s="423" t="s">
        <v>296</v>
      </c>
    </row>
    <row r="60" spans="1:15" s="424" customFormat="1">
      <c r="A60" s="425" t="s">
        <v>297</v>
      </c>
      <c r="B60" s="437">
        <v>100041684.14273262</v>
      </c>
      <c r="C60" s="437">
        <v>40122647.106275506</v>
      </c>
      <c r="D60" s="437">
        <v>33044420.243342746</v>
      </c>
      <c r="E60" s="437">
        <v>2100460.6604738808</v>
      </c>
      <c r="F60" s="437">
        <v>2054287.2198312229</v>
      </c>
      <c r="G60" s="437">
        <v>2051931.8915316723</v>
      </c>
      <c r="H60" s="437">
        <v>2049267.565334311</v>
      </c>
      <c r="I60" s="437">
        <v>2046538.2018779211</v>
      </c>
      <c r="J60" s="437">
        <v>2040570.1665002415</v>
      </c>
      <c r="K60" s="437">
        <v>2033637.7623122518</v>
      </c>
      <c r="L60" s="437">
        <v>2022106.5243600984</v>
      </c>
      <c r="M60" s="437">
        <v>2016200.7711347509</v>
      </c>
      <c r="N60" s="437">
        <v>2010552.1829254862</v>
      </c>
      <c r="O60" s="424">
        <f t="shared" ref="O60:O63" si="12">SUM(B60:N60)/13</f>
        <v>14894946.495279443</v>
      </c>
    </row>
    <row r="61" spans="1:15" s="427" customFormat="1">
      <c r="A61" s="425" t="s">
        <v>298</v>
      </c>
      <c r="B61" s="437">
        <v>329535711.12496734</v>
      </c>
      <c r="C61" s="437">
        <v>399785029.77792448</v>
      </c>
      <c r="D61" s="437">
        <v>407460329.3573572</v>
      </c>
      <c r="E61" s="437">
        <v>438804217.34022605</v>
      </c>
      <c r="F61" s="437">
        <v>442805507.93086874</v>
      </c>
      <c r="G61" s="437">
        <v>442930559.73916829</v>
      </c>
      <c r="H61" s="437">
        <v>443066307.03536564</v>
      </c>
      <c r="I61" s="437">
        <v>443203187.13882208</v>
      </c>
      <c r="J61" s="437">
        <v>443499782.75419974</v>
      </c>
      <c r="K61" s="437">
        <v>443843936.33838779</v>
      </c>
      <c r="L61" s="437">
        <v>444414881.98633999</v>
      </c>
      <c r="M61" s="437">
        <v>444708406.14956534</v>
      </c>
      <c r="N61" s="437">
        <v>444989248.1877746</v>
      </c>
      <c r="O61" s="424">
        <f t="shared" si="12"/>
        <v>428388238.83545905</v>
      </c>
    </row>
    <row r="62" spans="1:15" s="427" customFormat="1">
      <c r="A62" s="425" t="s">
        <v>1128</v>
      </c>
      <c r="B62" s="437">
        <v>-19820856.27535487</v>
      </c>
      <c r="C62" s="437">
        <v>-24391057.086110175</v>
      </c>
      <c r="D62" s="437">
        <v>-27051327.090564825</v>
      </c>
      <c r="E62" s="437">
        <v>-32102574.764532901</v>
      </c>
      <c r="F62" s="437">
        <v>-32102599.179448076</v>
      </c>
      <c r="G62" s="437">
        <v>-32102615.763578489</v>
      </c>
      <c r="H62" s="437">
        <v>-32102632.347708903</v>
      </c>
      <c r="I62" s="437">
        <v>-32102639.365761444</v>
      </c>
      <c r="J62" s="437">
        <v>-32102646.383813985</v>
      </c>
      <c r="K62" s="437">
        <v>-32102653.401866525</v>
      </c>
      <c r="L62" s="437">
        <v>-32102660.419919066</v>
      </c>
      <c r="M62" s="437">
        <v>-32102667.437971607</v>
      </c>
      <c r="N62" s="437">
        <v>-32102674.456024148</v>
      </c>
      <c r="O62" s="424">
        <f t="shared" si="12"/>
        <v>-30176123.382511921</v>
      </c>
    </row>
    <row r="63" spans="1:15" s="427" customFormat="1">
      <c r="A63" s="425" t="s">
        <v>398</v>
      </c>
      <c r="B63" s="437">
        <f>B60+B61+B62</f>
        <v>409756538.99234509</v>
      </c>
      <c r="C63" s="437">
        <f t="shared" ref="C63:N63" si="13">C60+C61+C62</f>
        <v>415516619.7980898</v>
      </c>
      <c r="D63" s="437">
        <f t="shared" si="13"/>
        <v>413453422.51013511</v>
      </c>
      <c r="E63" s="437">
        <f t="shared" si="13"/>
        <v>408802103.23616701</v>
      </c>
      <c r="F63" s="437">
        <f t="shared" si="13"/>
        <v>412757195.9712519</v>
      </c>
      <c r="G63" s="437">
        <f t="shared" si="13"/>
        <v>412879875.86712146</v>
      </c>
      <c r="H63" s="437">
        <f t="shared" si="13"/>
        <v>413012942.25299108</v>
      </c>
      <c r="I63" s="437">
        <f t="shared" si="13"/>
        <v>413147085.97493851</v>
      </c>
      <c r="J63" s="437">
        <f t="shared" si="13"/>
        <v>413437706.53688604</v>
      </c>
      <c r="K63" s="437">
        <f t="shared" si="13"/>
        <v>413774920.69883347</v>
      </c>
      <c r="L63" s="437">
        <f t="shared" si="13"/>
        <v>414334328.09078103</v>
      </c>
      <c r="M63" s="437">
        <f t="shared" si="13"/>
        <v>414621939.48272848</v>
      </c>
      <c r="N63" s="437">
        <f t="shared" si="13"/>
        <v>414897125.91467589</v>
      </c>
      <c r="O63" s="424">
        <f t="shared" si="12"/>
        <v>413107061.94822657</v>
      </c>
    </row>
    <row r="64" spans="1:15" s="427" customFormat="1">
      <c r="A64" s="425"/>
      <c r="B64" s="437"/>
      <c r="C64" s="437"/>
      <c r="D64" s="437"/>
      <c r="E64" s="437"/>
      <c r="F64" s="437"/>
      <c r="G64" s="437"/>
      <c r="H64" s="437"/>
      <c r="I64" s="437"/>
      <c r="J64" s="437"/>
      <c r="K64" s="437"/>
      <c r="L64" s="437"/>
      <c r="M64" s="437"/>
      <c r="N64" s="437"/>
      <c r="O64" s="424"/>
    </row>
    <row r="65" spans="1:16" s="427" customFormat="1">
      <c r="A65" s="425" t="s">
        <v>299</v>
      </c>
      <c r="B65" s="437">
        <v>4205611.0433246074</v>
      </c>
      <c r="C65" s="437">
        <v>4769992.8486851705</v>
      </c>
      <c r="D65" s="437">
        <v>5401048.2242914075</v>
      </c>
      <c r="E65" s="437">
        <v>6065351.937698938</v>
      </c>
      <c r="F65" s="437">
        <v>6760214.5047085825</v>
      </c>
      <c r="G65" s="437">
        <v>7458558.1360092973</v>
      </c>
      <c r="H65" s="437">
        <v>8156931.5452838773</v>
      </c>
      <c r="I65" s="437">
        <v>8855320.5374297071</v>
      </c>
      <c r="J65" s="437">
        <v>9553720.0313361008</v>
      </c>
      <c r="K65" s="437">
        <v>10252130.027003057</v>
      </c>
      <c r="L65" s="437">
        <v>10950550.524430577</v>
      </c>
      <c r="M65" s="437">
        <v>11648981.523618661</v>
      </c>
      <c r="N65" s="437">
        <v>12347423.024567308</v>
      </c>
      <c r="O65" s="424"/>
    </row>
    <row r="66" spans="1:16" s="427" customFormat="1">
      <c r="A66" s="425" t="s">
        <v>1129</v>
      </c>
      <c r="B66" s="437">
        <v>-228586.02841732054</v>
      </c>
      <c r="C66" s="437">
        <v>-258127.64841732057</v>
      </c>
      <c r="D66" s="437">
        <v>-292650.84841732052</v>
      </c>
      <c r="E66" s="437">
        <v>-332473.77841732057</v>
      </c>
      <c r="F66" s="437">
        <v>-375637.4984173206</v>
      </c>
      <c r="G66" s="437">
        <v>-418801.2484173206</v>
      </c>
      <c r="H66" s="437">
        <v>-461965.01841732056</v>
      </c>
      <c r="I66" s="437">
        <v>-505128.8084173206</v>
      </c>
      <c r="J66" s="437">
        <v>-548292.60841732053</v>
      </c>
      <c r="K66" s="437">
        <v>-591456.41841732059</v>
      </c>
      <c r="L66" s="437">
        <v>-634620.23841732054</v>
      </c>
      <c r="M66" s="437">
        <v>-677784.06841732061</v>
      </c>
      <c r="N66" s="437">
        <v>-720947.89841732057</v>
      </c>
      <c r="O66" s="424"/>
    </row>
    <row r="67" spans="1:16" s="427" customFormat="1">
      <c r="A67" s="425" t="s">
        <v>1130</v>
      </c>
      <c r="B67" s="437">
        <f>B65+B66</f>
        <v>3977025.014907287</v>
      </c>
      <c r="C67" s="437">
        <f t="shared" ref="C67:N67" si="14">C65+C66</f>
        <v>4511865.2002678495</v>
      </c>
      <c r="D67" s="437">
        <f t="shared" si="14"/>
        <v>5108397.3758740872</v>
      </c>
      <c r="E67" s="437">
        <f t="shared" si="14"/>
        <v>5732878.159281617</v>
      </c>
      <c r="F67" s="437">
        <f t="shared" si="14"/>
        <v>6384577.0062912619</v>
      </c>
      <c r="G67" s="437">
        <f t="shared" si="14"/>
        <v>7039756.8875919767</v>
      </c>
      <c r="H67" s="437">
        <f t="shared" si="14"/>
        <v>7694966.5268665571</v>
      </c>
      <c r="I67" s="437">
        <f t="shared" si="14"/>
        <v>8350191.7290123869</v>
      </c>
      <c r="J67" s="437">
        <f t="shared" si="14"/>
        <v>9005427.4229187798</v>
      </c>
      <c r="K67" s="437">
        <f t="shared" si="14"/>
        <v>9660673.6085857376</v>
      </c>
      <c r="L67" s="437">
        <f t="shared" si="14"/>
        <v>10315930.286013257</v>
      </c>
      <c r="M67" s="437">
        <f t="shared" si="14"/>
        <v>10971197.455201341</v>
      </c>
      <c r="N67" s="437">
        <f t="shared" si="14"/>
        <v>11626475.126149988</v>
      </c>
      <c r="O67" s="424"/>
    </row>
    <row r="68" spans="1:16" s="427" customFormat="1" ht="8.25" customHeight="1">
      <c r="A68" s="428"/>
      <c r="B68" s="424"/>
    </row>
    <row r="69" spans="1:16" s="427" customFormat="1">
      <c r="A69" s="425" t="s">
        <v>300</v>
      </c>
      <c r="B69" s="437"/>
      <c r="C69" s="437">
        <v>564381.80536056298</v>
      </c>
      <c r="D69" s="437">
        <v>631055.37560623721</v>
      </c>
      <c r="E69" s="437">
        <v>664303.71340753022</v>
      </c>
      <c r="F69" s="437">
        <v>694862.56700964412</v>
      </c>
      <c r="G69" s="437">
        <v>698343.63130071503</v>
      </c>
      <c r="H69" s="437">
        <v>698373.40927457996</v>
      </c>
      <c r="I69" s="437">
        <v>698388.99214583007</v>
      </c>
      <c r="J69" s="437">
        <v>698399.49390639318</v>
      </c>
      <c r="K69" s="437">
        <v>698409.99566695653</v>
      </c>
      <c r="L69" s="437">
        <v>698420.49742751988</v>
      </c>
      <c r="M69" s="437">
        <v>698430.99918808322</v>
      </c>
      <c r="N69" s="437">
        <v>698441.50094864657</v>
      </c>
      <c r="O69" s="432">
        <f>SUM(C69:N69)</f>
        <v>8141811.9812426977</v>
      </c>
    </row>
    <row r="70" spans="1:16">
      <c r="A70" s="986" t="s">
        <v>147</v>
      </c>
      <c r="B70" s="437"/>
      <c r="C70" s="437">
        <v>-29541.620000000003</v>
      </c>
      <c r="D70" s="437">
        <v>-34523.199999999997</v>
      </c>
      <c r="E70" s="437">
        <v>-39822.93</v>
      </c>
      <c r="F70" s="437">
        <v>-43163.72</v>
      </c>
      <c r="G70" s="437">
        <v>-43163.75</v>
      </c>
      <c r="H70" s="437">
        <v>-43163.77</v>
      </c>
      <c r="I70" s="437">
        <v>-43163.79</v>
      </c>
      <c r="J70" s="437">
        <v>-43163.8</v>
      </c>
      <c r="K70" s="437">
        <v>-43163.81</v>
      </c>
      <c r="L70" s="437">
        <v>-43163.82</v>
      </c>
      <c r="M70" s="437">
        <v>-43163.83</v>
      </c>
      <c r="N70" s="437">
        <v>-43163.83</v>
      </c>
      <c r="O70" s="432">
        <f t="shared" ref="O70" si="15">SUM(C70:N70)</f>
        <v>-492361.87</v>
      </c>
    </row>
    <row r="71" spans="1:16">
      <c r="A71" s="425"/>
      <c r="O71" s="438">
        <f>O69+O70</f>
        <v>7649450.1112426976</v>
      </c>
    </row>
    <row r="72" spans="1:16">
      <c r="A72" s="441" t="s">
        <v>306</v>
      </c>
    </row>
    <row r="73" spans="1:16" s="427" customFormat="1" ht="8.25" customHeight="1">
      <c r="A73" s="428"/>
      <c r="B73" s="424"/>
    </row>
    <row r="74" spans="1:16">
      <c r="A74" s="442" t="s">
        <v>218</v>
      </c>
      <c r="O74" s="420" t="s">
        <v>307</v>
      </c>
    </row>
    <row r="75" spans="1:16">
      <c r="A75" s="420" t="s">
        <v>308</v>
      </c>
      <c r="B75" s="427">
        <f>B4</f>
        <v>-9.3369365572470997E-9</v>
      </c>
      <c r="C75" s="427">
        <f t="shared" ref="C75:N75" si="16">C4</f>
        <v>-9.5482732831442263E-9</v>
      </c>
      <c r="D75" s="427">
        <f t="shared" si="16"/>
        <v>-9.5482732831442263E-9</v>
      </c>
      <c r="E75" s="427">
        <f t="shared" si="16"/>
        <v>-9.5482732831442263E-9</v>
      </c>
      <c r="F75" s="427">
        <f t="shared" si="16"/>
        <v>-9.5482732831442263E-9</v>
      </c>
      <c r="G75" s="427">
        <f t="shared" si="16"/>
        <v>-9.5482732831442263E-9</v>
      </c>
      <c r="H75" s="427">
        <f t="shared" si="16"/>
        <v>-9.5482732831442263E-9</v>
      </c>
      <c r="I75" s="427">
        <f t="shared" si="16"/>
        <v>-9.5482732831442263E-9</v>
      </c>
      <c r="J75" s="427">
        <f t="shared" si="16"/>
        <v>-9.5482732831442263E-9</v>
      </c>
      <c r="K75" s="427">
        <f t="shared" si="16"/>
        <v>-9.5482732831442263E-9</v>
      </c>
      <c r="L75" s="427">
        <f t="shared" si="16"/>
        <v>-9.5482732831442263E-9</v>
      </c>
      <c r="M75" s="427">
        <f t="shared" si="16"/>
        <v>-9.5482732831442263E-9</v>
      </c>
      <c r="N75" s="427">
        <f t="shared" si="16"/>
        <v>-9.5482732831442263E-9</v>
      </c>
      <c r="O75" s="432">
        <f>(SUM(C75:N75)+B75)/13</f>
        <v>-9.5320166119213709E-9</v>
      </c>
    </row>
    <row r="76" spans="1:16">
      <c r="A76" s="420" t="s">
        <v>309</v>
      </c>
      <c r="B76" s="427">
        <f>B5+B6</f>
        <v>29911878.143377017</v>
      </c>
      <c r="C76" s="427">
        <f t="shared" ref="C76:N76" si="17">C5+C6</f>
        <v>29911878.143377017</v>
      </c>
      <c r="D76" s="427">
        <f t="shared" si="17"/>
        <v>29911878.143377017</v>
      </c>
      <c r="E76" s="427">
        <f t="shared" si="17"/>
        <v>29911878.143377017</v>
      </c>
      <c r="F76" s="427">
        <f t="shared" si="17"/>
        <v>29911878.143377017</v>
      </c>
      <c r="G76" s="427">
        <f t="shared" si="17"/>
        <v>29911878.143377017</v>
      </c>
      <c r="H76" s="427">
        <f t="shared" si="17"/>
        <v>29911878.143377017</v>
      </c>
      <c r="I76" s="427">
        <f t="shared" si="17"/>
        <v>29911878.143377017</v>
      </c>
      <c r="J76" s="427">
        <f t="shared" si="17"/>
        <v>29911878.143377017</v>
      </c>
      <c r="K76" s="427">
        <f t="shared" si="17"/>
        <v>29911878.143377017</v>
      </c>
      <c r="L76" s="427">
        <f t="shared" si="17"/>
        <v>29911878.143377017</v>
      </c>
      <c r="M76" s="427">
        <f t="shared" si="17"/>
        <v>29911878.143377017</v>
      </c>
      <c r="N76" s="427">
        <f t="shared" si="17"/>
        <v>29911878.143377017</v>
      </c>
      <c r="O76" s="432">
        <f>(SUM(C76:N76)+B76)/13</f>
        <v>29911878.14337701</v>
      </c>
      <c r="P76" s="443"/>
    </row>
    <row r="77" spans="1:16">
      <c r="A77" s="420" t="s">
        <v>310</v>
      </c>
      <c r="B77" s="427">
        <f t="shared" ref="B77:N77" si="18">B4+B5+B6</f>
        <v>29911878.143377006</v>
      </c>
      <c r="C77" s="427">
        <f t="shared" si="18"/>
        <v>29911878.143377006</v>
      </c>
      <c r="D77" s="427">
        <f t="shared" si="18"/>
        <v>29911878.143377006</v>
      </c>
      <c r="E77" s="427">
        <f t="shared" si="18"/>
        <v>29911878.143377006</v>
      </c>
      <c r="F77" s="427">
        <f t="shared" si="18"/>
        <v>29911878.143377006</v>
      </c>
      <c r="G77" s="427">
        <f t="shared" si="18"/>
        <v>29911878.143377006</v>
      </c>
      <c r="H77" s="427">
        <f t="shared" si="18"/>
        <v>29911878.143377006</v>
      </c>
      <c r="I77" s="427">
        <f t="shared" si="18"/>
        <v>29911878.143377006</v>
      </c>
      <c r="J77" s="427">
        <f t="shared" si="18"/>
        <v>29911878.143377006</v>
      </c>
      <c r="K77" s="427">
        <f t="shared" si="18"/>
        <v>29911878.143377006</v>
      </c>
      <c r="L77" s="427">
        <f t="shared" si="18"/>
        <v>29911878.143377006</v>
      </c>
      <c r="M77" s="427">
        <f t="shared" si="18"/>
        <v>29911878.143377006</v>
      </c>
      <c r="N77" s="427">
        <f t="shared" si="18"/>
        <v>29911878.143377006</v>
      </c>
      <c r="O77" s="429">
        <f>(SUM(C77:N77)+B77)/13</f>
        <v>29911878.143377006</v>
      </c>
      <c r="P77" s="443"/>
    </row>
    <row r="78" spans="1:16">
      <c r="A78" s="420" t="s">
        <v>311</v>
      </c>
      <c r="B78" s="427">
        <f>B7-B11</f>
        <v>28567465.559679382</v>
      </c>
      <c r="C78" s="427">
        <f t="shared" ref="C78:N78" si="19">C7-C11</f>
        <v>28517573.702701293</v>
      </c>
      <c r="D78" s="427">
        <f t="shared" si="19"/>
        <v>28467681.845723204</v>
      </c>
      <c r="E78" s="427">
        <f t="shared" si="19"/>
        <v>28417789.988745119</v>
      </c>
      <c r="F78" s="427">
        <f t="shared" si="19"/>
        <v>28367898.131767031</v>
      </c>
      <c r="G78" s="427">
        <f t="shared" si="19"/>
        <v>28318006.274788946</v>
      </c>
      <c r="H78" s="427">
        <f t="shared" si="19"/>
        <v>28268114.417810857</v>
      </c>
      <c r="I78" s="427">
        <f t="shared" si="19"/>
        <v>28218222.560832769</v>
      </c>
      <c r="J78" s="427">
        <f t="shared" si="19"/>
        <v>28168330.703854684</v>
      </c>
      <c r="K78" s="427">
        <f t="shared" si="19"/>
        <v>28118438.846876595</v>
      </c>
      <c r="L78" s="427">
        <f t="shared" si="19"/>
        <v>28068546.989898507</v>
      </c>
      <c r="M78" s="427">
        <f t="shared" si="19"/>
        <v>28018655.132920422</v>
      </c>
      <c r="N78" s="427">
        <f t="shared" si="19"/>
        <v>27968763.275942333</v>
      </c>
      <c r="O78" s="429">
        <f>(SUM(C78:N78)+B78)/13</f>
        <v>28268114.417810857</v>
      </c>
      <c r="P78" s="443"/>
    </row>
    <row r="79" spans="1:16">
      <c r="B79" s="427"/>
      <c r="C79" s="427"/>
      <c r="D79" s="427"/>
      <c r="E79" s="427"/>
      <c r="F79" s="427"/>
      <c r="G79" s="427"/>
      <c r="H79" s="427"/>
      <c r="I79" s="427"/>
      <c r="J79" s="427"/>
      <c r="K79" s="427"/>
      <c r="L79" s="427"/>
      <c r="M79" s="427"/>
      <c r="N79" s="427"/>
      <c r="O79" s="444"/>
      <c r="P79" s="443"/>
    </row>
    <row r="80" spans="1:16">
      <c r="A80" s="420" t="s">
        <v>312</v>
      </c>
      <c r="B80" s="427">
        <f>B45</f>
        <v>94588168.614324063</v>
      </c>
      <c r="C80" s="427">
        <f t="shared" ref="C80:N80" si="20">C45</f>
        <v>95932502.815345749</v>
      </c>
      <c r="D80" s="427">
        <f t="shared" si="20"/>
        <v>97269786.856563181</v>
      </c>
      <c r="E80" s="427">
        <f t="shared" si="20"/>
        <v>98649532.124220714</v>
      </c>
      <c r="F80" s="427">
        <f t="shared" si="20"/>
        <v>99775621.00211437</v>
      </c>
      <c r="G80" s="427">
        <f t="shared" si="20"/>
        <v>-142586.01543185668</v>
      </c>
      <c r="H80" s="427">
        <f t="shared" si="20"/>
        <v>-165213.37501619797</v>
      </c>
      <c r="I80" s="427">
        <f t="shared" si="20"/>
        <v>-196244.16503439401</v>
      </c>
      <c r="J80" s="427">
        <f t="shared" si="20"/>
        <v>-19941.280000012746</v>
      </c>
      <c r="K80" s="427">
        <f t="shared" si="20"/>
        <v>-19941.280000012746</v>
      </c>
      <c r="L80" s="427">
        <f t="shared" si="20"/>
        <v>-19941.280000012746</v>
      </c>
      <c r="M80" s="427">
        <f t="shared" si="20"/>
        <v>-19941.280000012746</v>
      </c>
      <c r="N80" s="427">
        <f t="shared" si="20"/>
        <v>-19941.280000012746</v>
      </c>
      <c r="O80" s="432">
        <f>(SUM(C80:N80)+B80)/13</f>
        <v>37354758.573621951</v>
      </c>
    </row>
    <row r="81" spans="1:16">
      <c r="A81" s="420" t="s">
        <v>313</v>
      </c>
      <c r="B81" s="427">
        <f>B46+B47</f>
        <v>102681729.30346194</v>
      </c>
      <c r="C81" s="427">
        <f t="shared" ref="C81:N81" si="21">C46+C47</f>
        <v>102781289.72894026</v>
      </c>
      <c r="D81" s="427">
        <f t="shared" si="21"/>
        <v>102669443.20522283</v>
      </c>
      <c r="E81" s="427">
        <f t="shared" si="21"/>
        <v>103437253.59156528</v>
      </c>
      <c r="F81" s="427">
        <f t="shared" si="21"/>
        <v>103532168.34517165</v>
      </c>
      <c r="G81" s="427">
        <f t="shared" si="21"/>
        <v>192025226.022946</v>
      </c>
      <c r="H81" s="427">
        <f t="shared" si="21"/>
        <v>192623452.32203034</v>
      </c>
      <c r="I81" s="427">
        <f t="shared" si="21"/>
        <v>193204006.32954854</v>
      </c>
      <c r="J81" s="427">
        <f t="shared" si="21"/>
        <v>193382891.25551414</v>
      </c>
      <c r="K81" s="427">
        <f t="shared" si="21"/>
        <v>193382891.25551414</v>
      </c>
      <c r="L81" s="427">
        <f t="shared" si="21"/>
        <v>193382891.25551414</v>
      </c>
      <c r="M81" s="427">
        <f t="shared" si="21"/>
        <v>193382891.25551414</v>
      </c>
      <c r="N81" s="427">
        <f t="shared" si="21"/>
        <v>193382891.25551414</v>
      </c>
      <c r="O81" s="432">
        <f>(SUM(C81:N81)+B81)/13</f>
        <v>158451463.47126597</v>
      </c>
      <c r="P81" s="443"/>
    </row>
    <row r="82" spans="1:16">
      <c r="A82" s="420" t="s">
        <v>314</v>
      </c>
      <c r="B82" s="427">
        <f t="shared" ref="B82:N82" si="22">B45+B46+B47</f>
        <v>197269897.91778597</v>
      </c>
      <c r="C82" s="427">
        <f t="shared" si="22"/>
        <v>198713792.54428598</v>
      </c>
      <c r="D82" s="427">
        <f t="shared" si="22"/>
        <v>199939230.061786</v>
      </c>
      <c r="E82" s="427">
        <f t="shared" si="22"/>
        <v>202086785.71578598</v>
      </c>
      <c r="F82" s="427">
        <f t="shared" si="22"/>
        <v>203307789.34728602</v>
      </c>
      <c r="G82" s="427">
        <f t="shared" si="22"/>
        <v>191882640.00751415</v>
      </c>
      <c r="H82" s="427">
        <f t="shared" si="22"/>
        <v>192458238.94701412</v>
      </c>
      <c r="I82" s="427">
        <f t="shared" si="22"/>
        <v>193007762.16451415</v>
      </c>
      <c r="J82" s="427">
        <f t="shared" si="22"/>
        <v>193362949.97551414</v>
      </c>
      <c r="K82" s="427">
        <f t="shared" si="22"/>
        <v>193362949.97551414</v>
      </c>
      <c r="L82" s="427">
        <f t="shared" si="22"/>
        <v>193362949.97551414</v>
      </c>
      <c r="M82" s="427">
        <f t="shared" si="22"/>
        <v>193362949.97551414</v>
      </c>
      <c r="N82" s="427">
        <f t="shared" si="22"/>
        <v>193362949.97551414</v>
      </c>
      <c r="O82" s="429">
        <f>(SUM(C82:N82)+B82)/13</f>
        <v>195806222.0448879</v>
      </c>
      <c r="P82" s="443"/>
    </row>
    <row r="83" spans="1:16">
      <c r="A83" s="420" t="s">
        <v>315</v>
      </c>
      <c r="B83" s="427">
        <f t="shared" ref="B83:N83" si="23">B46-B50+B45+B47-B51</f>
        <v>194584599.28592107</v>
      </c>
      <c r="C83" s="427">
        <f t="shared" si="23"/>
        <v>195883442.79836494</v>
      </c>
      <c r="D83" s="427">
        <f t="shared" si="23"/>
        <v>196963829.20180878</v>
      </c>
      <c r="E83" s="427">
        <f t="shared" si="23"/>
        <v>198966333.74175262</v>
      </c>
      <c r="F83" s="427">
        <f t="shared" si="23"/>
        <v>200042286.25919649</v>
      </c>
      <c r="G83" s="427">
        <f t="shared" si="23"/>
        <v>188392774.72430044</v>
      </c>
      <c r="H83" s="427">
        <f t="shared" si="23"/>
        <v>188664181.61903903</v>
      </c>
      <c r="I83" s="427">
        <f t="shared" si="23"/>
        <v>188908486.24052972</v>
      </c>
      <c r="J83" s="427">
        <f t="shared" si="23"/>
        <v>188957779.1376732</v>
      </c>
      <c r="K83" s="427">
        <f t="shared" si="23"/>
        <v>188651715.67864844</v>
      </c>
      <c r="L83" s="427">
        <f t="shared" si="23"/>
        <v>188345652.21962366</v>
      </c>
      <c r="M83" s="427">
        <f t="shared" si="23"/>
        <v>188039588.76059887</v>
      </c>
      <c r="N83" s="427">
        <f t="shared" si="23"/>
        <v>187733525.30157411</v>
      </c>
      <c r="O83" s="429">
        <f>(SUM(C83:N83)+B83)/13</f>
        <v>191856476.53607935</v>
      </c>
      <c r="P83" s="443"/>
    </row>
    <row r="84" spans="1:16">
      <c r="B84" s="427"/>
      <c r="C84" s="427"/>
      <c r="D84" s="427"/>
      <c r="E84" s="427"/>
      <c r="F84" s="427"/>
      <c r="G84" s="427"/>
      <c r="H84" s="427"/>
      <c r="I84" s="427"/>
      <c r="J84" s="427"/>
      <c r="K84" s="427"/>
      <c r="L84" s="427"/>
      <c r="M84" s="427"/>
      <c r="N84" s="427"/>
      <c r="O84" s="444"/>
      <c r="P84" s="443"/>
    </row>
    <row r="85" spans="1:16">
      <c r="A85" s="420" t="s">
        <v>316</v>
      </c>
      <c r="B85" s="427">
        <f>B19+B27</f>
        <v>134890849.48460722</v>
      </c>
      <c r="C85" s="427">
        <f t="shared" ref="C85:N85" si="24">C19+C27</f>
        <v>142427585.22598231</v>
      </c>
      <c r="D85" s="427">
        <f t="shared" si="24"/>
        <v>147369878.03288075</v>
      </c>
      <c r="E85" s="427">
        <f t="shared" si="24"/>
        <v>152231357.28824168</v>
      </c>
      <c r="F85" s="427">
        <f t="shared" si="24"/>
        <v>157048170.16594684</v>
      </c>
      <c r="G85" s="427">
        <f t="shared" si="24"/>
        <v>162109050.12710857</v>
      </c>
      <c r="H85" s="427">
        <f t="shared" si="24"/>
        <v>21014915.112470929</v>
      </c>
      <c r="I85" s="427">
        <f t="shared" si="24"/>
        <v>21511023.855065018</v>
      </c>
      <c r="J85" s="427">
        <f t="shared" si="24"/>
        <v>21809881.14368929</v>
      </c>
      <c r="K85" s="427">
        <f t="shared" si="24"/>
        <v>22179320.082526676</v>
      </c>
      <c r="L85" s="427">
        <f t="shared" si="24"/>
        <v>2201.928083452367</v>
      </c>
      <c r="M85" s="427">
        <f t="shared" si="24"/>
        <v>0.70999999401101377</v>
      </c>
      <c r="N85" s="427">
        <f t="shared" si="24"/>
        <v>0.70999999401101377</v>
      </c>
      <c r="O85" s="432">
        <f>(SUM(C85:N85)+B85)/13</f>
        <v>75584171.835892528</v>
      </c>
    </row>
    <row r="86" spans="1:16">
      <c r="A86" s="420" t="s">
        <v>317</v>
      </c>
      <c r="B86" s="427">
        <f t="shared" ref="B86:N86" si="25">B20+B28+B34</f>
        <v>35697679.232864</v>
      </c>
      <c r="C86" s="427">
        <f t="shared" si="25"/>
        <v>35929270.291488893</v>
      </c>
      <c r="D86" s="427">
        <f t="shared" si="25"/>
        <v>36095429.984590448</v>
      </c>
      <c r="E86" s="427">
        <f t="shared" si="25"/>
        <v>36383658.529229529</v>
      </c>
      <c r="F86" s="427">
        <f t="shared" si="25"/>
        <v>36386523.35152439</v>
      </c>
      <c r="G86" s="427">
        <f t="shared" si="25"/>
        <v>36444414.985362642</v>
      </c>
      <c r="H86" s="427">
        <f t="shared" si="25"/>
        <v>174467917.32550997</v>
      </c>
      <c r="I86" s="427">
        <f t="shared" si="25"/>
        <v>179128642.08291587</v>
      </c>
      <c r="J86" s="427">
        <f t="shared" si="25"/>
        <v>182772293.29429159</v>
      </c>
      <c r="K86" s="427">
        <f t="shared" si="25"/>
        <v>183230394.35545424</v>
      </c>
      <c r="L86" s="427">
        <f t="shared" si="25"/>
        <v>205966102.00989744</v>
      </c>
      <c r="M86" s="427">
        <f t="shared" si="25"/>
        <v>206065449.22798088</v>
      </c>
      <c r="N86" s="427">
        <f t="shared" si="25"/>
        <v>206065449.22798088</v>
      </c>
      <c r="O86" s="432">
        <f>(SUM(C86:N86)+B86)/13</f>
        <v>119587171.0691608</v>
      </c>
      <c r="P86" s="443"/>
    </row>
    <row r="87" spans="1:16">
      <c r="A87" s="420" t="s">
        <v>318</v>
      </c>
      <c r="B87" s="427">
        <f t="shared" ref="B87:N87" si="26">B19+B20+B27+B28+B34</f>
        <v>170588528.71747121</v>
      </c>
      <c r="C87" s="427">
        <f t="shared" si="26"/>
        <v>178356855.51747119</v>
      </c>
      <c r="D87" s="427">
        <f t="shared" si="26"/>
        <v>183465308.01747119</v>
      </c>
      <c r="E87" s="427">
        <f t="shared" si="26"/>
        <v>188615015.81747121</v>
      </c>
      <c r="F87" s="427">
        <f t="shared" si="26"/>
        <v>193434693.51747119</v>
      </c>
      <c r="G87" s="427">
        <f t="shared" si="26"/>
        <v>198553465.11247122</v>
      </c>
      <c r="H87" s="427">
        <f t="shared" si="26"/>
        <v>195482832.43798089</v>
      </c>
      <c r="I87" s="427">
        <f t="shared" si="26"/>
        <v>200639665.93798089</v>
      </c>
      <c r="J87" s="427">
        <f t="shared" si="26"/>
        <v>204582174.43798089</v>
      </c>
      <c r="K87" s="427">
        <f t="shared" si="26"/>
        <v>205409714.43798089</v>
      </c>
      <c r="L87" s="427">
        <f t="shared" si="26"/>
        <v>205968303.93798089</v>
      </c>
      <c r="M87" s="427">
        <f t="shared" si="26"/>
        <v>206065449.93798086</v>
      </c>
      <c r="N87" s="427">
        <f t="shared" si="26"/>
        <v>206065449.93798086</v>
      </c>
      <c r="O87" s="429">
        <f>(SUM(C87:N87)+B87)/13</f>
        <v>195171342.90505332</v>
      </c>
      <c r="P87" s="443"/>
    </row>
    <row r="88" spans="1:16">
      <c r="A88" s="420" t="s">
        <v>319</v>
      </c>
      <c r="B88" s="427">
        <f t="shared" ref="B88:N88" si="27">B19+B20-B21+B27+B28-B29++B34-B35</f>
        <v>170287414.97948879</v>
      </c>
      <c r="C88" s="427">
        <f t="shared" si="27"/>
        <v>178015915.30873945</v>
      </c>
      <c r="D88" s="427">
        <f t="shared" si="27"/>
        <v>183084541.33799011</v>
      </c>
      <c r="E88" s="427">
        <f t="shared" si="27"/>
        <v>188194422.66724077</v>
      </c>
      <c r="F88" s="427">
        <f t="shared" si="27"/>
        <v>192974273.89649144</v>
      </c>
      <c r="G88" s="427">
        <f t="shared" si="27"/>
        <v>198053107.08817849</v>
      </c>
      <c r="H88" s="427">
        <f t="shared" si="27"/>
        <v>194819906.19618702</v>
      </c>
      <c r="I88" s="427">
        <f t="shared" si="27"/>
        <v>199687784.83547449</v>
      </c>
      <c r="J88" s="427">
        <f t="shared" si="27"/>
        <v>203334279.19120869</v>
      </c>
      <c r="K88" s="427">
        <f t="shared" si="27"/>
        <v>203862213.38270688</v>
      </c>
      <c r="L88" s="427">
        <f t="shared" si="27"/>
        <v>204102392.66151145</v>
      </c>
      <c r="M88" s="427">
        <f t="shared" si="27"/>
        <v>203862638.16735145</v>
      </c>
      <c r="N88" s="427">
        <f t="shared" si="27"/>
        <v>203525650.68065116</v>
      </c>
      <c r="O88" s="429">
        <f>(SUM(C88:N88)+B88)/13</f>
        <v>194138810.79947847</v>
      </c>
      <c r="P88" s="443"/>
    </row>
    <row r="89" spans="1:16" s="427" customFormat="1" ht="8.25" customHeight="1">
      <c r="A89" s="428"/>
      <c r="B89" s="424"/>
    </row>
    <row r="90" spans="1:16">
      <c r="A90" s="445" t="s">
        <v>243</v>
      </c>
      <c r="O90" s="443" t="s">
        <v>307</v>
      </c>
      <c r="P90" s="443"/>
    </row>
    <row r="91" spans="1:16">
      <c r="A91" s="420" t="s">
        <v>320</v>
      </c>
      <c r="B91" s="427">
        <f t="shared" ref="B91:N91" si="28">B60</f>
        <v>100041684.14273262</v>
      </c>
      <c r="C91" s="427">
        <f t="shared" si="28"/>
        <v>40122647.106275506</v>
      </c>
      <c r="D91" s="427">
        <f t="shared" si="28"/>
        <v>33044420.243342746</v>
      </c>
      <c r="E91" s="427">
        <f t="shared" si="28"/>
        <v>2100460.6604738808</v>
      </c>
      <c r="F91" s="427">
        <f t="shared" si="28"/>
        <v>2054287.2198312229</v>
      </c>
      <c r="G91" s="427">
        <f t="shared" si="28"/>
        <v>2051931.8915316723</v>
      </c>
      <c r="H91" s="427">
        <f t="shared" si="28"/>
        <v>2049267.565334311</v>
      </c>
      <c r="I91" s="427">
        <f t="shared" si="28"/>
        <v>2046538.2018779211</v>
      </c>
      <c r="J91" s="427">
        <f t="shared" si="28"/>
        <v>2040570.1665002415</v>
      </c>
      <c r="K91" s="427">
        <f t="shared" si="28"/>
        <v>2033637.7623122518</v>
      </c>
      <c r="L91" s="427">
        <f t="shared" si="28"/>
        <v>2022106.5243600984</v>
      </c>
      <c r="M91" s="427">
        <f t="shared" si="28"/>
        <v>2016200.7711347509</v>
      </c>
      <c r="N91" s="427">
        <f t="shared" si="28"/>
        <v>2010552.1829254862</v>
      </c>
      <c r="O91" s="438">
        <f>(SUM(C91:N91)+B91)/13</f>
        <v>14894946.495279441</v>
      </c>
      <c r="P91" s="443"/>
    </row>
    <row r="92" spans="1:16">
      <c r="A92" s="420" t="s">
        <v>321</v>
      </c>
      <c r="B92" s="427">
        <f>B61+B62</f>
        <v>309714854.84961247</v>
      </c>
      <c r="C92" s="427">
        <f t="shared" ref="C92:N92" si="29">C61+C62</f>
        <v>375393972.6918143</v>
      </c>
      <c r="D92" s="427">
        <f t="shared" si="29"/>
        <v>380409002.26679236</v>
      </c>
      <c r="E92" s="427">
        <f t="shared" si="29"/>
        <v>406701642.57569313</v>
      </c>
      <c r="F92" s="427">
        <f t="shared" si="29"/>
        <v>410702908.75142068</v>
      </c>
      <c r="G92" s="427">
        <f t="shared" si="29"/>
        <v>410827943.97558981</v>
      </c>
      <c r="H92" s="427">
        <f t="shared" si="29"/>
        <v>410963674.68765676</v>
      </c>
      <c r="I92" s="427">
        <f t="shared" si="29"/>
        <v>411100547.77306062</v>
      </c>
      <c r="J92" s="427">
        <f t="shared" si="29"/>
        <v>411397136.37038577</v>
      </c>
      <c r="K92" s="427">
        <f t="shared" si="29"/>
        <v>411741282.93652129</v>
      </c>
      <c r="L92" s="427">
        <f t="shared" si="29"/>
        <v>412312221.56642091</v>
      </c>
      <c r="M92" s="427">
        <f t="shared" si="29"/>
        <v>412605738.71159375</v>
      </c>
      <c r="N92" s="427">
        <f t="shared" si="29"/>
        <v>412886573.73175043</v>
      </c>
      <c r="O92" s="438">
        <f>(SUM(C92:N92)+B92)/13</f>
        <v>398212115.45294708</v>
      </c>
      <c r="P92" s="443"/>
    </row>
    <row r="93" spans="1:16">
      <c r="A93" s="420" t="s">
        <v>322</v>
      </c>
      <c r="B93" s="427">
        <f t="shared" ref="B93:N93" si="30">B91+B92</f>
        <v>409756538.99234509</v>
      </c>
      <c r="C93" s="427">
        <f t="shared" si="30"/>
        <v>415516619.7980898</v>
      </c>
      <c r="D93" s="427">
        <f t="shared" si="30"/>
        <v>413453422.51013511</v>
      </c>
      <c r="E93" s="427">
        <f t="shared" si="30"/>
        <v>408802103.23616701</v>
      </c>
      <c r="F93" s="427">
        <f t="shared" si="30"/>
        <v>412757195.9712519</v>
      </c>
      <c r="G93" s="427">
        <f t="shared" si="30"/>
        <v>412879875.86712146</v>
      </c>
      <c r="H93" s="427">
        <f t="shared" si="30"/>
        <v>413012942.25299108</v>
      </c>
      <c r="I93" s="427">
        <f t="shared" si="30"/>
        <v>413147085.97493851</v>
      </c>
      <c r="J93" s="427">
        <f t="shared" si="30"/>
        <v>413437706.53688604</v>
      </c>
      <c r="K93" s="427">
        <f t="shared" si="30"/>
        <v>413774920.69883353</v>
      </c>
      <c r="L93" s="427">
        <f t="shared" si="30"/>
        <v>414334328.09078103</v>
      </c>
      <c r="M93" s="427">
        <f t="shared" si="30"/>
        <v>414621939.48272848</v>
      </c>
      <c r="N93" s="427">
        <f t="shared" si="30"/>
        <v>414897125.91467589</v>
      </c>
      <c r="O93" s="438">
        <f>(SUM(C93:N93)+B93)/13</f>
        <v>413107061.94822651</v>
      </c>
      <c r="P93" s="443"/>
    </row>
    <row r="94" spans="1:16">
      <c r="A94" s="420" t="s">
        <v>323</v>
      </c>
      <c r="B94" s="427">
        <f>B67</f>
        <v>3977025.014907287</v>
      </c>
      <c r="C94" s="427">
        <f t="shared" ref="C94:N94" si="31">C67</f>
        <v>4511865.2002678495</v>
      </c>
      <c r="D94" s="427">
        <f t="shared" si="31"/>
        <v>5108397.3758740872</v>
      </c>
      <c r="E94" s="427">
        <f t="shared" si="31"/>
        <v>5732878.159281617</v>
      </c>
      <c r="F94" s="427">
        <f t="shared" si="31"/>
        <v>6384577.0062912619</v>
      </c>
      <c r="G94" s="427">
        <f t="shared" si="31"/>
        <v>7039756.8875919767</v>
      </c>
      <c r="H94" s="427">
        <f t="shared" si="31"/>
        <v>7694966.5268665571</v>
      </c>
      <c r="I94" s="427">
        <f t="shared" si="31"/>
        <v>8350191.7290123869</v>
      </c>
      <c r="J94" s="427">
        <f t="shared" si="31"/>
        <v>9005427.4229187798</v>
      </c>
      <c r="K94" s="427">
        <f t="shared" si="31"/>
        <v>9660673.6085857376</v>
      </c>
      <c r="L94" s="427">
        <f t="shared" si="31"/>
        <v>10315930.286013257</v>
      </c>
      <c r="M94" s="427">
        <f t="shared" si="31"/>
        <v>10971197.455201341</v>
      </c>
      <c r="N94" s="427">
        <f t="shared" si="31"/>
        <v>11626475.126149988</v>
      </c>
      <c r="O94" s="438">
        <f>(SUM(C94:N94)+B94)/13</f>
        <v>7721489.3691509319</v>
      </c>
      <c r="P94" s="443"/>
    </row>
    <row r="95" spans="1:16">
      <c r="O95" s="443"/>
      <c r="P95" s="443"/>
    </row>
    <row r="96" spans="1:16">
      <c r="B96" s="427">
        <f>B93-B94</f>
        <v>405779513.97743779</v>
      </c>
      <c r="C96" s="427">
        <f t="shared" ref="C96:N96" si="32">C93-C94</f>
        <v>411004754.59782195</v>
      </c>
      <c r="D96" s="427">
        <f t="shared" si="32"/>
        <v>408345025.13426101</v>
      </c>
      <c r="E96" s="427">
        <f t="shared" si="32"/>
        <v>403069225.0768854</v>
      </c>
      <c r="F96" s="427">
        <f t="shared" si="32"/>
        <v>406372618.96496063</v>
      </c>
      <c r="G96" s="427">
        <f t="shared" si="32"/>
        <v>405840118.9795295</v>
      </c>
      <c r="H96" s="427">
        <f t="shared" si="32"/>
        <v>405317975.72612453</v>
      </c>
      <c r="I96" s="427">
        <f t="shared" si="32"/>
        <v>404796894.24592614</v>
      </c>
      <c r="J96" s="427">
        <f t="shared" si="32"/>
        <v>404432279.11396724</v>
      </c>
      <c r="K96" s="427">
        <f t="shared" si="32"/>
        <v>404114247.09024781</v>
      </c>
      <c r="L96" s="427">
        <f t="shared" si="32"/>
        <v>404018397.80476779</v>
      </c>
      <c r="M96" s="427">
        <f t="shared" si="32"/>
        <v>403650742.02752715</v>
      </c>
      <c r="N96" s="427">
        <f t="shared" si="32"/>
        <v>403270650.78852588</v>
      </c>
      <c r="O96" s="427">
        <f>SUM(B96:N96)/13</f>
        <v>405385572.57907552</v>
      </c>
    </row>
    <row r="97" spans="1:1">
      <c r="A97" s="448" t="s">
        <v>335</v>
      </c>
    </row>
    <row r="98" spans="1:1">
      <c r="A98" s="448" t="s">
        <v>364</v>
      </c>
    </row>
  </sheetData>
  <phoneticPr fontId="13" type="noConversion"/>
  <pageMargins left="0.75" right="0.75" top="1" bottom="1" header="0.5" footer="0.5"/>
  <pageSetup paperSize="3" scale="4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S375"/>
  <sheetViews>
    <sheetView showGridLines="0" tabSelected="1" zoomScale="87" zoomScaleNormal="87" workbookViewId="0"/>
  </sheetViews>
  <sheetFormatPr defaultRowHeight="15.75"/>
  <cols>
    <col min="1" max="1" width="4.6640625" style="499" customWidth="1"/>
    <col min="2" max="2" width="42.6640625" style="499" customWidth="1"/>
    <col min="3" max="3" width="35" style="499" customWidth="1"/>
    <col min="4" max="4" width="13.5546875" style="499" customWidth="1"/>
    <col min="5" max="5" width="5" style="499" customWidth="1"/>
    <col min="6" max="6" width="3.6640625" style="499" customWidth="1"/>
    <col min="7" max="7" width="11.33203125" style="499" customWidth="1"/>
    <col min="8" max="8" width="3.44140625" style="499" customWidth="1"/>
    <col min="9" max="9" width="13" style="499" customWidth="1"/>
    <col min="10" max="10" width="1.77734375" style="499" customWidth="1"/>
    <col min="11" max="11" width="7" style="507" customWidth="1"/>
    <col min="12" max="12" width="13.44140625" style="499" customWidth="1"/>
    <col min="13" max="13" width="13.109375" style="499" customWidth="1"/>
    <col min="14" max="14" width="15" style="499" customWidth="1"/>
    <col min="15" max="15" width="42.109375" style="499" customWidth="1"/>
    <col min="16" max="16" width="12" style="499" customWidth="1"/>
    <col min="17" max="17" width="14.88671875" style="499" customWidth="1"/>
    <col min="18" max="18" width="12.88671875" style="499" customWidth="1"/>
    <col min="19" max="19" width="9.109375" style="499" bestFit="1" customWidth="1"/>
    <col min="20" max="20" width="5.21875" style="499" customWidth="1"/>
    <col min="21" max="16384" width="8.88671875" style="499"/>
  </cols>
  <sheetData>
    <row r="1" spans="1:18">
      <c r="K1" s="500" t="s">
        <v>379</v>
      </c>
    </row>
    <row r="2" spans="1:18">
      <c r="B2" s="501"/>
      <c r="C2" s="501"/>
      <c r="D2" s="502"/>
      <c r="E2" s="501"/>
      <c r="F2" s="501"/>
      <c r="G2" s="501"/>
      <c r="H2" s="503"/>
      <c r="I2" s="504"/>
      <c r="J2" s="504"/>
      <c r="K2" s="505" t="s">
        <v>380</v>
      </c>
    </row>
    <row r="3" spans="1:18">
      <c r="B3" s="501"/>
      <c r="C3" s="501"/>
      <c r="D3" s="502"/>
      <c r="E3" s="501"/>
      <c r="F3" s="501"/>
      <c r="G3" s="501"/>
      <c r="H3" s="503"/>
      <c r="I3" s="503"/>
      <c r="J3" s="503"/>
      <c r="K3" s="506"/>
    </row>
    <row r="4" spans="1:18">
      <c r="B4" s="501" t="s">
        <v>381</v>
      </c>
      <c r="C4" s="501"/>
      <c r="D4" s="502" t="s">
        <v>382</v>
      </c>
      <c r="E4" s="501"/>
      <c r="F4" s="501"/>
      <c r="G4" s="501"/>
      <c r="H4" s="503"/>
      <c r="K4" s="505" t="s">
        <v>383</v>
      </c>
      <c r="L4" s="507"/>
      <c r="M4" s="507"/>
    </row>
    <row r="5" spans="1:18">
      <c r="B5" s="501"/>
      <c r="C5" s="508" t="s">
        <v>5</v>
      </c>
      <c r="D5" s="508" t="s">
        <v>384</v>
      </c>
      <c r="E5" s="508"/>
      <c r="F5" s="508"/>
      <c r="G5" s="508"/>
      <c r="H5" s="503"/>
      <c r="I5" s="503"/>
      <c r="J5" s="503"/>
      <c r="K5" s="506"/>
      <c r="L5" s="507"/>
      <c r="M5" s="507"/>
    </row>
    <row r="6" spans="1:18">
      <c r="B6" s="509"/>
      <c r="C6" s="509"/>
      <c r="D6" s="509"/>
      <c r="E6" s="509"/>
      <c r="F6" s="509"/>
      <c r="G6" s="509"/>
      <c r="H6" s="509"/>
      <c r="I6" s="509"/>
      <c r="J6" s="509"/>
      <c r="K6" s="506"/>
    </row>
    <row r="7" spans="1:18">
      <c r="A7" s="1014" t="s">
        <v>385</v>
      </c>
      <c r="B7" s="1014"/>
      <c r="C7" s="1014"/>
      <c r="D7" s="1014"/>
      <c r="E7" s="1014"/>
      <c r="F7" s="1014"/>
      <c r="G7" s="1014"/>
      <c r="H7" s="1014"/>
      <c r="I7" s="1014"/>
      <c r="J7" s="1014"/>
      <c r="K7" s="1014"/>
      <c r="N7" s="511"/>
    </row>
    <row r="8" spans="1:18">
      <c r="A8" s="512"/>
      <c r="B8" s="509"/>
      <c r="C8" s="509"/>
      <c r="D8" s="513"/>
      <c r="E8" s="509"/>
      <c r="F8" s="509"/>
      <c r="G8" s="509"/>
      <c r="H8" s="509"/>
      <c r="I8" s="509"/>
      <c r="J8" s="509"/>
      <c r="K8" s="506"/>
    </row>
    <row r="9" spans="1:18">
      <c r="A9" s="512" t="s">
        <v>46</v>
      </c>
      <c r="B9" s="509"/>
      <c r="C9" s="509"/>
      <c r="D9" s="513"/>
      <c r="E9" s="509"/>
      <c r="F9" s="509"/>
      <c r="G9" s="509"/>
      <c r="H9" s="509"/>
      <c r="I9" s="512" t="s">
        <v>386</v>
      </c>
      <c r="J9" s="512"/>
      <c r="K9" s="506"/>
    </row>
    <row r="10" spans="1:18" ht="16.5" thickBot="1">
      <c r="A10" s="514" t="s">
        <v>22</v>
      </c>
      <c r="B10" s="509"/>
      <c r="C10" s="509"/>
      <c r="D10" s="509"/>
      <c r="E10" s="509"/>
      <c r="F10" s="509"/>
      <c r="G10" s="509"/>
      <c r="H10" s="509"/>
      <c r="I10" s="514" t="s">
        <v>387</v>
      </c>
      <c r="J10" s="515"/>
      <c r="K10" s="506"/>
    </row>
    <row r="11" spans="1:18">
      <c r="A11" s="512">
        <v>1</v>
      </c>
      <c r="B11" s="509" t="s">
        <v>388</v>
      </c>
      <c r="C11" s="509"/>
      <c r="D11" s="516"/>
      <c r="E11" s="509"/>
      <c r="F11" s="509"/>
      <c r="G11" s="509"/>
      <c r="H11" s="509"/>
      <c r="I11" s="517">
        <f>+I212</f>
        <v>401255642.2731778</v>
      </c>
      <c r="J11" s="517"/>
      <c r="K11" s="506"/>
    </row>
    <row r="12" spans="1:18">
      <c r="A12" s="512"/>
      <c r="B12" s="509"/>
      <c r="C12" s="509"/>
      <c r="D12" s="509"/>
      <c r="E12" s="509"/>
      <c r="F12" s="509"/>
      <c r="G12" s="509"/>
      <c r="H12" s="509"/>
      <c r="I12" s="516"/>
      <c r="J12" s="516"/>
      <c r="K12" s="506"/>
    </row>
    <row r="13" spans="1:18" ht="16.5" thickBot="1">
      <c r="A13" s="512" t="s">
        <v>5</v>
      </c>
      <c r="B13" s="518" t="s">
        <v>389</v>
      </c>
      <c r="C13" s="519" t="s">
        <v>390</v>
      </c>
      <c r="D13" s="514" t="s">
        <v>23</v>
      </c>
      <c r="E13" s="508"/>
      <c r="F13" s="520" t="s">
        <v>391</v>
      </c>
      <c r="G13" s="520"/>
      <c r="H13" s="509"/>
      <c r="I13" s="516"/>
      <c r="J13" s="516"/>
      <c r="K13" s="506"/>
    </row>
    <row r="14" spans="1:18">
      <c r="A14" s="512">
        <v>2</v>
      </c>
      <c r="B14" s="518" t="s">
        <v>392</v>
      </c>
      <c r="C14" s="508" t="s">
        <v>393</v>
      </c>
      <c r="D14" s="508">
        <f>I285</f>
        <v>168864</v>
      </c>
      <c r="E14" s="508"/>
      <c r="F14" s="508" t="s">
        <v>394</v>
      </c>
      <c r="G14" s="521">
        <f>I235</f>
        <v>0.9795250731428311</v>
      </c>
      <c r="H14" s="508"/>
      <c r="I14" s="508">
        <f>+G14*D14</f>
        <v>165406.52195119104</v>
      </c>
      <c r="J14" s="508"/>
      <c r="K14" s="506"/>
    </row>
    <row r="15" spans="1:18">
      <c r="A15" s="512">
        <v>3</v>
      </c>
      <c r="B15" s="518" t="s">
        <v>395</v>
      </c>
      <c r="C15" s="508" t="s">
        <v>396</v>
      </c>
      <c r="D15" s="508">
        <f>I292</f>
        <v>18207196.520173453</v>
      </c>
      <c r="E15" s="508"/>
      <c r="F15" s="508" t="str">
        <f t="shared" ref="F15:G17" si="0">+F14</f>
        <v>TP</v>
      </c>
      <c r="G15" s="521">
        <f t="shared" si="0"/>
        <v>0.9795250731428311</v>
      </c>
      <c r="H15" s="508"/>
      <c r="I15" s="508">
        <f>+G15*D15</f>
        <v>17834405.503148802</v>
      </c>
      <c r="J15" s="508"/>
      <c r="K15" s="506"/>
    </row>
    <row r="16" spans="1:18">
      <c r="A16" s="512">
        <v>4</v>
      </c>
      <c r="B16" s="522" t="s">
        <v>397</v>
      </c>
      <c r="C16" s="508"/>
      <c r="D16" s="523">
        <v>0</v>
      </c>
      <c r="E16" s="508"/>
      <c r="F16" s="508" t="str">
        <f t="shared" si="0"/>
        <v>TP</v>
      </c>
      <c r="G16" s="521">
        <f t="shared" si="0"/>
        <v>0.9795250731428311</v>
      </c>
      <c r="H16" s="508"/>
      <c r="I16" s="508">
        <f>+G16*D16</f>
        <v>0</v>
      </c>
      <c r="J16" s="508"/>
      <c r="K16" s="506"/>
      <c r="P16" s="524" t="s">
        <v>398</v>
      </c>
      <c r="Q16" s="524" t="s">
        <v>398</v>
      </c>
      <c r="R16" s="524" t="s">
        <v>149</v>
      </c>
    </row>
    <row r="17" spans="1:19" ht="16.5" thickBot="1">
      <c r="A17" s="512">
        <v>5</v>
      </c>
      <c r="B17" s="522" t="s">
        <v>399</v>
      </c>
      <c r="C17" s="508"/>
      <c r="D17" s="523">
        <v>0</v>
      </c>
      <c r="E17" s="508"/>
      <c r="F17" s="508" t="str">
        <f t="shared" si="0"/>
        <v>TP</v>
      </c>
      <c r="G17" s="521">
        <f t="shared" si="0"/>
        <v>0.9795250731428311</v>
      </c>
      <c r="H17" s="508"/>
      <c r="I17" s="525">
        <f>+G17*D17</f>
        <v>0</v>
      </c>
      <c r="J17" s="526"/>
      <c r="K17" s="506"/>
      <c r="P17" s="524" t="s">
        <v>400</v>
      </c>
      <c r="Q17" s="524" t="s">
        <v>400</v>
      </c>
      <c r="R17" s="524" t="s">
        <v>401</v>
      </c>
    </row>
    <row r="18" spans="1:19">
      <c r="A18" s="512">
        <v>6</v>
      </c>
      <c r="B18" s="518" t="s">
        <v>402</v>
      </c>
      <c r="C18" s="509"/>
      <c r="D18" s="527" t="s">
        <v>5</v>
      </c>
      <c r="E18" s="508"/>
      <c r="F18" s="508"/>
      <c r="G18" s="521"/>
      <c r="H18" s="508"/>
      <c r="I18" s="508">
        <f>SUM(I14:I17)</f>
        <v>17999812.025099993</v>
      </c>
      <c r="J18" s="508"/>
      <c r="K18" s="506"/>
      <c r="N18" s="499" t="s">
        <v>403</v>
      </c>
      <c r="O18" s="499" t="s">
        <v>398</v>
      </c>
      <c r="P18" s="524" t="s">
        <v>404</v>
      </c>
      <c r="Q18" s="524" t="s">
        <v>405</v>
      </c>
      <c r="R18" s="524" t="s">
        <v>406</v>
      </c>
    </row>
    <row r="19" spans="1:19">
      <c r="A19" s="512"/>
      <c r="B19" s="518"/>
      <c r="C19" s="509"/>
      <c r="D19" s="527"/>
      <c r="E19" s="508"/>
      <c r="F19" s="508"/>
      <c r="G19" s="521"/>
      <c r="H19" s="508"/>
      <c r="I19" s="508"/>
      <c r="J19" s="519"/>
      <c r="K19" s="506"/>
      <c r="N19" s="499" t="s">
        <v>407</v>
      </c>
      <c r="O19" s="960">
        <f>+Q28</f>
        <v>11321762</v>
      </c>
      <c r="P19" s="960">
        <v>0</v>
      </c>
      <c r="Q19" s="960">
        <f>O19-P19</f>
        <v>11321762</v>
      </c>
      <c r="R19" s="961">
        <f>Q19/Q21</f>
        <v>3.7089076456841151E-3</v>
      </c>
    </row>
    <row r="20" spans="1:19">
      <c r="A20" s="528" t="s">
        <v>408</v>
      </c>
      <c r="B20" s="507" t="s">
        <v>409</v>
      </c>
      <c r="C20" s="506"/>
      <c r="D20" s="519" t="s">
        <v>5</v>
      </c>
      <c r="E20" s="506"/>
      <c r="F20" s="506"/>
      <c r="G20" s="529"/>
      <c r="H20" s="506"/>
      <c r="I20" s="530">
        <f>'Prior Year True Up Rev 1'!$D$8</f>
        <v>308119864.20179546</v>
      </c>
      <c r="J20" s="531"/>
      <c r="K20" s="506"/>
      <c r="N20" s="499" t="s">
        <v>410</v>
      </c>
      <c r="O20" s="962">
        <f>+O21-O19</f>
        <v>3877014006.8165798</v>
      </c>
      <c r="P20" s="963">
        <f>'Attachment GG and MM Proj Rev 2'!$E$43</f>
        <v>835749109.4602561</v>
      </c>
      <c r="Q20" s="962">
        <f>O20-P20</f>
        <v>3041264897.3563237</v>
      </c>
      <c r="R20" s="964">
        <f>Q20/Q21</f>
        <v>0.9962910923543159</v>
      </c>
    </row>
    <row r="21" spans="1:19" ht="16.5" thickBot="1">
      <c r="A21" s="528" t="s">
        <v>411</v>
      </c>
      <c r="B21" s="507" t="s">
        <v>412</v>
      </c>
      <c r="C21" s="506" t="s">
        <v>413</v>
      </c>
      <c r="D21" s="519"/>
      <c r="E21" s="506"/>
      <c r="F21" s="506"/>
      <c r="G21" s="529"/>
      <c r="H21" s="506"/>
      <c r="I21" s="532">
        <f>'Prior Year True Up Rev 1'!$F$8</f>
        <v>322943371</v>
      </c>
      <c r="J21" s="531"/>
      <c r="K21" s="506"/>
      <c r="N21" s="499" t="s">
        <v>23</v>
      </c>
      <c r="O21" s="965">
        <f>+I87</f>
        <v>3888335768.8165798</v>
      </c>
      <c r="P21" s="965">
        <f>SUM(P19:P20)</f>
        <v>835749109.4602561</v>
      </c>
      <c r="Q21" s="965">
        <f>SUM(Q19:Q20)</f>
        <v>3052586659.3563237</v>
      </c>
      <c r="R21" s="964">
        <f>SUM(R19:R20)</f>
        <v>1</v>
      </c>
    </row>
    <row r="22" spans="1:19">
      <c r="A22" s="528" t="s">
        <v>414</v>
      </c>
      <c r="B22" s="507" t="s">
        <v>415</v>
      </c>
      <c r="C22" s="506" t="s">
        <v>416</v>
      </c>
      <c r="D22" s="519"/>
      <c r="E22" s="506"/>
      <c r="F22" s="506"/>
      <c r="G22" s="529"/>
      <c r="H22" s="506"/>
      <c r="I22" s="531">
        <f>I20-I21</f>
        <v>-14823506.798204541</v>
      </c>
      <c r="J22" s="531"/>
      <c r="K22" s="506"/>
    </row>
    <row r="23" spans="1:19">
      <c r="A23" s="528" t="s">
        <v>417</v>
      </c>
      <c r="B23" s="507" t="s">
        <v>418</v>
      </c>
      <c r="C23" s="506" t="s">
        <v>419</v>
      </c>
      <c r="D23" s="519"/>
      <c r="E23" s="506"/>
      <c r="F23" s="506"/>
      <c r="G23" s="529"/>
      <c r="H23" s="506"/>
      <c r="I23" s="530">
        <f>-'Prior Year True Up Rev 1'!$H$24</f>
        <v>-7694807.30419177</v>
      </c>
      <c r="J23" s="531"/>
      <c r="K23" s="506"/>
    </row>
    <row r="24" spans="1:19" ht="16.5" thickBot="1">
      <c r="A24" s="528" t="s">
        <v>420</v>
      </c>
      <c r="B24" s="507" t="s">
        <v>421</v>
      </c>
      <c r="C24" s="506"/>
      <c r="D24" s="519"/>
      <c r="E24" s="506"/>
      <c r="F24" s="506"/>
      <c r="G24" s="529"/>
      <c r="H24" s="506"/>
      <c r="I24" s="532">
        <f>'True Up Interest Calc Rev 1'!$C$15</f>
        <v>-1505997.4123126483</v>
      </c>
      <c r="J24" s="531"/>
      <c r="K24" s="506"/>
    </row>
    <row r="25" spans="1:19">
      <c r="A25" s="512"/>
      <c r="B25" s="518"/>
      <c r="C25" s="509"/>
      <c r="I25" s="508"/>
      <c r="J25" s="519"/>
      <c r="K25" s="506"/>
    </row>
    <row r="26" spans="1:19" ht="16.5" thickBot="1">
      <c r="A26" s="512">
        <v>7</v>
      </c>
      <c r="B26" s="518" t="s">
        <v>124</v>
      </c>
      <c r="C26" s="506" t="s">
        <v>422</v>
      </c>
      <c r="D26" s="527"/>
      <c r="E26" s="508"/>
      <c r="F26" s="508"/>
      <c r="G26" s="508"/>
      <c r="H26" s="508"/>
      <c r="I26" s="533">
        <f>+I11-I18+I22+I23+I24</f>
        <v>359231518.73336887</v>
      </c>
      <c r="J26" s="534"/>
      <c r="K26" s="506"/>
    </row>
    <row r="27" spans="1:19" ht="16.5" thickTop="1">
      <c r="A27" s="512"/>
      <c r="C27" s="509"/>
      <c r="D27" s="527"/>
      <c r="E27" s="508"/>
      <c r="F27" s="508"/>
      <c r="G27" s="508"/>
      <c r="H27" s="508"/>
      <c r="J27" s="507"/>
      <c r="K27" s="506"/>
      <c r="Q27" s="1015"/>
      <c r="R27" s="1015"/>
      <c r="S27" s="1015"/>
    </row>
    <row r="28" spans="1:19">
      <c r="A28" s="512"/>
      <c r="B28" s="518" t="s">
        <v>423</v>
      </c>
      <c r="C28" s="509"/>
      <c r="D28" s="516"/>
      <c r="E28" s="509"/>
      <c r="F28" s="509"/>
      <c r="G28" s="509"/>
      <c r="H28" s="509"/>
      <c r="I28" s="516"/>
      <c r="J28" s="535"/>
      <c r="K28" s="506"/>
      <c r="N28" s="973">
        <v>8312382</v>
      </c>
      <c r="O28" s="536" t="s">
        <v>424</v>
      </c>
      <c r="P28" s="537"/>
      <c r="Q28" s="973">
        <v>11321762</v>
      </c>
      <c r="R28" s="536" t="s">
        <v>425</v>
      </c>
      <c r="S28" s="537"/>
    </row>
    <row r="29" spans="1:19">
      <c r="A29" s="512">
        <v>8</v>
      </c>
      <c r="B29" s="538" t="s">
        <v>426</v>
      </c>
      <c r="C29" s="507"/>
      <c r="D29" s="516"/>
      <c r="E29" s="509"/>
      <c r="F29" s="509"/>
      <c r="G29" s="539" t="s">
        <v>427</v>
      </c>
      <c r="H29" s="509"/>
      <c r="I29" s="540">
        <f>'Divisor Rev 1'!$H$25</f>
        <v>6790500</v>
      </c>
      <c r="J29" s="535"/>
      <c r="K29" s="506"/>
      <c r="N29" s="974">
        <f>N28/I103</f>
        <v>2.821075155868609E-3</v>
      </c>
      <c r="O29" s="541" t="s">
        <v>428</v>
      </c>
      <c r="P29" s="542"/>
      <c r="Q29" s="1009">
        <f>R19</f>
        <v>3.7089076456841151E-3</v>
      </c>
      <c r="R29" s="543" t="s">
        <v>429</v>
      </c>
      <c r="S29" s="544"/>
    </row>
    <row r="30" spans="1:19">
      <c r="A30" s="512">
        <v>9</v>
      </c>
      <c r="B30" s="518" t="s">
        <v>430</v>
      </c>
      <c r="C30" s="508"/>
      <c r="D30" s="508"/>
      <c r="E30" s="508"/>
      <c r="F30" s="508"/>
      <c r="G30" s="519" t="s">
        <v>431</v>
      </c>
      <c r="H30" s="508"/>
      <c r="I30" s="540">
        <v>0</v>
      </c>
      <c r="J30" s="535"/>
      <c r="K30" s="506"/>
      <c r="N30" s="975">
        <f>P32/P34</f>
        <v>9.5403001290147345E-3</v>
      </c>
      <c r="O30" s="545" t="s">
        <v>432</v>
      </c>
      <c r="P30" s="546"/>
      <c r="Q30" s="976"/>
      <c r="R30" s="547"/>
      <c r="S30" s="548"/>
    </row>
    <row r="31" spans="1:19">
      <c r="A31" s="512">
        <v>10</v>
      </c>
      <c r="B31" s="522" t="s">
        <v>126</v>
      </c>
      <c r="C31" s="509"/>
      <c r="D31" s="509"/>
      <c r="E31" s="509"/>
      <c r="G31" s="539" t="s">
        <v>433</v>
      </c>
      <c r="H31" s="509"/>
      <c r="I31" s="540">
        <f>'Divisor Rev 1'!$J$25</f>
        <v>573000</v>
      </c>
      <c r="J31" s="535"/>
      <c r="K31" s="506"/>
      <c r="N31" s="549" t="s">
        <v>403</v>
      </c>
      <c r="O31" s="550" t="s">
        <v>434</v>
      </c>
      <c r="P31" s="551" t="s">
        <v>104</v>
      </c>
      <c r="Q31" s="549" t="s">
        <v>403</v>
      </c>
      <c r="R31" s="550" t="s">
        <v>434</v>
      </c>
      <c r="S31" s="551" t="s">
        <v>104</v>
      </c>
    </row>
    <row r="32" spans="1:19">
      <c r="A32" s="512">
        <v>11</v>
      </c>
      <c r="B32" s="518" t="s">
        <v>435</v>
      </c>
      <c r="C32" s="509"/>
      <c r="D32" s="509"/>
      <c r="E32" s="509"/>
      <c r="G32" s="539" t="s">
        <v>436</v>
      </c>
      <c r="H32" s="509"/>
      <c r="I32" s="552">
        <v>0</v>
      </c>
      <c r="J32" s="522"/>
      <c r="K32" s="506"/>
      <c r="N32" s="553" t="s">
        <v>407</v>
      </c>
      <c r="O32" s="554">
        <f>N29*I26</f>
        <v>1013419.1127036557</v>
      </c>
      <c r="P32" s="966">
        <v>70250</v>
      </c>
      <c r="Q32" s="967" t="s">
        <v>407</v>
      </c>
      <c r="R32" s="968">
        <f>Q29*I26</f>
        <v>1332356.5264009081</v>
      </c>
      <c r="S32" s="977">
        <f>P32</f>
        <v>70250</v>
      </c>
    </row>
    <row r="33" spans="1:19">
      <c r="A33" s="512">
        <v>12</v>
      </c>
      <c r="B33" s="522" t="s">
        <v>127</v>
      </c>
      <c r="C33" s="509"/>
      <c r="D33" s="509"/>
      <c r="E33" s="509"/>
      <c r="F33" s="509"/>
      <c r="G33" s="503"/>
      <c r="H33" s="509"/>
      <c r="I33" s="552">
        <v>0</v>
      </c>
      <c r="J33" s="522"/>
      <c r="K33" s="506"/>
      <c r="N33" s="553" t="s">
        <v>410</v>
      </c>
      <c r="O33" s="554">
        <f>O34-O32</f>
        <v>358218099.62066519</v>
      </c>
      <c r="P33" s="978">
        <f>P34-P32</f>
        <v>7293250</v>
      </c>
      <c r="Q33" s="979" t="s">
        <v>410</v>
      </c>
      <c r="R33" s="980">
        <f>R34-R32</f>
        <v>357899162.20696795</v>
      </c>
      <c r="S33" s="981">
        <f>P33</f>
        <v>7293250</v>
      </c>
    </row>
    <row r="34" spans="1:19">
      <c r="A34" s="512">
        <v>13</v>
      </c>
      <c r="B34" s="522" t="s">
        <v>437</v>
      </c>
      <c r="C34" s="509"/>
      <c r="D34" s="509"/>
      <c r="E34" s="509"/>
      <c r="F34" s="509"/>
      <c r="G34" s="539"/>
      <c r="H34" s="509"/>
      <c r="I34" s="552">
        <v>0</v>
      </c>
      <c r="J34" s="522"/>
      <c r="K34" s="506"/>
      <c r="N34" s="555" t="s">
        <v>23</v>
      </c>
      <c r="O34" s="556">
        <f>I26</f>
        <v>359231518.73336887</v>
      </c>
      <c r="P34" s="982">
        <f>I37</f>
        <v>7363500</v>
      </c>
      <c r="Q34" s="983" t="s">
        <v>23</v>
      </c>
      <c r="R34" s="984">
        <f>I26</f>
        <v>359231518.73336887</v>
      </c>
      <c r="S34" s="985">
        <f>SUM(S32:S33)</f>
        <v>7363500</v>
      </c>
    </row>
    <row r="35" spans="1:19" ht="16.5" thickBot="1">
      <c r="A35" s="512">
        <v>14</v>
      </c>
      <c r="B35" s="522" t="s">
        <v>438</v>
      </c>
      <c r="C35" s="509"/>
      <c r="D35" s="509"/>
      <c r="E35" s="509"/>
      <c r="F35" s="509"/>
      <c r="G35" s="503"/>
      <c r="H35" s="509"/>
      <c r="I35" s="557">
        <v>0</v>
      </c>
      <c r="J35" s="522"/>
      <c r="K35" s="506"/>
    </row>
    <row r="36" spans="1:19" s="507" customFormat="1">
      <c r="A36" s="528"/>
      <c r="B36" s="522"/>
      <c r="C36" s="506"/>
      <c r="D36" s="506"/>
      <c r="E36" s="506"/>
      <c r="F36" s="506"/>
      <c r="G36" s="539"/>
      <c r="H36" s="506"/>
      <c r="I36" s="522"/>
      <c r="J36" s="522"/>
      <c r="K36" s="506"/>
      <c r="N36" s="499"/>
      <c r="O36" s="499"/>
      <c r="P36" s="499"/>
    </row>
    <row r="37" spans="1:19">
      <c r="A37" s="512">
        <v>15</v>
      </c>
      <c r="B37" s="501" t="s">
        <v>128</v>
      </c>
      <c r="C37" s="509"/>
      <c r="D37" s="509"/>
      <c r="E37" s="509"/>
      <c r="F37" s="509"/>
      <c r="G37" s="509"/>
      <c r="H37" s="509"/>
      <c r="I37" s="535">
        <f>SUM(I29:I35)</f>
        <v>7363500</v>
      </c>
      <c r="J37" s="535"/>
      <c r="K37" s="506"/>
      <c r="L37" s="507"/>
    </row>
    <row r="38" spans="1:19">
      <c r="A38" s="512">
        <v>16</v>
      </c>
      <c r="B38" s="518" t="s">
        <v>129</v>
      </c>
      <c r="C38" s="509" t="s">
        <v>439</v>
      </c>
      <c r="D38" s="558">
        <f>IF(I37&gt;0,I26/I37,0)</f>
        <v>48.785430669297057</v>
      </c>
      <c r="E38" s="509"/>
      <c r="F38" s="509"/>
      <c r="G38" s="509"/>
      <c r="H38" s="509"/>
      <c r="J38" s="507"/>
      <c r="K38" s="506"/>
      <c r="L38" s="507"/>
    </row>
    <row r="39" spans="1:19">
      <c r="A39" s="512">
        <v>17</v>
      </c>
      <c r="B39" s="518" t="s">
        <v>440</v>
      </c>
      <c r="C39" s="509" t="s">
        <v>441</v>
      </c>
      <c r="D39" s="559">
        <f>+D38/12</f>
        <v>4.0654525557747547</v>
      </c>
      <c r="E39" s="509"/>
      <c r="F39" s="509"/>
      <c r="G39" s="509"/>
      <c r="H39" s="509"/>
      <c r="K39" s="506"/>
      <c r="L39" s="507"/>
    </row>
    <row r="40" spans="1:19">
      <c r="A40" s="512"/>
      <c r="B40" s="518"/>
      <c r="C40" s="509"/>
      <c r="D40" s="559"/>
      <c r="E40" s="509"/>
      <c r="F40" s="509"/>
      <c r="G40" s="509"/>
      <c r="H40" s="509"/>
      <c r="K40" s="506"/>
      <c r="L40" s="507"/>
    </row>
    <row r="41" spans="1:19">
      <c r="A41" s="512"/>
      <c r="B41" s="518"/>
      <c r="C41" s="509"/>
      <c r="D41" s="560" t="s">
        <v>442</v>
      </c>
      <c r="E41" s="509"/>
      <c r="F41" s="509"/>
      <c r="G41" s="509"/>
      <c r="H41" s="509"/>
      <c r="I41" s="561" t="s">
        <v>443</v>
      </c>
      <c r="J41" s="561"/>
      <c r="K41" s="506"/>
      <c r="L41" s="507"/>
    </row>
    <row r="42" spans="1:19">
      <c r="A42" s="512">
        <v>18</v>
      </c>
      <c r="B42" s="518" t="s">
        <v>444</v>
      </c>
      <c r="C42" s="562" t="s">
        <v>445</v>
      </c>
      <c r="D42" s="559">
        <f>+D38/52</f>
        <v>0.93818135902494337</v>
      </c>
      <c r="E42" s="509"/>
      <c r="F42" s="509"/>
      <c r="G42" s="509"/>
      <c r="H42" s="509"/>
      <c r="I42" s="563">
        <f>+D38/52</f>
        <v>0.93818135902494337</v>
      </c>
      <c r="J42" s="563"/>
      <c r="K42" s="506"/>
    </row>
    <row r="43" spans="1:19">
      <c r="A43" s="512">
        <v>19</v>
      </c>
      <c r="B43" s="518" t="s">
        <v>446</v>
      </c>
      <c r="C43" s="509" t="s">
        <v>447</v>
      </c>
      <c r="D43" s="559">
        <f>+D38/260</f>
        <v>0.18763627180498868</v>
      </c>
      <c r="E43" s="509" t="s">
        <v>448</v>
      </c>
      <c r="G43" s="509"/>
      <c r="H43" s="509"/>
      <c r="I43" s="563">
        <f>D38/365</f>
        <v>0.1336587141624577</v>
      </c>
      <c r="J43" s="563"/>
      <c r="K43" s="506"/>
    </row>
    <row r="44" spans="1:19">
      <c r="A44" s="512">
        <v>20</v>
      </c>
      <c r="B44" s="518" t="s">
        <v>449</v>
      </c>
      <c r="C44" s="509" t="s">
        <v>450</v>
      </c>
      <c r="D44" s="559">
        <f>+D38/4160*1000</f>
        <v>11.727266987811792</v>
      </c>
      <c r="E44" s="509" t="s">
        <v>451</v>
      </c>
      <c r="G44" s="509"/>
      <c r="H44" s="509"/>
      <c r="I44" s="563">
        <f>+D38/8760*1000</f>
        <v>5.5691130901024035</v>
      </c>
      <c r="J44" s="563"/>
      <c r="K44" s="506" t="s">
        <v>5</v>
      </c>
    </row>
    <row r="45" spans="1:19">
      <c r="A45" s="512"/>
      <c r="B45" s="518"/>
      <c r="C45" s="509" t="s">
        <v>452</v>
      </c>
      <c r="D45" s="509"/>
      <c r="E45" s="509" t="s">
        <v>453</v>
      </c>
      <c r="G45" s="509"/>
      <c r="H45" s="509"/>
      <c r="K45" s="506" t="s">
        <v>5</v>
      </c>
    </row>
    <row r="46" spans="1:19">
      <c r="A46" s="512"/>
      <c r="B46" s="518"/>
      <c r="C46" s="509"/>
      <c r="D46" s="509"/>
      <c r="E46" s="509"/>
      <c r="G46" s="509"/>
      <c r="H46" s="509"/>
      <c r="K46" s="506" t="s">
        <v>5</v>
      </c>
    </row>
    <row r="47" spans="1:19">
      <c r="A47" s="512">
        <v>21</v>
      </c>
      <c r="B47" s="518" t="s">
        <v>454</v>
      </c>
      <c r="C47" s="509" t="s">
        <v>455</v>
      </c>
      <c r="D47" s="564">
        <v>0</v>
      </c>
      <c r="E47" s="565" t="s">
        <v>456</v>
      </c>
      <c r="F47" s="565"/>
      <c r="G47" s="565"/>
      <c r="H47" s="565"/>
      <c r="I47" s="565">
        <f>D47</f>
        <v>0</v>
      </c>
      <c r="J47" s="565" t="s">
        <v>456</v>
      </c>
    </row>
    <row r="48" spans="1:19">
      <c r="A48" s="512">
        <v>22</v>
      </c>
      <c r="B48" s="518"/>
      <c r="C48" s="509"/>
      <c r="D48" s="564">
        <v>0</v>
      </c>
      <c r="E48" s="565" t="s">
        <v>457</v>
      </c>
      <c r="F48" s="565"/>
      <c r="G48" s="565"/>
      <c r="H48" s="565"/>
      <c r="I48" s="565">
        <f>D48</f>
        <v>0</v>
      </c>
      <c r="J48" s="565" t="s">
        <v>457</v>
      </c>
    </row>
    <row r="49" spans="1:11" s="507" customFormat="1">
      <c r="A49" s="528"/>
      <c r="B49" s="538"/>
      <c r="C49" s="506"/>
      <c r="D49" s="566"/>
      <c r="E49" s="566"/>
      <c r="F49" s="566"/>
      <c r="G49" s="566"/>
      <c r="H49" s="566"/>
      <c r="I49" s="566"/>
      <c r="J49" s="566"/>
      <c r="K49" s="506"/>
    </row>
    <row r="50" spans="1:11" s="507" customFormat="1">
      <c r="A50" s="528"/>
      <c r="B50" s="538"/>
      <c r="C50" s="506"/>
      <c r="D50" s="566"/>
      <c r="E50" s="566"/>
      <c r="F50" s="566"/>
      <c r="G50" s="566"/>
      <c r="H50" s="566"/>
      <c r="I50" s="566"/>
      <c r="J50" s="566"/>
      <c r="K50" s="506"/>
    </row>
    <row r="51" spans="1:11" s="507" customFormat="1">
      <c r="A51" s="528"/>
      <c r="B51" s="538"/>
      <c r="C51" s="506"/>
      <c r="D51" s="566"/>
      <c r="E51" s="566"/>
      <c r="F51" s="566"/>
      <c r="G51" s="566"/>
      <c r="H51" s="566"/>
      <c r="I51" s="566"/>
      <c r="J51" s="566"/>
      <c r="K51" s="506"/>
    </row>
    <row r="52" spans="1:11" s="507" customFormat="1">
      <c r="A52" s="528"/>
      <c r="B52" s="538"/>
      <c r="C52" s="506"/>
      <c r="D52" s="566"/>
      <c r="E52" s="566"/>
      <c r="F52" s="566"/>
      <c r="G52" s="566"/>
      <c r="H52" s="566"/>
      <c r="I52" s="566"/>
      <c r="J52" s="566"/>
      <c r="K52" s="506"/>
    </row>
    <row r="53" spans="1:11" s="507" customFormat="1">
      <c r="A53" s="528"/>
      <c r="B53" s="538"/>
      <c r="C53" s="506"/>
      <c r="D53" s="566"/>
      <c r="E53" s="566"/>
      <c r="F53" s="566"/>
      <c r="G53" s="566"/>
      <c r="H53" s="566"/>
      <c r="I53" s="566"/>
      <c r="J53" s="566"/>
      <c r="K53" s="506"/>
    </row>
    <row r="54" spans="1:11" s="507" customFormat="1">
      <c r="A54" s="528"/>
      <c r="B54" s="538"/>
      <c r="C54" s="506"/>
      <c r="D54" s="566"/>
      <c r="E54" s="566"/>
      <c r="F54" s="566"/>
      <c r="G54" s="566"/>
      <c r="H54" s="566"/>
      <c r="I54" s="566"/>
      <c r="J54" s="566"/>
      <c r="K54" s="506"/>
    </row>
    <row r="55" spans="1:11" s="507" customFormat="1">
      <c r="A55" s="528"/>
      <c r="B55" s="538"/>
      <c r="C55" s="506"/>
      <c r="D55" s="566"/>
      <c r="E55" s="566"/>
      <c r="F55" s="566"/>
      <c r="G55" s="566"/>
      <c r="H55" s="566"/>
      <c r="I55" s="566"/>
      <c r="J55" s="566"/>
      <c r="K55" s="506"/>
    </row>
    <row r="56" spans="1:11" s="507" customFormat="1">
      <c r="A56" s="528"/>
      <c r="B56" s="538"/>
      <c r="C56" s="506"/>
      <c r="D56" s="566"/>
      <c r="E56" s="566"/>
      <c r="F56" s="566"/>
      <c r="G56" s="566"/>
      <c r="H56" s="566"/>
      <c r="I56" s="566"/>
      <c r="J56" s="566"/>
      <c r="K56" s="506"/>
    </row>
    <row r="57" spans="1:11" s="507" customFormat="1">
      <c r="A57" s="528"/>
      <c r="B57" s="538"/>
      <c r="C57" s="506"/>
      <c r="D57" s="566"/>
      <c r="E57" s="566"/>
      <c r="F57" s="566"/>
      <c r="G57" s="566"/>
      <c r="H57" s="566"/>
      <c r="I57" s="566"/>
      <c r="J57" s="566"/>
      <c r="K57" s="506"/>
    </row>
    <row r="58" spans="1:11" s="507" customFormat="1">
      <c r="A58" s="528"/>
      <c r="B58" s="538"/>
      <c r="C58" s="506"/>
      <c r="D58" s="566"/>
      <c r="E58" s="566"/>
      <c r="F58" s="566"/>
      <c r="G58" s="566"/>
      <c r="H58" s="566"/>
      <c r="I58" s="566"/>
      <c r="J58" s="566"/>
      <c r="K58" s="506"/>
    </row>
    <row r="59" spans="1:11" s="507" customFormat="1">
      <c r="A59" s="528"/>
      <c r="B59" s="538"/>
      <c r="C59" s="506"/>
      <c r="D59" s="566"/>
      <c r="E59" s="566"/>
      <c r="F59" s="566"/>
      <c r="G59" s="566"/>
      <c r="H59" s="566"/>
      <c r="I59" s="566"/>
      <c r="J59" s="566"/>
      <c r="K59" s="506"/>
    </row>
    <row r="60" spans="1:11" s="507" customFormat="1">
      <c r="A60" s="528"/>
      <c r="B60" s="538"/>
      <c r="C60" s="506"/>
      <c r="D60" s="566"/>
      <c r="E60" s="566"/>
      <c r="F60" s="566"/>
      <c r="G60" s="566"/>
      <c r="H60" s="566"/>
      <c r="I60" s="566"/>
      <c r="J60" s="566"/>
      <c r="K60" s="506"/>
    </row>
    <row r="61" spans="1:11" s="507" customFormat="1">
      <c r="A61" s="528"/>
      <c r="B61" s="538"/>
      <c r="C61" s="506"/>
      <c r="D61" s="566"/>
      <c r="E61" s="566"/>
      <c r="F61" s="566"/>
      <c r="G61" s="566"/>
      <c r="H61" s="566"/>
      <c r="I61" s="566"/>
      <c r="J61" s="566"/>
      <c r="K61" s="506"/>
    </row>
    <row r="62" spans="1:11" s="507" customFormat="1">
      <c r="A62" s="528"/>
      <c r="B62" s="538"/>
      <c r="C62" s="506"/>
      <c r="D62" s="566"/>
      <c r="E62" s="566"/>
      <c r="F62" s="566"/>
      <c r="G62" s="566"/>
      <c r="H62" s="566"/>
      <c r="I62" s="566"/>
      <c r="J62" s="566"/>
      <c r="K62" s="506"/>
    </row>
    <row r="63" spans="1:11" s="507" customFormat="1">
      <c r="A63" s="528"/>
      <c r="B63" s="538"/>
      <c r="C63" s="506"/>
      <c r="D63" s="566"/>
      <c r="E63" s="566"/>
      <c r="F63" s="566"/>
      <c r="G63" s="566"/>
      <c r="H63" s="566"/>
      <c r="I63" s="566"/>
      <c r="J63" s="566"/>
      <c r="K63" s="506"/>
    </row>
    <row r="64" spans="1:11" s="507" customFormat="1">
      <c r="A64" s="528"/>
      <c r="B64" s="538"/>
      <c r="C64" s="506"/>
      <c r="D64" s="566"/>
      <c r="E64" s="566"/>
      <c r="F64" s="566"/>
      <c r="G64" s="566"/>
      <c r="H64" s="566"/>
      <c r="I64" s="566"/>
      <c r="J64" s="566"/>
      <c r="K64" s="506"/>
    </row>
    <row r="65" spans="1:11" s="507" customFormat="1">
      <c r="A65" s="528"/>
      <c r="B65" s="538"/>
      <c r="C65" s="506"/>
      <c r="D65" s="566"/>
      <c r="E65" s="566"/>
      <c r="F65" s="566"/>
      <c r="G65" s="566"/>
      <c r="H65" s="566"/>
      <c r="I65" s="566"/>
      <c r="J65" s="566"/>
      <c r="K65" s="506"/>
    </row>
    <row r="66" spans="1:11" s="507" customFormat="1">
      <c r="A66" s="528"/>
      <c r="B66" s="538"/>
      <c r="C66" s="506"/>
      <c r="D66" s="566"/>
      <c r="E66" s="566"/>
      <c r="F66" s="566"/>
      <c r="G66" s="566"/>
      <c r="H66" s="566"/>
      <c r="I66" s="566"/>
      <c r="J66" s="566"/>
      <c r="K66" s="506"/>
    </row>
    <row r="67" spans="1:11" s="507" customFormat="1">
      <c r="A67" s="528"/>
      <c r="B67" s="538"/>
      <c r="C67" s="506"/>
      <c r="D67" s="566"/>
      <c r="E67" s="566"/>
      <c r="F67" s="566"/>
      <c r="G67" s="566"/>
      <c r="H67" s="566"/>
      <c r="I67" s="566"/>
      <c r="J67" s="566"/>
      <c r="K67" s="506"/>
    </row>
    <row r="68" spans="1:11" s="507" customFormat="1">
      <c r="A68" s="528"/>
      <c r="B68" s="538"/>
      <c r="C68" s="506"/>
      <c r="D68" s="566"/>
      <c r="E68" s="566"/>
      <c r="F68" s="566"/>
      <c r="G68" s="566"/>
      <c r="H68" s="566"/>
      <c r="I68" s="566"/>
      <c r="J68" s="566"/>
      <c r="K68" s="506"/>
    </row>
    <row r="69" spans="1:11" s="507" customFormat="1">
      <c r="A69" s="528"/>
      <c r="B69" s="538"/>
      <c r="C69" s="506"/>
      <c r="D69" s="566"/>
      <c r="E69" s="566"/>
      <c r="F69" s="566"/>
      <c r="G69" s="566"/>
      <c r="H69" s="566"/>
      <c r="I69" s="566"/>
      <c r="J69" s="566"/>
      <c r="K69" s="506"/>
    </row>
    <row r="70" spans="1:11" s="507" customFormat="1">
      <c r="A70" s="528"/>
      <c r="B70" s="538"/>
      <c r="C70" s="506"/>
      <c r="D70" s="566"/>
      <c r="E70" s="566"/>
      <c r="F70" s="566"/>
      <c r="G70" s="566"/>
      <c r="H70" s="566"/>
      <c r="I70" s="566"/>
      <c r="J70" s="566"/>
      <c r="K70" s="506"/>
    </row>
    <row r="71" spans="1:11" s="507" customFormat="1">
      <c r="A71" s="528"/>
      <c r="B71" s="538"/>
      <c r="C71" s="506"/>
      <c r="D71" s="566"/>
      <c r="E71" s="566"/>
      <c r="F71" s="566"/>
      <c r="G71" s="566"/>
      <c r="H71" s="566"/>
      <c r="I71" s="566"/>
      <c r="J71" s="566"/>
      <c r="K71" s="506"/>
    </row>
    <row r="72" spans="1:11" s="507" customFormat="1">
      <c r="A72" s="528"/>
      <c r="B72" s="538"/>
      <c r="C72" s="506"/>
      <c r="D72" s="566"/>
      <c r="E72" s="566"/>
      <c r="F72" s="566"/>
      <c r="G72" s="566"/>
      <c r="H72" s="566"/>
      <c r="I72" s="566"/>
      <c r="J72" s="566"/>
      <c r="K72" s="506"/>
    </row>
    <row r="73" spans="1:11" s="507" customFormat="1">
      <c r="A73" s="528"/>
      <c r="B73" s="538"/>
      <c r="C73" s="506"/>
      <c r="D73" s="566"/>
      <c r="E73" s="566"/>
      <c r="F73" s="566"/>
      <c r="G73" s="566"/>
      <c r="H73" s="566"/>
      <c r="I73" s="566"/>
      <c r="J73" s="566"/>
      <c r="K73" s="500" t="s">
        <v>379</v>
      </c>
    </row>
    <row r="74" spans="1:11">
      <c r="B74" s="501"/>
      <c r="C74" s="501"/>
      <c r="D74" s="502"/>
      <c r="E74" s="501"/>
      <c r="F74" s="501"/>
      <c r="G74" s="501"/>
      <c r="H74" s="503"/>
      <c r="I74" s="503"/>
      <c r="J74" s="503"/>
      <c r="K74" s="567" t="s">
        <v>458</v>
      </c>
    </row>
    <row r="75" spans="1:11">
      <c r="B75" s="501"/>
      <c r="C75" s="501"/>
      <c r="D75" s="502"/>
      <c r="E75" s="501"/>
      <c r="F75" s="501"/>
      <c r="G75" s="501"/>
      <c r="H75" s="503"/>
      <c r="I75" s="503"/>
      <c r="J75" s="503"/>
      <c r="K75" s="568"/>
    </row>
    <row r="76" spans="1:11">
      <c r="B76" s="501" t="s">
        <v>381</v>
      </c>
      <c r="C76" s="501"/>
      <c r="D76" s="502" t="s">
        <v>382</v>
      </c>
      <c r="E76" s="501"/>
      <c r="F76" s="501"/>
      <c r="G76" s="501"/>
      <c r="H76" s="503"/>
      <c r="K76" s="504" t="str">
        <f>K4</f>
        <v>For the 12 months ended 12/31/2015</v>
      </c>
    </row>
    <row r="77" spans="1:11">
      <c r="B77" s="501"/>
      <c r="C77" s="508" t="s">
        <v>5</v>
      </c>
      <c r="D77" s="508" t="s">
        <v>384</v>
      </c>
      <c r="E77" s="508"/>
      <c r="F77" s="508"/>
      <c r="G77" s="508"/>
      <c r="H77" s="503"/>
      <c r="I77" s="503"/>
      <c r="J77" s="503"/>
      <c r="K77" s="506"/>
    </row>
    <row r="78" spans="1:11">
      <c r="B78" s="501"/>
      <c r="C78" s="508"/>
      <c r="D78" s="508"/>
      <c r="E78" s="508"/>
      <c r="F78" s="508"/>
      <c r="G78" s="508"/>
      <c r="H78" s="503"/>
      <c r="I78" s="503"/>
      <c r="J78" s="503"/>
      <c r="K78" s="506"/>
    </row>
    <row r="79" spans="1:11">
      <c r="A79" s="1013" t="str">
        <f>A7</f>
        <v>Northern States Power Companies</v>
      </c>
      <c r="B79" s="1013"/>
      <c r="C79" s="1013"/>
      <c r="D79" s="1013"/>
      <c r="E79" s="1013"/>
      <c r="F79" s="1013"/>
      <c r="G79" s="1013"/>
      <c r="H79" s="1013"/>
      <c r="I79" s="1013"/>
      <c r="J79" s="1013"/>
      <c r="K79" s="1013"/>
    </row>
    <row r="80" spans="1:11">
      <c r="B80" s="518"/>
      <c r="C80" s="509"/>
      <c r="D80" s="519"/>
      <c r="E80" s="519"/>
      <c r="F80" s="519"/>
      <c r="G80" s="519"/>
      <c r="H80" s="508"/>
      <c r="I80" s="508"/>
      <c r="J80" s="508"/>
      <c r="K80" s="519"/>
    </row>
    <row r="81" spans="1:14">
      <c r="B81" s="570" t="s">
        <v>459</v>
      </c>
      <c r="C81" s="570" t="s">
        <v>460</v>
      </c>
      <c r="D81" s="570" t="s">
        <v>461</v>
      </c>
      <c r="E81" s="508" t="s">
        <v>5</v>
      </c>
      <c r="F81" s="508"/>
      <c r="G81" s="571" t="s">
        <v>462</v>
      </c>
      <c r="H81" s="508"/>
      <c r="I81" s="572" t="s">
        <v>463</v>
      </c>
      <c r="J81" s="572"/>
      <c r="K81" s="573"/>
    </row>
    <row r="82" spans="1:14">
      <c r="B82" s="518"/>
      <c r="C82" s="574" t="s">
        <v>464</v>
      </c>
      <c r="D82" s="508"/>
      <c r="E82" s="508"/>
      <c r="F82" s="508"/>
      <c r="G82" s="512"/>
      <c r="H82" s="508"/>
      <c r="I82" s="575" t="s">
        <v>24</v>
      </c>
      <c r="J82" s="575"/>
      <c r="K82" s="573"/>
      <c r="L82" s="576" t="s">
        <v>465</v>
      </c>
      <c r="M82" s="576" t="s">
        <v>466</v>
      </c>
    </row>
    <row r="83" spans="1:14">
      <c r="A83" s="512" t="s">
        <v>46</v>
      </c>
      <c r="B83" s="518"/>
      <c r="C83" s="577" t="s">
        <v>467</v>
      </c>
      <c r="D83" s="578" t="s">
        <v>468</v>
      </c>
      <c r="E83" s="579"/>
      <c r="F83" s="575" t="s">
        <v>469</v>
      </c>
      <c r="H83" s="579"/>
      <c r="I83" s="512" t="s">
        <v>470</v>
      </c>
      <c r="J83" s="512"/>
      <c r="K83" s="573"/>
      <c r="L83" s="576" t="s">
        <v>23</v>
      </c>
      <c r="M83" s="576" t="s">
        <v>23</v>
      </c>
    </row>
    <row r="84" spans="1:14" ht="16.5" thickBot="1">
      <c r="A84" s="514" t="s">
        <v>22</v>
      </c>
      <c r="B84" s="580" t="s">
        <v>471</v>
      </c>
      <c r="C84" s="508"/>
      <c r="D84" s="508"/>
      <c r="E84" s="508"/>
      <c r="F84" s="508"/>
      <c r="G84" s="508"/>
      <c r="H84" s="508"/>
      <c r="I84" s="508"/>
      <c r="J84" s="508"/>
      <c r="K84" s="519"/>
    </row>
    <row r="85" spans="1:14">
      <c r="A85" s="512"/>
      <c r="B85" s="518" t="s">
        <v>472</v>
      </c>
      <c r="C85" s="581"/>
      <c r="D85" s="508"/>
      <c r="E85" s="508"/>
      <c r="F85" s="508"/>
      <c r="G85" s="508"/>
      <c r="H85" s="508"/>
      <c r="I85" s="508"/>
      <c r="J85" s="508"/>
      <c r="K85" s="519"/>
    </row>
    <row r="86" spans="1:14">
      <c r="A86" s="512">
        <v>1</v>
      </c>
      <c r="B86" s="518" t="s">
        <v>473</v>
      </c>
      <c r="C86" s="519" t="s">
        <v>474</v>
      </c>
      <c r="D86" s="523">
        <f>L86+M86</f>
        <v>8186889489.0792313</v>
      </c>
      <c r="E86" s="508"/>
      <c r="F86" s="508" t="s">
        <v>475</v>
      </c>
      <c r="G86" s="582" t="s">
        <v>5</v>
      </c>
      <c r="H86" s="508"/>
      <c r="I86" s="508" t="s">
        <v>5</v>
      </c>
      <c r="J86" s="508"/>
      <c r="K86" s="519"/>
      <c r="L86" s="583">
        <f>'Gross Plant'!$D$48</f>
        <v>7711526355</v>
      </c>
      <c r="M86" s="583">
        <f>'Gross Plant'!$D$70</f>
        <v>475363134.07923084</v>
      </c>
    </row>
    <row r="87" spans="1:14">
      <c r="A87" s="512">
        <v>2</v>
      </c>
      <c r="B87" s="518" t="s">
        <v>476</v>
      </c>
      <c r="C87" s="519" t="s">
        <v>477</v>
      </c>
      <c r="D87" s="523">
        <f>L87+M87</f>
        <v>3969613311.0107694</v>
      </c>
      <c r="E87" s="508"/>
      <c r="F87" s="508" t="s">
        <v>394</v>
      </c>
      <c r="G87" s="582">
        <f>I235</f>
        <v>0.9795250731428311</v>
      </c>
      <c r="H87" s="508"/>
      <c r="I87" s="508">
        <f>+G87*D87</f>
        <v>3888335768.8165798</v>
      </c>
      <c r="J87" s="508"/>
      <c r="K87" s="519"/>
      <c r="L87" s="583">
        <f>'Gross Plant'!$F$48</f>
        <v>3122037666</v>
      </c>
      <c r="M87" s="583">
        <f>'Gross Plant'!$F$70</f>
        <v>847575645.01076949</v>
      </c>
      <c r="N87" s="507"/>
    </row>
    <row r="88" spans="1:14">
      <c r="A88" s="512">
        <v>3</v>
      </c>
      <c r="B88" s="518" t="s">
        <v>478</v>
      </c>
      <c r="C88" s="519" t="s">
        <v>479</v>
      </c>
      <c r="D88" s="523">
        <f>L88+M88</f>
        <v>4382007208.4123077</v>
      </c>
      <c r="E88" s="508"/>
      <c r="F88" s="508" t="s">
        <v>475</v>
      </c>
      <c r="G88" s="582" t="s">
        <v>5</v>
      </c>
      <c r="H88" s="508"/>
      <c r="I88" s="508" t="s">
        <v>5</v>
      </c>
      <c r="J88" s="508"/>
      <c r="K88" s="519"/>
      <c r="L88" s="583">
        <f>'Gross Plant'!$H$48</f>
        <v>3580920131</v>
      </c>
      <c r="M88" s="583">
        <f>'Gross Plant'!$H$70</f>
        <v>801087077.41230774</v>
      </c>
      <c r="N88" s="518"/>
    </row>
    <row r="89" spans="1:14">
      <c r="A89" s="512">
        <v>4</v>
      </c>
      <c r="B89" s="518" t="s">
        <v>480</v>
      </c>
      <c r="C89" s="519" t="s">
        <v>481</v>
      </c>
      <c r="D89" s="523">
        <f>L89+M89</f>
        <v>787436142.96615374</v>
      </c>
      <c r="E89" s="508"/>
      <c r="F89" s="508" t="s">
        <v>482</v>
      </c>
      <c r="G89" s="582">
        <f>I253</f>
        <v>5.9695491180782559E-2</v>
      </c>
      <c r="H89" s="508"/>
      <c r="I89" s="508">
        <f>+G89*D89</f>
        <v>47006387.327865466</v>
      </c>
      <c r="J89" s="508"/>
      <c r="K89" s="519"/>
      <c r="L89" s="583">
        <f>'Gross Plant'!$J$48</f>
        <v>685177777</v>
      </c>
      <c r="M89" s="583">
        <f>'Gross Plant'!$J$70</f>
        <v>102258365.96615379</v>
      </c>
      <c r="N89" s="518"/>
    </row>
    <row r="90" spans="1:14" ht="16.5" thickBot="1">
      <c r="A90" s="512">
        <v>5</v>
      </c>
      <c r="B90" s="518" t="s">
        <v>483</v>
      </c>
      <c r="C90" s="519" t="s">
        <v>484</v>
      </c>
      <c r="D90" s="532">
        <f>L90+M90</f>
        <v>649488403.16461539</v>
      </c>
      <c r="E90" s="508"/>
      <c r="F90" s="508" t="s">
        <v>485</v>
      </c>
      <c r="G90" s="582">
        <f>K258</f>
        <v>5.5138241514970543E-2</v>
      </c>
      <c r="H90" s="508"/>
      <c r="I90" s="525">
        <f>+G90*D90</f>
        <v>35811648.43486312</v>
      </c>
      <c r="J90" s="526"/>
      <c r="K90" s="519"/>
      <c r="L90" s="584">
        <f>'Gross Plant'!$L$48</f>
        <v>527334206</v>
      </c>
      <c r="M90" s="584">
        <f>'Gross Plant'!$L$70</f>
        <v>122154197.16461539</v>
      </c>
      <c r="N90" s="585"/>
    </row>
    <row r="91" spans="1:14">
      <c r="A91" s="512">
        <v>6</v>
      </c>
      <c r="B91" s="501" t="s">
        <v>486</v>
      </c>
      <c r="C91" s="519"/>
      <c r="D91" s="508">
        <f>SUM(D86:D90)</f>
        <v>17975434554.633076</v>
      </c>
      <c r="E91" s="508"/>
      <c r="F91" s="508" t="s">
        <v>487</v>
      </c>
      <c r="G91" s="586">
        <f>IF(I91&gt;0,I91/D91,0)</f>
        <v>0.22092115728883807</v>
      </c>
      <c r="H91" s="508"/>
      <c r="I91" s="508">
        <f>SUM(I86:I90)</f>
        <v>3971153804.5793085</v>
      </c>
      <c r="J91" s="508"/>
      <c r="K91" s="587"/>
      <c r="L91" s="508">
        <f>SUM(L86:L90)</f>
        <v>15626996135</v>
      </c>
      <c r="M91" s="508">
        <f>SUM(M86:M90)</f>
        <v>2348438419.6330776</v>
      </c>
      <c r="N91" s="518"/>
    </row>
    <row r="92" spans="1:14">
      <c r="B92" s="518"/>
      <c r="C92" s="508"/>
      <c r="D92" s="508"/>
      <c r="E92" s="508"/>
      <c r="F92" s="508"/>
      <c r="G92" s="586"/>
      <c r="H92" s="508"/>
      <c r="I92" s="508"/>
      <c r="J92" s="508"/>
      <c r="K92" s="587"/>
      <c r="L92" s="508"/>
      <c r="M92" s="508"/>
      <c r="N92" s="518"/>
    </row>
    <row r="93" spans="1:14">
      <c r="B93" s="518" t="s">
        <v>488</v>
      </c>
      <c r="C93" s="508"/>
      <c r="D93" s="508"/>
      <c r="E93" s="508"/>
      <c r="F93" s="508"/>
      <c r="G93" s="508"/>
      <c r="H93" s="508"/>
      <c r="I93" s="508"/>
      <c r="J93" s="508"/>
      <c r="K93" s="519"/>
      <c r="L93" s="508"/>
      <c r="M93" s="508"/>
      <c r="N93" s="518"/>
    </row>
    <row r="94" spans="1:14">
      <c r="A94" s="512">
        <v>7</v>
      </c>
      <c r="B94" s="518" t="str">
        <f>+B86</f>
        <v xml:space="preserve">  Production</v>
      </c>
      <c r="C94" s="508" t="s">
        <v>489</v>
      </c>
      <c r="D94" s="523">
        <f>L94+M94</f>
        <v>3744606371.5815387</v>
      </c>
      <c r="E94" s="508"/>
      <c r="F94" s="508" t="str">
        <f>+F86</f>
        <v>NA</v>
      </c>
      <c r="G94" s="582" t="str">
        <f>+G86</f>
        <v xml:space="preserve"> </v>
      </c>
      <c r="H94" s="508"/>
      <c r="I94" s="508" t="s">
        <v>5</v>
      </c>
      <c r="J94" s="508"/>
      <c r="K94" s="519"/>
      <c r="L94" s="583">
        <f>'Accum Deprec'!$D$48</f>
        <v>3450459952</v>
      </c>
      <c r="M94" s="583">
        <f>'Accum Deprec'!$D$70</f>
        <v>294146419.58153856</v>
      </c>
      <c r="N94" s="518"/>
    </row>
    <row r="95" spans="1:14">
      <c r="A95" s="512">
        <v>8</v>
      </c>
      <c r="B95" s="518" t="str">
        <f>+B87</f>
        <v xml:space="preserve">  Transmission</v>
      </c>
      <c r="C95" s="508" t="s">
        <v>490</v>
      </c>
      <c r="D95" s="523">
        <f>L95+M95</f>
        <v>961492461.89615393</v>
      </c>
      <c r="E95" s="508"/>
      <c r="F95" s="508" t="str">
        <f>+F87</f>
        <v>TP</v>
      </c>
      <c r="G95" s="582">
        <f>+G87</f>
        <v>0.9795250731428311</v>
      </c>
      <c r="H95" s="508"/>
      <c r="I95" s="508">
        <f>+G95*D95</f>
        <v>941805974.06511092</v>
      </c>
      <c r="J95" s="508"/>
      <c r="K95" s="519"/>
      <c r="L95" s="583">
        <f>'Accum Deprec'!$F$48</f>
        <v>735656218</v>
      </c>
      <c r="M95" s="583">
        <f>'Accum Deprec'!$F$70</f>
        <v>225836243.89615387</v>
      </c>
      <c r="N95" s="518"/>
    </row>
    <row r="96" spans="1:14">
      <c r="A96" s="512">
        <v>9</v>
      </c>
      <c r="B96" s="518" t="str">
        <f>+B88</f>
        <v xml:space="preserve">  Distribution</v>
      </c>
      <c r="C96" s="508" t="s">
        <v>491</v>
      </c>
      <c r="D96" s="523">
        <f>L96+M96</f>
        <v>1813247664.1461539</v>
      </c>
      <c r="E96" s="508"/>
      <c r="F96" s="508" t="str">
        <f t="shared" ref="F96:G98" si="1">+F88</f>
        <v>NA</v>
      </c>
      <c r="G96" s="582" t="str">
        <f t="shared" si="1"/>
        <v xml:space="preserve"> </v>
      </c>
      <c r="H96" s="508"/>
      <c r="I96" s="508" t="s">
        <v>5</v>
      </c>
      <c r="J96" s="508"/>
      <c r="K96" s="519"/>
      <c r="L96" s="583">
        <f>'Accum Deprec'!$H$48</f>
        <v>1428410796</v>
      </c>
      <c r="M96" s="583">
        <f>'Accum Deprec'!$H$70</f>
        <v>384836868.14615381</v>
      </c>
      <c r="N96" s="518"/>
    </row>
    <row r="97" spans="1:14">
      <c r="A97" s="512">
        <v>10</v>
      </c>
      <c r="B97" s="518" t="str">
        <f>+B89</f>
        <v xml:space="preserve">  General &amp; Intangible</v>
      </c>
      <c r="C97" s="508" t="s">
        <v>492</v>
      </c>
      <c r="D97" s="523">
        <f>L97+M97</f>
        <v>292556890.25</v>
      </c>
      <c r="E97" s="508"/>
      <c r="F97" s="508" t="str">
        <f t="shared" si="1"/>
        <v>W/S</v>
      </c>
      <c r="G97" s="582">
        <f t="shared" si="1"/>
        <v>5.9695491180782559E-2</v>
      </c>
      <c r="H97" s="508"/>
      <c r="I97" s="508">
        <f>+G97*D97</f>
        <v>17464327.261796046</v>
      </c>
      <c r="J97" s="508"/>
      <c r="K97" s="519"/>
      <c r="L97" s="583">
        <f>'Accum Deprec'!$J$48</f>
        <v>248931079</v>
      </c>
      <c r="M97" s="583">
        <f>'Accum Deprec'!$J$70</f>
        <v>43625811.25</v>
      </c>
      <c r="N97" s="588"/>
    </row>
    <row r="98" spans="1:14" ht="16.5" thickBot="1">
      <c r="A98" s="512">
        <v>11</v>
      </c>
      <c r="B98" s="518" t="str">
        <f>+B90</f>
        <v xml:space="preserve">  Common</v>
      </c>
      <c r="C98" s="508" t="s">
        <v>484</v>
      </c>
      <c r="D98" s="532">
        <f>L98+M98</f>
        <v>333514501.97769231</v>
      </c>
      <c r="E98" s="508"/>
      <c r="F98" s="508" t="str">
        <f t="shared" si="1"/>
        <v>CE</v>
      </c>
      <c r="G98" s="582">
        <f t="shared" si="1"/>
        <v>5.5138241514970543E-2</v>
      </c>
      <c r="H98" s="508"/>
      <c r="I98" s="525">
        <f>+G98*D98</f>
        <v>18389403.158791117</v>
      </c>
      <c r="J98" s="526"/>
      <c r="K98" s="519"/>
      <c r="L98" s="584">
        <f>'Accum Deprec'!$L$48</f>
        <v>272585332</v>
      </c>
      <c r="M98" s="584">
        <f>'Accum Deprec'!$L$70</f>
        <v>60929169.977692284</v>
      </c>
      <c r="N98" s="585"/>
    </row>
    <row r="99" spans="1:14">
      <c r="A99" s="512">
        <v>12</v>
      </c>
      <c r="B99" s="518" t="s">
        <v>493</v>
      </c>
      <c r="C99" s="508"/>
      <c r="D99" s="589">
        <f>SUM(D94:D98)</f>
        <v>7145417889.8515387</v>
      </c>
      <c r="E99" s="508"/>
      <c r="F99" s="508"/>
      <c r="G99" s="508"/>
      <c r="H99" s="508"/>
      <c r="I99" s="508">
        <f>SUM(I94:I98)</f>
        <v>977659704.48569798</v>
      </c>
      <c r="J99" s="508"/>
      <c r="K99" s="519"/>
      <c r="L99" s="508">
        <f>SUM(L94:L98)</f>
        <v>6136043377</v>
      </c>
      <c r="M99" s="508">
        <f>SUM(M94:M98)</f>
        <v>1009374512.8515385</v>
      </c>
      <c r="N99" s="518"/>
    </row>
    <row r="100" spans="1:14">
      <c r="A100" s="512"/>
      <c r="C100" s="508" t="s">
        <v>5</v>
      </c>
      <c r="E100" s="508"/>
      <c r="F100" s="508"/>
      <c r="G100" s="586"/>
      <c r="H100" s="508"/>
      <c r="K100" s="587"/>
      <c r="L100" s="508"/>
      <c r="M100" s="508"/>
      <c r="N100" s="518"/>
    </row>
    <row r="101" spans="1:14">
      <c r="A101" s="512"/>
      <c r="B101" s="518" t="s">
        <v>494</v>
      </c>
      <c r="C101" s="508"/>
      <c r="D101" s="508"/>
      <c r="E101" s="508"/>
      <c r="F101" s="508"/>
      <c r="G101" s="508"/>
      <c r="H101" s="508"/>
      <c r="I101" s="508"/>
      <c r="J101" s="508"/>
      <c r="K101" s="519"/>
      <c r="L101" s="508"/>
      <c r="M101" s="508"/>
      <c r="N101" s="518"/>
    </row>
    <row r="102" spans="1:14">
      <c r="A102" s="512">
        <v>13</v>
      </c>
      <c r="B102" s="518" t="str">
        <f>+B94</f>
        <v xml:space="preserve">  Production</v>
      </c>
      <c r="C102" s="508" t="s">
        <v>495</v>
      </c>
      <c r="D102" s="508">
        <f>D86-D94</f>
        <v>4442283117.4976921</v>
      </c>
      <c r="E102" s="508"/>
      <c r="F102" s="508"/>
      <c r="G102" s="586"/>
      <c r="H102" s="508"/>
      <c r="I102" s="508" t="s">
        <v>5</v>
      </c>
      <c r="J102" s="508"/>
      <c r="K102" s="587"/>
      <c r="L102" s="526">
        <f t="shared" ref="L102:M106" si="2">L86-L94</f>
        <v>4261066403</v>
      </c>
      <c r="M102" s="526">
        <f t="shared" si="2"/>
        <v>181216714.49769229</v>
      </c>
      <c r="N102" s="518"/>
    </row>
    <row r="103" spans="1:14">
      <c r="A103" s="512">
        <v>14</v>
      </c>
      <c r="B103" s="518" t="str">
        <f>+B95</f>
        <v xml:space="preserve">  Transmission</v>
      </c>
      <c r="C103" s="519" t="s">
        <v>496</v>
      </c>
      <c r="D103" s="519">
        <f>D87-D95</f>
        <v>3008120849.1146154</v>
      </c>
      <c r="E103" s="508"/>
      <c r="F103" s="508"/>
      <c r="G103" s="582"/>
      <c r="H103" s="508"/>
      <c r="I103" s="519">
        <f>I87-I95</f>
        <v>2946529794.7514687</v>
      </c>
      <c r="J103" s="519"/>
      <c r="K103" s="587"/>
      <c r="L103" s="519">
        <f t="shared" si="2"/>
        <v>2386381448</v>
      </c>
      <c r="M103" s="519">
        <f t="shared" si="2"/>
        <v>621739401.11461568</v>
      </c>
      <c r="N103" s="518"/>
    </row>
    <row r="104" spans="1:14">
      <c r="A104" s="512">
        <v>15</v>
      </c>
      <c r="B104" s="518" t="str">
        <f>+B96</f>
        <v xml:space="preserve">  Distribution</v>
      </c>
      <c r="C104" s="508" t="s">
        <v>497</v>
      </c>
      <c r="D104" s="508">
        <f>D88-D96</f>
        <v>2568759544.2661538</v>
      </c>
      <c r="E104" s="508"/>
      <c r="F104" s="508"/>
      <c r="G104" s="586"/>
      <c r="H104" s="508"/>
      <c r="I104" s="508" t="s">
        <v>5</v>
      </c>
      <c r="J104" s="508"/>
      <c r="K104" s="587"/>
      <c r="L104" s="526">
        <f t="shared" si="2"/>
        <v>2152509335</v>
      </c>
      <c r="M104" s="526">
        <f t="shared" si="2"/>
        <v>416250209.26615393</v>
      </c>
      <c r="N104" s="518"/>
    </row>
    <row r="105" spans="1:14">
      <c r="A105" s="512">
        <v>16</v>
      </c>
      <c r="B105" s="518" t="str">
        <f>+B97</f>
        <v xml:space="preserve">  General &amp; Intangible</v>
      </c>
      <c r="C105" s="508" t="s">
        <v>498</v>
      </c>
      <c r="D105" s="508">
        <f>D89-D97</f>
        <v>494879252.71615374</v>
      </c>
      <c r="E105" s="508"/>
      <c r="F105" s="508"/>
      <c r="G105" s="586"/>
      <c r="H105" s="508"/>
      <c r="I105" s="508">
        <f>I89-I97</f>
        <v>29542060.06606942</v>
      </c>
      <c r="J105" s="508"/>
      <c r="K105" s="587"/>
      <c r="L105" s="526">
        <f t="shared" si="2"/>
        <v>436246698</v>
      </c>
      <c r="M105" s="526">
        <f t="shared" si="2"/>
        <v>58632554.716153786</v>
      </c>
      <c r="N105" s="518"/>
    </row>
    <row r="106" spans="1:14" ht="16.5" thickBot="1">
      <c r="A106" s="512">
        <v>17</v>
      </c>
      <c r="B106" s="518" t="str">
        <f>+B98</f>
        <v xml:space="preserve">  Common</v>
      </c>
      <c r="C106" s="508" t="s">
        <v>499</v>
      </c>
      <c r="D106" s="525">
        <f>D90-D98</f>
        <v>315973901.18692309</v>
      </c>
      <c r="E106" s="508"/>
      <c r="F106" s="508"/>
      <c r="G106" s="586"/>
      <c r="H106" s="508"/>
      <c r="I106" s="525">
        <f>I90-I98</f>
        <v>17422245.276072003</v>
      </c>
      <c r="J106" s="526"/>
      <c r="K106" s="587"/>
      <c r="L106" s="525">
        <f t="shared" si="2"/>
        <v>254748874</v>
      </c>
      <c r="M106" s="525">
        <f t="shared" si="2"/>
        <v>61225027.186923109</v>
      </c>
      <c r="N106" s="518"/>
    </row>
    <row r="107" spans="1:14">
      <c r="A107" s="512">
        <v>18</v>
      </c>
      <c r="B107" s="518" t="s">
        <v>500</v>
      </c>
      <c r="C107" s="508"/>
      <c r="D107" s="508">
        <f>SUM(D102:D106)</f>
        <v>10830016664.78154</v>
      </c>
      <c r="E107" s="508"/>
      <c r="F107" s="508" t="s">
        <v>501</v>
      </c>
      <c r="G107" s="586">
        <f>IF(I107&gt;0,I107/D107,0)</f>
        <v>0.27640715547818545</v>
      </c>
      <c r="H107" s="508"/>
      <c r="I107" s="508">
        <f>SUM(I102:I106)</f>
        <v>2993494100.0936103</v>
      </c>
      <c r="J107" s="508"/>
      <c r="K107" s="519"/>
      <c r="L107" s="508">
        <f>SUM(L102:L106)</f>
        <v>9490952758</v>
      </c>
      <c r="M107" s="508">
        <f>SUM(M102:M106)</f>
        <v>1339063906.7815387</v>
      </c>
      <c r="N107" s="518"/>
    </row>
    <row r="108" spans="1:14">
      <c r="A108" s="512"/>
      <c r="B108" s="518"/>
      <c r="C108" s="508"/>
      <c r="D108" s="508"/>
      <c r="E108" s="508"/>
      <c r="F108" s="508"/>
      <c r="G108" s="586"/>
      <c r="H108" s="508"/>
      <c r="I108" s="508"/>
      <c r="J108" s="508"/>
      <c r="K108" s="519"/>
      <c r="L108" s="508"/>
      <c r="M108" s="590"/>
      <c r="N108" s="518"/>
    </row>
    <row r="109" spans="1:14" s="507" customFormat="1">
      <c r="A109" s="528" t="s">
        <v>502</v>
      </c>
      <c r="B109" s="538" t="s">
        <v>503</v>
      </c>
      <c r="C109" s="519" t="s">
        <v>504</v>
      </c>
      <c r="D109" s="523">
        <f>L109+M109</f>
        <v>156145000.7777479</v>
      </c>
      <c r="E109" s="519"/>
      <c r="F109" s="519" t="s">
        <v>394</v>
      </c>
      <c r="G109" s="591">
        <f>+I235</f>
        <v>0.9795250731428311</v>
      </c>
      <c r="H109" s="519"/>
      <c r="I109" s="519">
        <f>+G109*D109</f>
        <v>152947943.30771095</v>
      </c>
      <c r="J109" s="519"/>
      <c r="K109" s="519"/>
      <c r="L109" s="583">
        <f>CWIP!$P$60</f>
        <v>156145000.7777479</v>
      </c>
      <c r="M109" s="583">
        <f>CWIP!$P$82</f>
        <v>0</v>
      </c>
      <c r="N109" s="538"/>
    </row>
    <row r="110" spans="1:14">
      <c r="A110" s="512"/>
      <c r="C110" s="508"/>
      <c r="E110" s="508"/>
      <c r="H110" s="508"/>
      <c r="K110" s="587"/>
      <c r="L110" s="508"/>
      <c r="M110" s="508"/>
      <c r="N110" s="518"/>
    </row>
    <row r="111" spans="1:14">
      <c r="A111" s="512"/>
      <c r="B111" s="501" t="s">
        <v>505</v>
      </c>
      <c r="C111" s="508"/>
      <c r="D111" s="508"/>
      <c r="E111" s="508"/>
      <c r="F111" s="508"/>
      <c r="G111" s="508"/>
      <c r="H111" s="508"/>
      <c r="I111" s="508"/>
      <c r="J111" s="508"/>
      <c r="K111" s="519"/>
      <c r="L111" s="508"/>
      <c r="M111" s="508"/>
      <c r="N111" s="518"/>
    </row>
    <row r="112" spans="1:14">
      <c r="A112" s="512">
        <v>19</v>
      </c>
      <c r="B112" s="518" t="s">
        <v>506</v>
      </c>
      <c r="C112" s="508" t="s">
        <v>507</v>
      </c>
      <c r="D112" s="523">
        <f t="shared" ref="D112:D118" si="3">L112+M112</f>
        <v>-36872084</v>
      </c>
      <c r="E112" s="519"/>
      <c r="F112" s="519" t="str">
        <f>+F94</f>
        <v>NA</v>
      </c>
      <c r="G112" s="592" t="s">
        <v>508</v>
      </c>
      <c r="H112" s="508"/>
      <c r="I112" s="508">
        <v>0</v>
      </c>
      <c r="J112" s="508"/>
      <c r="K112" s="587"/>
      <c r="L112" s="583">
        <f>'Adj to Rate Base'!$D$56</f>
        <v>-36189219</v>
      </c>
      <c r="M112" s="583">
        <f>'Adj to Rate Base'!$D$82</f>
        <v>-682865</v>
      </c>
      <c r="N112" s="518"/>
    </row>
    <row r="113" spans="1:14">
      <c r="A113" s="512">
        <v>20</v>
      </c>
      <c r="B113" s="518" t="s">
        <v>509</v>
      </c>
      <c r="C113" s="508" t="s">
        <v>510</v>
      </c>
      <c r="D113" s="523">
        <f t="shared" si="3"/>
        <v>-2807678156.730113</v>
      </c>
      <c r="E113" s="508"/>
      <c r="F113" s="508" t="s">
        <v>511</v>
      </c>
      <c r="G113" s="582">
        <f>+G107</f>
        <v>0.27640715547818545</v>
      </c>
      <c r="H113" s="508"/>
      <c r="I113" s="508">
        <f t="shared" ref="I113:I118" si="4">D113*G113</f>
        <v>-776062332.80000544</v>
      </c>
      <c r="J113" s="508"/>
      <c r="K113" s="587"/>
      <c r="L113" s="583">
        <f>'Adj to Rate Base'!$F$56</f>
        <v>-2513979598</v>
      </c>
      <c r="M113" s="583">
        <f>'Adj to Rate Base'!$F$82</f>
        <v>-293698558.73011327</v>
      </c>
      <c r="N113" s="518"/>
    </row>
    <row r="114" spans="1:14">
      <c r="A114" s="512">
        <v>21</v>
      </c>
      <c r="B114" s="518" t="s">
        <v>512</v>
      </c>
      <c r="C114" s="508" t="s">
        <v>513</v>
      </c>
      <c r="D114" s="523">
        <f t="shared" si="3"/>
        <v>-214883791.43644845</v>
      </c>
      <c r="E114" s="508"/>
      <c r="F114" s="508" t="s">
        <v>511</v>
      </c>
      <c r="G114" s="582">
        <f>+G113</f>
        <v>0.27640715547818545</v>
      </c>
      <c r="H114" s="508"/>
      <c r="I114" s="508">
        <f t="shared" si="4"/>
        <v>-59395417.549316384</v>
      </c>
      <c r="J114" s="508"/>
      <c r="K114" s="587"/>
      <c r="L114" s="593">
        <f>'Adj to Rate Base'!$H$56</f>
        <v>-179741292.5</v>
      </c>
      <c r="M114" s="593">
        <f>'Adj to Rate Base'!$H$82</f>
        <v>-35142498.936448462</v>
      </c>
      <c r="N114" s="518"/>
    </row>
    <row r="115" spans="1:14">
      <c r="A115" s="512">
        <v>22</v>
      </c>
      <c r="B115" s="518" t="s">
        <v>514</v>
      </c>
      <c r="C115" s="508" t="s">
        <v>515</v>
      </c>
      <c r="D115" s="523">
        <f t="shared" si="3"/>
        <v>667599004.27220213</v>
      </c>
      <c r="E115" s="508"/>
      <c r="F115" s="508" t="str">
        <f>+F114</f>
        <v>NP</v>
      </c>
      <c r="G115" s="582">
        <f>+G114</f>
        <v>0.27640715547818545</v>
      </c>
      <c r="H115" s="508"/>
      <c r="I115" s="508">
        <f t="shared" si="4"/>
        <v>184529141.77094838</v>
      </c>
      <c r="J115" s="508"/>
      <c r="K115" s="587"/>
      <c r="L115" s="593">
        <f>'Adj to Rate Base'!$J$56</f>
        <v>627826073</v>
      </c>
      <c r="M115" s="593">
        <f>'Adj to Rate Base'!$J$82</f>
        <v>39772931.272202149</v>
      </c>
      <c r="N115" s="518"/>
    </row>
    <row r="116" spans="1:14">
      <c r="A116" s="512">
        <v>23</v>
      </c>
      <c r="B116" s="499" t="s">
        <v>516</v>
      </c>
      <c r="C116" s="499" t="s">
        <v>517</v>
      </c>
      <c r="D116" s="523">
        <f t="shared" si="3"/>
        <v>0</v>
      </c>
      <c r="E116" s="508"/>
      <c r="F116" s="508" t="s">
        <v>511</v>
      </c>
      <c r="G116" s="582">
        <f>+G114</f>
        <v>0.27640715547818545</v>
      </c>
      <c r="H116" s="508"/>
      <c r="I116" s="526">
        <f t="shared" si="4"/>
        <v>0</v>
      </c>
      <c r="J116" s="526"/>
      <c r="K116" s="587"/>
      <c r="L116" s="593">
        <v>0</v>
      </c>
      <c r="M116" s="593">
        <v>0</v>
      </c>
      <c r="N116" s="585"/>
    </row>
    <row r="117" spans="1:14">
      <c r="A117" s="528" t="s">
        <v>518</v>
      </c>
      <c r="B117" s="507" t="s">
        <v>519</v>
      </c>
      <c r="C117" s="507" t="s">
        <v>520</v>
      </c>
      <c r="D117" s="523">
        <f t="shared" si="3"/>
        <v>-55839825.858571045</v>
      </c>
      <c r="E117" s="519"/>
      <c r="F117" s="519" t="s">
        <v>394</v>
      </c>
      <c r="G117" s="594">
        <f>I235</f>
        <v>0.9795250731428311</v>
      </c>
      <c r="H117" s="519"/>
      <c r="I117" s="526">
        <f t="shared" si="4"/>
        <v>-54696509.508399755</v>
      </c>
      <c r="J117" s="526"/>
      <c r="K117" s="587"/>
      <c r="L117" s="583">
        <f>'Adj to Rate Base'!$R$56</f>
        <v>-55839825.858571045</v>
      </c>
      <c r="M117" s="519">
        <f>'Adj to Rate Base'!$R$82</f>
        <v>0</v>
      </c>
      <c r="N117" s="585"/>
    </row>
    <row r="118" spans="1:14" ht="16.5" thickBot="1">
      <c r="A118" s="528" t="s">
        <v>521</v>
      </c>
      <c r="B118" s="507" t="s">
        <v>522</v>
      </c>
      <c r="C118" s="507" t="s">
        <v>520</v>
      </c>
      <c r="D118" s="532">
        <f t="shared" si="3"/>
        <v>0</v>
      </c>
      <c r="E118" s="519"/>
      <c r="F118" s="519" t="s">
        <v>394</v>
      </c>
      <c r="G118" s="594">
        <f>I235</f>
        <v>0.9795250731428311</v>
      </c>
      <c r="H118" s="519"/>
      <c r="I118" s="526">
        <f t="shared" si="4"/>
        <v>0</v>
      </c>
      <c r="J118" s="526"/>
      <c r="K118" s="587"/>
      <c r="L118" s="584">
        <f>'Adj to Rate Base'!$N$56</f>
        <v>0</v>
      </c>
      <c r="M118" s="519">
        <f>'Adj to Rate Base'!$N$82</f>
        <v>0</v>
      </c>
      <c r="N118" s="585"/>
    </row>
    <row r="119" spans="1:14">
      <c r="A119" s="512">
        <v>24</v>
      </c>
      <c r="B119" s="518" t="s">
        <v>523</v>
      </c>
      <c r="C119" s="508"/>
      <c r="D119" s="589">
        <f>SUM(D112:D118)</f>
        <v>-2447674853.7529306</v>
      </c>
      <c r="E119" s="508"/>
      <c r="F119" s="508"/>
      <c r="G119" s="508"/>
      <c r="H119" s="508"/>
      <c r="I119" s="589">
        <f>SUM(I112:I118)</f>
        <v>-705625118.08677316</v>
      </c>
      <c r="J119" s="526"/>
      <c r="K119" s="519"/>
      <c r="L119" s="589">
        <f>SUM(L112:L118)</f>
        <v>-2157923862.3585711</v>
      </c>
      <c r="M119" s="589">
        <f>SUM(M112:M118)</f>
        <v>-289750991.39435959</v>
      </c>
      <c r="N119" s="518"/>
    </row>
    <row r="120" spans="1:14">
      <c r="A120" s="512"/>
      <c r="B120" s="518"/>
      <c r="C120" s="508"/>
      <c r="D120" s="526"/>
      <c r="E120" s="508"/>
      <c r="F120" s="508"/>
      <c r="G120" s="508"/>
      <c r="H120" s="508"/>
      <c r="I120" s="508"/>
      <c r="J120" s="508"/>
      <c r="K120" s="519"/>
      <c r="L120" s="508"/>
      <c r="M120" s="508"/>
      <c r="N120" s="518"/>
    </row>
    <row r="121" spans="1:14">
      <c r="A121" s="512">
        <v>25</v>
      </c>
      <c r="B121" s="595" t="s">
        <v>524</v>
      </c>
      <c r="C121" s="508" t="s">
        <v>525</v>
      </c>
      <c r="D121" s="523">
        <f>L121+M121</f>
        <v>8105</v>
      </c>
      <c r="E121" s="508"/>
      <c r="F121" s="508" t="str">
        <f>+F95</f>
        <v>TP</v>
      </c>
      <c r="G121" s="582">
        <f>+G95</f>
        <v>0.9795250731428311</v>
      </c>
      <c r="H121" s="508"/>
      <c r="I121" s="508">
        <f>+G121*D121</f>
        <v>7939.0507178226462</v>
      </c>
      <c r="J121" s="508"/>
      <c r="K121" s="519"/>
      <c r="L121" s="583">
        <f>'Land HFFU'!$D$45</f>
        <v>0</v>
      </c>
      <c r="M121" s="583">
        <f>'Land HFFU'!$D$64</f>
        <v>8105</v>
      </c>
      <c r="N121" s="518"/>
    </row>
    <row r="122" spans="1:14">
      <c r="A122" s="512"/>
      <c r="B122" s="518"/>
      <c r="C122" s="508"/>
      <c r="D122" s="508"/>
      <c r="E122" s="508"/>
      <c r="F122" s="508"/>
      <c r="G122" s="508"/>
      <c r="H122" s="508"/>
      <c r="I122" s="508"/>
      <c r="J122" s="508"/>
      <c r="K122" s="519"/>
      <c r="L122" s="508"/>
      <c r="M122" s="508"/>
      <c r="N122" s="518"/>
    </row>
    <row r="123" spans="1:14">
      <c r="A123" s="512"/>
      <c r="B123" s="518" t="s">
        <v>526</v>
      </c>
      <c r="C123" s="508" t="s">
        <v>5</v>
      </c>
      <c r="D123" s="508"/>
      <c r="E123" s="508"/>
      <c r="F123" s="508"/>
      <c r="G123" s="508"/>
      <c r="H123" s="508"/>
      <c r="I123" s="508"/>
      <c r="J123" s="508"/>
      <c r="K123" s="519"/>
      <c r="L123" s="508"/>
      <c r="M123" s="508"/>
      <c r="N123" s="518"/>
    </row>
    <row r="124" spans="1:14">
      <c r="A124" s="512">
        <v>26</v>
      </c>
      <c r="B124" s="518" t="s">
        <v>527</v>
      </c>
      <c r="C124" s="499" t="s">
        <v>528</v>
      </c>
      <c r="D124" s="508">
        <f>+D167/8</f>
        <v>43361376.380000018</v>
      </c>
      <c r="E124" s="508"/>
      <c r="F124" s="508"/>
      <c r="G124" s="586"/>
      <c r="H124" s="508"/>
      <c r="I124" s="508">
        <f>+I167/8</f>
        <v>8813914.3091327939</v>
      </c>
      <c r="J124" s="508"/>
      <c r="K124" s="587"/>
      <c r="L124" s="596"/>
      <c r="M124" s="570"/>
      <c r="N124" s="518"/>
    </row>
    <row r="125" spans="1:14">
      <c r="A125" s="512">
        <v>27</v>
      </c>
      <c r="B125" s="538" t="s">
        <v>529</v>
      </c>
      <c r="C125" s="508" t="s">
        <v>530</v>
      </c>
      <c r="D125" s="523">
        <f>L125+M125</f>
        <v>405785.03690000001</v>
      </c>
      <c r="E125" s="508"/>
      <c r="F125" s="508" t="s">
        <v>531</v>
      </c>
      <c r="G125" s="582">
        <f>I245</f>
        <v>0.94240001908069604</v>
      </c>
      <c r="H125" s="508"/>
      <c r="I125" s="508">
        <f>+G125*D125</f>
        <v>382411.82651722094</v>
      </c>
      <c r="J125" s="508"/>
      <c r="K125" s="587"/>
      <c r="L125" s="583">
        <f>'Working Capital'!$D$54</f>
        <v>391110.83010000002</v>
      </c>
      <c r="M125" s="583">
        <f>'Working Capital'!$D$78</f>
        <v>14674.206800000002</v>
      </c>
      <c r="N125" s="518"/>
    </row>
    <row r="126" spans="1:14" ht="16.5" thickBot="1">
      <c r="A126" s="512">
        <v>28</v>
      </c>
      <c r="B126" s="538" t="s">
        <v>532</v>
      </c>
      <c r="C126" s="508" t="s">
        <v>533</v>
      </c>
      <c r="D126" s="523">
        <f>L126+M126</f>
        <v>88618420.699850008</v>
      </c>
      <c r="E126" s="508"/>
      <c r="F126" s="508" t="s">
        <v>534</v>
      </c>
      <c r="G126" s="582">
        <f>+G91</f>
        <v>0.22092115728883807</v>
      </c>
      <c r="H126" s="508"/>
      <c r="I126" s="525">
        <f>+G126*D126</f>
        <v>19577684.058119986</v>
      </c>
      <c r="J126" s="526"/>
      <c r="K126" s="587"/>
      <c r="L126" s="584">
        <f>'Working Capital'!$F$54</f>
        <v>66970828.191300005</v>
      </c>
      <c r="M126" s="584">
        <f>'Working Capital'!$F$78</f>
        <v>21647592.508549999</v>
      </c>
      <c r="N126" s="597"/>
    </row>
    <row r="127" spans="1:14">
      <c r="A127" s="512">
        <v>29</v>
      </c>
      <c r="B127" s="518" t="s">
        <v>535</v>
      </c>
      <c r="C127" s="509"/>
      <c r="D127" s="589">
        <f>D124+D125+D126</f>
        <v>132385582.11675003</v>
      </c>
      <c r="E127" s="509"/>
      <c r="F127" s="509"/>
      <c r="G127" s="509"/>
      <c r="H127" s="509"/>
      <c r="I127" s="508">
        <f>I124+I125+I126</f>
        <v>28774010.193769999</v>
      </c>
      <c r="J127" s="508"/>
      <c r="K127" s="506"/>
      <c r="L127" s="598">
        <f>SUM(L125:L126)</f>
        <v>67361939.021400005</v>
      </c>
      <c r="M127" s="589">
        <f>SUM(M125:M126)</f>
        <v>21662266.715349998</v>
      </c>
    </row>
    <row r="128" spans="1:14" ht="16.5" thickBot="1">
      <c r="C128" s="508"/>
      <c r="D128" s="599"/>
      <c r="E128" s="508"/>
      <c r="F128" s="508"/>
      <c r="G128" s="508"/>
      <c r="H128" s="508"/>
      <c r="I128" s="599"/>
      <c r="J128" s="543"/>
      <c r="K128" s="519"/>
      <c r="L128" s="543"/>
      <c r="M128" s="543"/>
    </row>
    <row r="129" spans="1:13" ht="16.5" thickBot="1">
      <c r="A129" s="512">
        <v>30</v>
      </c>
      <c r="B129" s="518" t="s">
        <v>536</v>
      </c>
      <c r="C129" s="508"/>
      <c r="D129" s="600">
        <f>+D127+D121+D119+D107+D109</f>
        <v>8670880498.9231071</v>
      </c>
      <c r="E129" s="508"/>
      <c r="F129" s="508"/>
      <c r="G129" s="586"/>
      <c r="H129" s="508"/>
      <c r="I129" s="600">
        <f>+I127+I121+I119+I107+I109</f>
        <v>2469598874.5590358</v>
      </c>
      <c r="J129" s="526"/>
      <c r="K129" s="601"/>
      <c r="L129" s="600">
        <f>+L127+L121+L119+L107+L109</f>
        <v>7556535835.4405766</v>
      </c>
      <c r="M129" s="600">
        <f>+M127+M121+M119+M107+M109</f>
        <v>1070983287.1025292</v>
      </c>
    </row>
    <row r="130" spans="1:13" ht="16.5" thickTop="1">
      <c r="A130" s="512"/>
      <c r="B130" s="518"/>
      <c r="C130" s="508"/>
      <c r="D130" s="526"/>
      <c r="E130" s="508"/>
      <c r="F130" s="508"/>
      <c r="G130" s="586"/>
      <c r="H130" s="508"/>
      <c r="I130" s="526"/>
      <c r="J130" s="526"/>
      <c r="K130" s="601"/>
      <c r="L130" s="526"/>
      <c r="M130" s="526"/>
    </row>
    <row r="131" spans="1:13">
      <c r="A131" s="512"/>
      <c r="B131" s="518"/>
      <c r="C131" s="508"/>
      <c r="D131" s="526"/>
      <c r="E131" s="508"/>
      <c r="F131" s="508"/>
      <c r="G131" s="586"/>
      <c r="H131" s="508"/>
      <c r="I131" s="526"/>
      <c r="J131" s="526"/>
      <c r="K131" s="601"/>
      <c r="L131" s="526"/>
      <c r="M131" s="526"/>
    </row>
    <row r="132" spans="1:13">
      <c r="A132" s="512"/>
      <c r="B132" s="518"/>
      <c r="C132" s="508"/>
      <c r="D132" s="526"/>
      <c r="E132" s="508"/>
      <c r="F132" s="508"/>
      <c r="G132" s="586"/>
      <c r="H132" s="508"/>
      <c r="I132" s="526"/>
      <c r="J132" s="526"/>
      <c r="K132" s="601"/>
      <c r="L132" s="526"/>
      <c r="M132" s="526"/>
    </row>
    <row r="133" spans="1:13">
      <c r="A133" s="512"/>
      <c r="B133" s="518"/>
      <c r="C133" s="508"/>
      <c r="D133" s="526"/>
      <c r="E133" s="508"/>
      <c r="F133" s="508"/>
      <c r="G133" s="586"/>
      <c r="H133" s="508"/>
      <c r="I133" s="526"/>
      <c r="J133" s="526"/>
      <c r="K133" s="601"/>
      <c r="L133" s="526"/>
      <c r="M133" s="526"/>
    </row>
    <row r="134" spans="1:13">
      <c r="A134" s="512"/>
      <c r="B134" s="518"/>
      <c r="C134" s="508"/>
      <c r="D134" s="526"/>
      <c r="E134" s="508"/>
      <c r="F134" s="508"/>
      <c r="G134" s="586"/>
      <c r="H134" s="508"/>
      <c r="I134" s="526"/>
      <c r="J134" s="526"/>
      <c r="K134" s="601"/>
      <c r="L134" s="526"/>
      <c r="M134" s="526"/>
    </row>
    <row r="135" spans="1:13">
      <c r="A135" s="512"/>
      <c r="B135" s="518"/>
      <c r="C135" s="508"/>
      <c r="D135" s="526"/>
      <c r="E135" s="508"/>
      <c r="F135" s="508"/>
      <c r="G135" s="586"/>
      <c r="H135" s="508"/>
      <c r="I135" s="526"/>
      <c r="J135" s="526"/>
      <c r="K135" s="601"/>
      <c r="L135" s="526"/>
      <c r="M135" s="526"/>
    </row>
    <row r="136" spans="1:13">
      <c r="A136" s="512"/>
      <c r="B136" s="518"/>
      <c r="C136" s="508"/>
      <c r="D136" s="526"/>
      <c r="E136" s="508"/>
      <c r="F136" s="508"/>
      <c r="G136" s="586"/>
      <c r="H136" s="508"/>
      <c r="I136" s="526"/>
      <c r="J136" s="526"/>
      <c r="K136" s="601"/>
      <c r="L136" s="526"/>
      <c r="M136" s="526"/>
    </row>
    <row r="137" spans="1:13">
      <c r="A137" s="512"/>
      <c r="B137" s="518"/>
      <c r="C137" s="508"/>
      <c r="D137" s="526"/>
      <c r="E137" s="508"/>
      <c r="F137" s="508"/>
      <c r="G137" s="586"/>
      <c r="H137" s="508"/>
      <c r="I137" s="526"/>
      <c r="J137" s="526"/>
      <c r="K137" s="601"/>
      <c r="L137" s="526"/>
      <c r="M137" s="526"/>
    </row>
    <row r="138" spans="1:13">
      <c r="A138" s="512"/>
      <c r="B138" s="518"/>
      <c r="C138" s="508"/>
      <c r="D138" s="526"/>
      <c r="E138" s="508"/>
      <c r="F138" s="508"/>
      <c r="G138" s="586"/>
      <c r="H138" s="508"/>
      <c r="I138" s="526"/>
      <c r="J138" s="526"/>
      <c r="K138" s="601"/>
      <c r="L138" s="526"/>
      <c r="M138" s="526"/>
    </row>
    <row r="139" spans="1:13">
      <c r="A139" s="512"/>
      <c r="B139" s="518"/>
      <c r="C139" s="508"/>
      <c r="D139" s="526"/>
      <c r="E139" s="508"/>
      <c r="F139" s="508"/>
      <c r="G139" s="586"/>
      <c r="H139" s="508"/>
      <c r="I139" s="526"/>
      <c r="J139" s="526"/>
      <c r="K139" s="601"/>
      <c r="L139" s="526"/>
      <c r="M139" s="526"/>
    </row>
    <row r="140" spans="1:13">
      <c r="A140" s="512"/>
      <c r="B140" s="518"/>
      <c r="C140" s="508"/>
      <c r="D140" s="526"/>
      <c r="E140" s="508"/>
      <c r="F140" s="508"/>
      <c r="G140" s="586"/>
      <c r="H140" s="508"/>
      <c r="I140" s="526"/>
      <c r="J140" s="526"/>
      <c r="K140" s="601"/>
      <c r="L140" s="526"/>
      <c r="M140" s="526"/>
    </row>
    <row r="141" spans="1:13">
      <c r="A141" s="512"/>
      <c r="B141" s="518"/>
      <c r="C141" s="508"/>
      <c r="D141" s="526"/>
      <c r="E141" s="508"/>
      <c r="F141" s="508"/>
      <c r="G141" s="586"/>
      <c r="H141" s="508"/>
      <c r="I141" s="526"/>
      <c r="J141" s="526"/>
      <c r="K141" s="601"/>
      <c r="L141" s="526"/>
      <c r="M141" s="526"/>
    </row>
    <row r="142" spans="1:13">
      <c r="A142" s="512"/>
      <c r="B142" s="518"/>
      <c r="C142" s="508"/>
      <c r="D142" s="526"/>
      <c r="E142" s="508"/>
      <c r="F142" s="508"/>
      <c r="G142" s="586"/>
      <c r="H142" s="508"/>
      <c r="I142" s="526"/>
      <c r="J142" s="526"/>
      <c r="K142" s="601"/>
      <c r="L142" s="526"/>
      <c r="M142" s="526"/>
    </row>
    <row r="143" spans="1:13">
      <c r="A143" s="512"/>
      <c r="B143" s="518"/>
      <c r="C143" s="508"/>
      <c r="D143" s="526"/>
      <c r="E143" s="508"/>
      <c r="F143" s="508"/>
      <c r="G143" s="586"/>
      <c r="H143" s="508"/>
      <c r="I143" s="526"/>
      <c r="J143" s="526"/>
      <c r="K143" s="601"/>
      <c r="L143" s="526"/>
      <c r="M143" s="526"/>
    </row>
    <row r="144" spans="1:13">
      <c r="A144" s="512"/>
      <c r="B144" s="518"/>
      <c r="C144" s="508"/>
      <c r="D144" s="526"/>
      <c r="E144" s="508"/>
      <c r="F144" s="508"/>
      <c r="G144" s="586"/>
      <c r="H144" s="508"/>
      <c r="I144" s="526"/>
      <c r="J144" s="526"/>
      <c r="K144" s="601"/>
      <c r="L144" s="526"/>
      <c r="M144" s="526"/>
    </row>
    <row r="145" spans="1:14">
      <c r="A145" s="512"/>
      <c r="B145" s="518"/>
      <c r="C145" s="508"/>
      <c r="D145" s="526"/>
      <c r="E145" s="508"/>
      <c r="F145" s="508"/>
      <c r="G145" s="586"/>
      <c r="H145" s="508"/>
      <c r="I145" s="526"/>
      <c r="J145" s="526"/>
      <c r="K145" s="500" t="s">
        <v>379</v>
      </c>
      <c r="L145" s="526"/>
      <c r="M145" s="526"/>
    </row>
    <row r="146" spans="1:14">
      <c r="B146" s="501"/>
      <c r="C146" s="501"/>
      <c r="D146" s="502"/>
      <c r="E146" s="501"/>
      <c r="F146" s="501"/>
      <c r="G146" s="501"/>
      <c r="H146" s="503"/>
      <c r="I146" s="503"/>
      <c r="J146" s="503"/>
      <c r="K146" s="567" t="s">
        <v>537</v>
      </c>
    </row>
    <row r="147" spans="1:14">
      <c r="B147" s="501"/>
      <c r="C147" s="501"/>
      <c r="D147" s="502"/>
      <c r="E147" s="501"/>
      <c r="F147" s="501"/>
      <c r="G147" s="501"/>
      <c r="H147" s="503"/>
      <c r="I147" s="503"/>
      <c r="J147" s="503"/>
      <c r="K147" s="568"/>
    </row>
    <row r="148" spans="1:14">
      <c r="B148" s="501" t="s">
        <v>381</v>
      </c>
      <c r="C148" s="501"/>
      <c r="D148" s="502" t="s">
        <v>382</v>
      </c>
      <c r="E148" s="501"/>
      <c r="F148" s="501"/>
      <c r="G148" s="501"/>
      <c r="H148" s="503"/>
      <c r="K148" s="504" t="str">
        <f>K4</f>
        <v>For the 12 months ended 12/31/2015</v>
      </c>
    </row>
    <row r="149" spans="1:14">
      <c r="B149" s="501"/>
      <c r="C149" s="508" t="s">
        <v>5</v>
      </c>
      <c r="D149" s="508" t="s">
        <v>384</v>
      </c>
      <c r="E149" s="508"/>
      <c r="F149" s="508"/>
      <c r="G149" s="508"/>
      <c r="H149" s="503"/>
      <c r="I149" s="503"/>
      <c r="J149" s="503"/>
      <c r="K149" s="506"/>
    </row>
    <row r="150" spans="1:14">
      <c r="B150" s="501"/>
      <c r="C150" s="508"/>
      <c r="D150" s="508"/>
      <c r="E150" s="508"/>
      <c r="F150" s="508"/>
      <c r="G150" s="508"/>
      <c r="H150" s="503"/>
      <c r="I150" s="503"/>
      <c r="J150" s="503"/>
      <c r="K150" s="506"/>
    </row>
    <row r="151" spans="1:14">
      <c r="A151" s="1016" t="str">
        <f>A7</f>
        <v>Northern States Power Companies</v>
      </c>
      <c r="B151" s="1016"/>
      <c r="C151" s="1016"/>
      <c r="D151" s="1016"/>
      <c r="E151" s="1016"/>
      <c r="F151" s="1016"/>
      <c r="G151" s="1016"/>
      <c r="H151" s="1016"/>
      <c r="I151" s="1016"/>
      <c r="J151" s="1016"/>
      <c r="K151" s="1016"/>
    </row>
    <row r="152" spans="1:14">
      <c r="A152" s="512"/>
      <c r="D152" s="507"/>
      <c r="E152" s="507"/>
      <c r="F152" s="507"/>
      <c r="G152" s="507"/>
      <c r="K152" s="519"/>
    </row>
    <row r="153" spans="1:14">
      <c r="A153" s="512"/>
      <c r="B153" s="570" t="s">
        <v>459</v>
      </c>
      <c r="C153" s="570" t="s">
        <v>460</v>
      </c>
      <c r="D153" s="570" t="s">
        <v>461</v>
      </c>
      <c r="E153" s="508" t="s">
        <v>5</v>
      </c>
      <c r="F153" s="508"/>
      <c r="G153" s="571" t="s">
        <v>462</v>
      </c>
      <c r="H153" s="508"/>
      <c r="I153" s="572" t="s">
        <v>463</v>
      </c>
      <c r="J153" s="572"/>
      <c r="K153" s="519"/>
    </row>
    <row r="154" spans="1:14">
      <c r="A154" s="512"/>
      <c r="B154" s="570"/>
      <c r="C154" s="503"/>
      <c r="D154" s="503"/>
      <c r="E154" s="503"/>
      <c r="F154" s="503"/>
      <c r="G154" s="503"/>
      <c r="H154" s="503"/>
      <c r="I154" s="503"/>
      <c r="J154" s="503"/>
      <c r="K154" s="602"/>
    </row>
    <row r="155" spans="1:14">
      <c r="A155" s="512" t="s">
        <v>46</v>
      </c>
      <c r="B155" s="518"/>
      <c r="C155" s="574" t="s">
        <v>464</v>
      </c>
      <c r="D155" s="508"/>
      <c r="E155" s="508"/>
      <c r="F155" s="508"/>
      <c r="G155" s="512"/>
      <c r="H155" s="508"/>
      <c r="I155" s="575" t="s">
        <v>24</v>
      </c>
      <c r="J155" s="575"/>
      <c r="K155" s="602"/>
      <c r="L155" s="576" t="s">
        <v>465</v>
      </c>
      <c r="M155" s="576" t="s">
        <v>466</v>
      </c>
    </row>
    <row r="156" spans="1:14" ht="16.5" thickBot="1">
      <c r="A156" s="514" t="s">
        <v>22</v>
      </c>
      <c r="B156" s="518"/>
      <c r="C156" s="577" t="s">
        <v>467</v>
      </c>
      <c r="D156" s="578" t="s">
        <v>468</v>
      </c>
      <c r="E156" s="579"/>
      <c r="F156" s="1017" t="s">
        <v>391</v>
      </c>
      <c r="G156" s="1017"/>
      <c r="H156" s="579"/>
      <c r="I156" s="512" t="s">
        <v>470</v>
      </c>
      <c r="J156" s="512"/>
      <c r="K156" s="602"/>
      <c r="L156" s="576" t="s">
        <v>23</v>
      </c>
      <c r="M156" s="576" t="s">
        <v>23</v>
      </c>
    </row>
    <row r="157" spans="1:14">
      <c r="A157" s="512"/>
      <c r="B157" s="518" t="s">
        <v>538</v>
      </c>
      <c r="C157" s="508"/>
      <c r="D157" s="508"/>
      <c r="E157" s="508"/>
      <c r="F157" s="508"/>
      <c r="G157" s="508"/>
      <c r="H157" s="508"/>
      <c r="I157" s="508"/>
      <c r="J157" s="508"/>
      <c r="K157" s="519"/>
    </row>
    <row r="158" spans="1:14">
      <c r="A158" s="512">
        <v>1</v>
      </c>
      <c r="B158" s="518" t="s">
        <v>539</v>
      </c>
      <c r="C158" s="508" t="s">
        <v>540</v>
      </c>
      <c r="D158" s="523">
        <f t="shared" ref="D158:D165" si="5">L158+M158</f>
        <v>233174683.55253178</v>
      </c>
      <c r="E158" s="508"/>
      <c r="F158" s="508" t="s">
        <v>531</v>
      </c>
      <c r="G158" s="582">
        <f>I245</f>
        <v>0.94240001908069604</v>
      </c>
      <c r="H158" s="508"/>
      <c r="I158" s="508">
        <f t="shared" ref="I158:I166" si="6">+G158*D158</f>
        <v>219743826.22904122</v>
      </c>
      <c r="J158" s="508"/>
      <c r="K158" s="519"/>
      <c r="L158" s="583">
        <f>'O&amp;M'!$F$50</f>
        <v>221993676.73253176</v>
      </c>
      <c r="M158" s="583">
        <f>'O&amp;M'!$H$50</f>
        <v>11181006.820000008</v>
      </c>
      <c r="N158" s="603" t="s">
        <v>541</v>
      </c>
    </row>
    <row r="159" spans="1:14">
      <c r="A159" s="528" t="s">
        <v>542</v>
      </c>
      <c r="B159" s="538" t="s">
        <v>543</v>
      </c>
      <c r="C159" s="519"/>
      <c r="D159" s="523">
        <f t="shared" si="5"/>
        <v>9841879.2797949277</v>
      </c>
      <c r="E159" s="508"/>
      <c r="F159" s="604"/>
      <c r="G159" s="582">
        <v>1</v>
      </c>
      <c r="H159" s="508"/>
      <c r="I159" s="508">
        <f t="shared" si="6"/>
        <v>9841879.2797949277</v>
      </c>
      <c r="J159" s="508"/>
      <c r="K159" s="519"/>
      <c r="L159" s="583">
        <f>'O&amp;M'!$F$54</f>
        <v>9841879.2797949277</v>
      </c>
      <c r="M159" s="583">
        <f>'O&amp;M'!$H$54</f>
        <v>0</v>
      </c>
      <c r="N159" s="605" t="s">
        <v>544</v>
      </c>
    </row>
    <row r="160" spans="1:14">
      <c r="A160" s="512">
        <v>2</v>
      </c>
      <c r="B160" s="518" t="s">
        <v>545</v>
      </c>
      <c r="C160" s="508" t="s">
        <v>546</v>
      </c>
      <c r="D160" s="523">
        <f t="shared" si="5"/>
        <v>166769273.61273673</v>
      </c>
      <c r="E160" s="508"/>
      <c r="F160" s="508" t="s">
        <v>531</v>
      </c>
      <c r="G160" s="582">
        <f>+G158</f>
        <v>0.94240001908069604</v>
      </c>
      <c r="H160" s="508"/>
      <c r="I160" s="508">
        <f t="shared" si="6"/>
        <v>157163366.63471693</v>
      </c>
      <c r="J160" s="508"/>
      <c r="K160" s="519"/>
      <c r="L160" s="583">
        <f>'O&amp;M'!$F$56</f>
        <v>166769273.61273673</v>
      </c>
      <c r="M160" s="583">
        <f>'O&amp;M'!$H$56</f>
        <v>0</v>
      </c>
      <c r="N160" s="606"/>
    </row>
    <row r="161" spans="1:14">
      <c r="A161" s="512">
        <v>3</v>
      </c>
      <c r="B161" s="518" t="s">
        <v>547</v>
      </c>
      <c r="C161" s="508" t="s">
        <v>548</v>
      </c>
      <c r="D161" s="523">
        <f t="shared" si="5"/>
        <v>303645134.69999999</v>
      </c>
      <c r="E161" s="508"/>
      <c r="F161" s="508" t="s">
        <v>482</v>
      </c>
      <c r="G161" s="582">
        <f>+G97</f>
        <v>5.9695491180782559E-2</v>
      </c>
      <c r="H161" s="508"/>
      <c r="I161" s="508">
        <f t="shared" si="6"/>
        <v>18126245.460571382</v>
      </c>
      <c r="J161" s="508"/>
      <c r="K161" s="519" t="s">
        <v>5</v>
      </c>
      <c r="L161" s="583">
        <f>'O&amp;M'!$F$85</f>
        <v>260226876.16999996</v>
      </c>
      <c r="M161" s="583">
        <f>'O&amp;M'!$H$85</f>
        <v>43418258.530000024</v>
      </c>
      <c r="N161" s="603"/>
    </row>
    <row r="162" spans="1:14">
      <c r="A162" s="512">
        <v>4</v>
      </c>
      <c r="B162" s="518" t="s">
        <v>549</v>
      </c>
      <c r="D162" s="523">
        <f t="shared" si="5"/>
        <v>40019</v>
      </c>
      <c r="E162" s="508"/>
      <c r="F162" s="508" t="str">
        <f>+F161</f>
        <v>W/S</v>
      </c>
      <c r="G162" s="582">
        <f>+G161</f>
        <v>5.9695491180782559E-2</v>
      </c>
      <c r="H162" s="508"/>
      <c r="I162" s="508">
        <f t="shared" si="6"/>
        <v>2388.9538615637371</v>
      </c>
      <c r="J162" s="508"/>
      <c r="L162" s="583">
        <f>'O&amp;M'!$F$87</f>
        <v>40019</v>
      </c>
      <c r="M162" s="583">
        <f>'O&amp;M'!$H$87</f>
        <v>0</v>
      </c>
      <c r="N162" s="603"/>
    </row>
    <row r="163" spans="1:14">
      <c r="A163" s="512">
        <v>5</v>
      </c>
      <c r="B163" s="538" t="s">
        <v>550</v>
      </c>
      <c r="C163" s="519"/>
      <c r="D163" s="523">
        <f t="shared" si="5"/>
        <v>13777794.32</v>
      </c>
      <c r="E163" s="508"/>
      <c r="F163" s="508" t="str">
        <f>+F162</f>
        <v>W/S</v>
      </c>
      <c r="G163" s="582">
        <f>+G162</f>
        <v>5.9695491180782559E-2</v>
      </c>
      <c r="H163" s="508"/>
      <c r="I163" s="508">
        <f t="shared" si="6"/>
        <v>822472.19932019606</v>
      </c>
      <c r="J163" s="508"/>
      <c r="K163" s="519"/>
      <c r="L163" s="583">
        <f>'O&amp;M'!$F$92</f>
        <v>11770787.84</v>
      </c>
      <c r="M163" s="583">
        <f>'O&amp;M'!$H$92</f>
        <v>2007006.48</v>
      </c>
      <c r="N163" s="603"/>
    </row>
    <row r="164" spans="1:14">
      <c r="A164" s="512" t="s">
        <v>551</v>
      </c>
      <c r="B164" s="538" t="s">
        <v>552</v>
      </c>
      <c r="C164" s="519"/>
      <c r="D164" s="523">
        <f t="shared" si="5"/>
        <v>500159</v>
      </c>
      <c r="E164" s="508"/>
      <c r="F164" s="607" t="str">
        <f>+F158</f>
        <v>TE</v>
      </c>
      <c r="G164" s="594">
        <f>+G158</f>
        <v>0.94240001908069604</v>
      </c>
      <c r="H164" s="508"/>
      <c r="I164" s="508">
        <f t="shared" si="6"/>
        <v>471349.85114338185</v>
      </c>
      <c r="J164" s="508"/>
      <c r="K164" s="519"/>
      <c r="L164" s="583">
        <f>'O&amp;M'!$F$94</f>
        <v>500159</v>
      </c>
      <c r="M164" s="583">
        <f>'O&amp;M'!$H$94</f>
        <v>0</v>
      </c>
      <c r="N164" s="605" t="s">
        <v>553</v>
      </c>
    </row>
    <row r="165" spans="1:14" s="507" customFormat="1">
      <c r="A165" s="528">
        <v>6</v>
      </c>
      <c r="B165" s="538" t="s">
        <v>483</v>
      </c>
      <c r="C165" s="519" t="str">
        <f>+C98</f>
        <v>356.1</v>
      </c>
      <c r="D165" s="523">
        <f t="shared" si="5"/>
        <v>0</v>
      </c>
      <c r="E165" s="519"/>
      <c r="F165" s="519" t="s">
        <v>485</v>
      </c>
      <c r="G165" s="594">
        <f>+G98</f>
        <v>5.5138241514970543E-2</v>
      </c>
      <c r="H165" s="519"/>
      <c r="I165" s="519">
        <f t="shared" si="6"/>
        <v>0</v>
      </c>
      <c r="J165" s="519"/>
      <c r="K165" s="519"/>
      <c r="L165" s="583">
        <v>0</v>
      </c>
      <c r="M165" s="583">
        <v>0</v>
      </c>
      <c r="N165" s="608"/>
    </row>
    <row r="166" spans="1:14" ht="16.5" thickBot="1">
      <c r="A166" s="512">
        <v>7</v>
      </c>
      <c r="B166" s="518" t="s">
        <v>554</v>
      </c>
      <c r="C166" s="508"/>
      <c r="D166" s="532">
        <f>L166+M166</f>
        <v>0</v>
      </c>
      <c r="E166" s="508"/>
      <c r="F166" s="508" t="s">
        <v>5</v>
      </c>
      <c r="G166" s="582">
        <v>1</v>
      </c>
      <c r="H166" s="508"/>
      <c r="I166" s="525">
        <f t="shared" si="6"/>
        <v>0</v>
      </c>
      <c r="J166" s="526"/>
      <c r="K166" s="519"/>
      <c r="L166" s="584">
        <v>0</v>
      </c>
      <c r="M166" s="584">
        <v>0</v>
      </c>
      <c r="N166" s="609"/>
    </row>
    <row r="167" spans="1:14">
      <c r="A167" s="512">
        <v>8</v>
      </c>
      <c r="B167" s="518" t="s">
        <v>555</v>
      </c>
      <c r="C167" s="508"/>
      <c r="D167" s="508">
        <f>+D158-D159-D160+D161-D162-D163+D165+D166+D164</f>
        <v>346891011.04000014</v>
      </c>
      <c r="E167" s="508"/>
      <c r="F167" s="508"/>
      <c r="G167" s="508"/>
      <c r="H167" s="508"/>
      <c r="I167" s="508">
        <f>+I158-I159-I160+I161-I162-I163+I165+I166+I164</f>
        <v>70511314.473062351</v>
      </c>
      <c r="J167" s="508"/>
      <c r="K167" s="519"/>
      <c r="L167" s="508">
        <f>+L158-L159-L160+L161-L162-L163+L165+L166+L164</f>
        <v>294298752.17000008</v>
      </c>
      <c r="M167" s="508">
        <f>+M158-M159-M160+M161-M162-M163+M165+M166+M164</f>
        <v>52592258.870000035</v>
      </c>
    </row>
    <row r="168" spans="1:14">
      <c r="A168" s="512"/>
      <c r="C168" s="508"/>
      <c r="E168" s="508"/>
      <c r="F168" s="508"/>
      <c r="G168" s="508"/>
      <c r="H168" s="508"/>
      <c r="K168" s="519"/>
    </row>
    <row r="169" spans="1:14">
      <c r="A169" s="512"/>
      <c r="B169" s="610" t="s">
        <v>556</v>
      </c>
      <c r="C169" s="508"/>
      <c r="D169" s="508"/>
      <c r="E169" s="508"/>
      <c r="F169" s="508"/>
      <c r="G169" s="508"/>
      <c r="H169" s="508"/>
      <c r="I169" s="508"/>
      <c r="J169" s="508"/>
      <c r="K169" s="519"/>
    </row>
    <row r="170" spans="1:14">
      <c r="A170" s="512">
        <v>9</v>
      </c>
      <c r="B170" s="518" t="str">
        <f>+B158</f>
        <v xml:space="preserve">  Transmission </v>
      </c>
      <c r="C170" s="519" t="s">
        <v>557</v>
      </c>
      <c r="D170" s="523">
        <f>L170+M170</f>
        <v>82894105.799999997</v>
      </c>
      <c r="E170" s="508"/>
      <c r="F170" s="508" t="s">
        <v>394</v>
      </c>
      <c r="G170" s="582">
        <f>+G121</f>
        <v>0.9795250731428311</v>
      </c>
      <c r="H170" s="508"/>
      <c r="I170" s="508">
        <f>+G170*D170</f>
        <v>81196855.046854571</v>
      </c>
      <c r="J170" s="508"/>
      <c r="K170" s="587"/>
      <c r="L170" s="583">
        <f>'Dep &amp; Amort Exp'!$D$44</f>
        <v>60557007.049999997</v>
      </c>
      <c r="M170" s="583">
        <f>'Dep &amp; Amort Exp'!$D$64</f>
        <v>22337098.75</v>
      </c>
    </row>
    <row r="171" spans="1:14">
      <c r="A171" s="512" t="s">
        <v>558</v>
      </c>
      <c r="B171" s="507" t="s">
        <v>559</v>
      </c>
      <c r="C171" s="519" t="s">
        <v>560</v>
      </c>
      <c r="D171" s="523">
        <f>L171+M171</f>
        <v>-932584.22</v>
      </c>
      <c r="E171" s="508"/>
      <c r="F171" s="508" t="s">
        <v>394</v>
      </c>
      <c r="G171" s="582">
        <f>I235</f>
        <v>0.9795250731428311</v>
      </c>
      <c r="H171" s="508"/>
      <c r="I171" s="508">
        <f>+G171*D171</f>
        <v>-913489.62630735012</v>
      </c>
      <c r="J171" s="508"/>
      <c r="K171" s="587"/>
      <c r="L171" s="583">
        <f>'Dep &amp; Amort Exp'!$F$44</f>
        <v>-932584.22</v>
      </c>
      <c r="M171" s="583">
        <f>'Dep &amp; Amort Exp'!$F$64</f>
        <v>0</v>
      </c>
    </row>
    <row r="172" spans="1:14">
      <c r="A172" s="512" t="s">
        <v>561</v>
      </c>
      <c r="B172" s="507" t="s">
        <v>562</v>
      </c>
      <c r="C172" s="519" t="s">
        <v>560</v>
      </c>
      <c r="D172" s="523">
        <f>L172+M172</f>
        <v>0</v>
      </c>
      <c r="E172" s="508"/>
      <c r="F172" s="508" t="s">
        <v>394</v>
      </c>
      <c r="G172" s="582">
        <f>I235</f>
        <v>0.9795250731428311</v>
      </c>
      <c r="H172" s="508"/>
      <c r="I172" s="508">
        <f>+G172*D172</f>
        <v>0</v>
      </c>
      <c r="J172" s="508"/>
      <c r="K172" s="587"/>
      <c r="L172" s="583">
        <f>'Dep &amp; Amort Exp'!$H$44</f>
        <v>0</v>
      </c>
      <c r="M172" s="583">
        <f>'Dep &amp; Amort Exp'!$H$64</f>
        <v>0</v>
      </c>
    </row>
    <row r="173" spans="1:14">
      <c r="A173" s="512">
        <v>10</v>
      </c>
      <c r="B173" s="610" t="s">
        <v>480</v>
      </c>
      <c r="C173" s="508" t="s">
        <v>563</v>
      </c>
      <c r="D173" s="523">
        <f>L173+M173</f>
        <v>48165493.5</v>
      </c>
      <c r="E173" s="508"/>
      <c r="F173" s="508" t="s">
        <v>482</v>
      </c>
      <c r="G173" s="582">
        <f>+G161</f>
        <v>5.9695491180782559E-2</v>
      </c>
      <c r="H173" s="508"/>
      <c r="I173" s="508">
        <f>+G173*D173</f>
        <v>2875262.7924472895</v>
      </c>
      <c r="J173" s="508"/>
      <c r="K173" s="587"/>
      <c r="L173" s="583">
        <f>'Dep &amp; Amort Exp'!$J$44</f>
        <v>41784476</v>
      </c>
      <c r="M173" s="583">
        <f>'Dep &amp; Amort Exp'!$J$64</f>
        <v>6381017.5</v>
      </c>
    </row>
    <row r="174" spans="1:14" ht="16.5" thickBot="1">
      <c r="A174" s="512">
        <v>11</v>
      </c>
      <c r="B174" s="538" t="s">
        <v>564</v>
      </c>
      <c r="C174" s="508" t="s">
        <v>565</v>
      </c>
      <c r="D174" s="532">
        <f>L174+M174</f>
        <v>50897302.609999999</v>
      </c>
      <c r="E174" s="508"/>
      <c r="F174" s="508" t="s">
        <v>485</v>
      </c>
      <c r="G174" s="582">
        <f>+G165</f>
        <v>5.5138241514970543E-2</v>
      </c>
      <c r="H174" s="508"/>
      <c r="I174" s="525">
        <f>+G174*D174</f>
        <v>2806387.7637707205</v>
      </c>
      <c r="J174" s="526"/>
      <c r="K174" s="587"/>
      <c r="L174" s="584">
        <f>'Dep &amp; Amort Exp'!$L$44</f>
        <v>42961671</v>
      </c>
      <c r="M174" s="584">
        <f>'Dep &amp; Amort Exp'!$L$64</f>
        <v>7935631.6099999994</v>
      </c>
    </row>
    <row r="175" spans="1:14">
      <c r="A175" s="512">
        <v>12</v>
      </c>
      <c r="B175" s="518" t="s">
        <v>566</v>
      </c>
      <c r="C175" s="508"/>
      <c r="D175" s="589">
        <f>SUM(D170:D174)</f>
        <v>181024317.69</v>
      </c>
      <c r="E175" s="508"/>
      <c r="F175" s="508"/>
      <c r="G175" s="508"/>
      <c r="H175" s="508"/>
      <c r="I175" s="508">
        <f>SUM(I170:I174)</f>
        <v>85965015.976765215</v>
      </c>
      <c r="J175" s="508"/>
      <c r="K175" s="519"/>
      <c r="L175" s="508">
        <f>SUM(L170:L174)</f>
        <v>144370569.82999998</v>
      </c>
      <c r="M175" s="508">
        <f>SUM(M170:M174)</f>
        <v>36653747.859999999</v>
      </c>
    </row>
    <row r="176" spans="1:14">
      <c r="A176" s="512"/>
      <c r="B176" s="518"/>
      <c r="C176" s="508"/>
      <c r="D176" s="508"/>
      <c r="E176" s="508"/>
      <c r="F176" s="508"/>
      <c r="G176" s="508"/>
      <c r="H176" s="508"/>
      <c r="I176" s="508"/>
      <c r="J176" s="508"/>
      <c r="K176" s="519"/>
    </row>
    <row r="177" spans="1:14">
      <c r="A177" s="512" t="s">
        <v>5</v>
      </c>
      <c r="B177" s="518" t="s">
        <v>567</v>
      </c>
      <c r="D177" s="508"/>
      <c r="E177" s="508"/>
      <c r="F177" s="508"/>
      <c r="G177" s="508"/>
      <c r="H177" s="508"/>
      <c r="I177" s="508"/>
      <c r="J177" s="508"/>
      <c r="K177" s="519"/>
    </row>
    <row r="178" spans="1:14">
      <c r="A178" s="512"/>
      <c r="B178" s="518" t="s">
        <v>568</v>
      </c>
      <c r="E178" s="508"/>
      <c r="F178" s="508"/>
      <c r="H178" s="508"/>
      <c r="K178" s="587"/>
    </row>
    <row r="179" spans="1:14">
      <c r="A179" s="512">
        <v>13</v>
      </c>
      <c r="B179" s="518" t="s">
        <v>569</v>
      </c>
      <c r="C179" s="508" t="s">
        <v>570</v>
      </c>
      <c r="D179" s="523">
        <f>L179+M179</f>
        <v>38122068.57000003</v>
      </c>
      <c r="E179" s="508"/>
      <c r="F179" s="508" t="s">
        <v>482</v>
      </c>
      <c r="G179" s="521">
        <f>+G173</f>
        <v>5.9695491180782559E-2</v>
      </c>
      <c r="H179" s="508"/>
      <c r="I179" s="508">
        <f>+G179*D179</f>
        <v>2275715.6081136246</v>
      </c>
      <c r="J179" s="508"/>
      <c r="K179" s="587"/>
      <c r="L179" s="583">
        <f>'Taxes Other Than Income'!$F$12</f>
        <v>34837842.090000033</v>
      </c>
      <c r="M179" s="583">
        <f>'Taxes Other Than Income'!$H$12</f>
        <v>3284226.48</v>
      </c>
    </row>
    <row r="180" spans="1:14">
      <c r="A180" s="512">
        <v>14</v>
      </c>
      <c r="B180" s="518" t="s">
        <v>571</v>
      </c>
      <c r="C180" s="508" t="str">
        <f>+C179</f>
        <v>263.i</v>
      </c>
      <c r="D180" s="523">
        <f>L180+M180</f>
        <v>0</v>
      </c>
      <c r="E180" s="508"/>
      <c r="F180" s="508" t="str">
        <f>+F179</f>
        <v>W/S</v>
      </c>
      <c r="G180" s="521">
        <f>+G179</f>
        <v>5.9695491180782559E-2</v>
      </c>
      <c r="H180" s="508"/>
      <c r="I180" s="508">
        <f>+G180*D180</f>
        <v>0</v>
      </c>
      <c r="J180" s="508"/>
      <c r="K180" s="587"/>
      <c r="L180" s="583">
        <f>'Taxes Other Than Income'!$F$13</f>
        <v>0</v>
      </c>
      <c r="M180" s="583">
        <f>'Taxes Other Than Income'!$H$13</f>
        <v>0</v>
      </c>
      <c r="N180" s="611"/>
    </row>
    <row r="181" spans="1:14">
      <c r="A181" s="512">
        <v>15</v>
      </c>
      <c r="B181" s="518" t="s">
        <v>572</v>
      </c>
      <c r="C181" s="508" t="s">
        <v>5</v>
      </c>
      <c r="D181" s="612"/>
      <c r="E181" s="508"/>
      <c r="F181" s="508"/>
      <c r="H181" s="508"/>
      <c r="K181" s="587"/>
      <c r="L181" s="612"/>
      <c r="M181" s="612"/>
    </row>
    <row r="182" spans="1:14">
      <c r="A182" s="512">
        <v>16</v>
      </c>
      <c r="B182" s="518" t="s">
        <v>573</v>
      </c>
      <c r="C182" s="508" t="s">
        <v>570</v>
      </c>
      <c r="D182" s="523">
        <f>L182+M182</f>
        <v>206226000</v>
      </c>
      <c r="E182" s="508"/>
      <c r="F182" s="508" t="s">
        <v>534</v>
      </c>
      <c r="G182" s="521">
        <f>+G91</f>
        <v>0.22092115728883807</v>
      </c>
      <c r="H182" s="508"/>
      <c r="I182" s="508">
        <f>+G182*D182</f>
        <v>45559686.583047919</v>
      </c>
      <c r="J182" s="508"/>
      <c r="K182" s="587"/>
      <c r="L182" s="583">
        <f>'Taxes Other Than Income'!$F$17</f>
        <v>205396000</v>
      </c>
      <c r="M182" s="583">
        <f>'Taxes Other Than Income'!$H$17</f>
        <v>830000</v>
      </c>
    </row>
    <row r="183" spans="1:14">
      <c r="A183" s="512">
        <v>17</v>
      </c>
      <c r="B183" s="518" t="s">
        <v>574</v>
      </c>
      <c r="C183" s="508" t="s">
        <v>570</v>
      </c>
      <c r="D183" s="523">
        <f>L183+M183</f>
        <v>21948384.258819502</v>
      </c>
      <c r="E183" s="508"/>
      <c r="F183" s="519" t="str">
        <f>+F112</f>
        <v>NA</v>
      </c>
      <c r="G183" s="613" t="s">
        <v>508</v>
      </c>
      <c r="H183" s="508"/>
      <c r="I183" s="508">
        <v>0</v>
      </c>
      <c r="J183" s="508"/>
      <c r="K183" s="587"/>
      <c r="L183" s="583">
        <f>'Taxes Other Than Income'!$F$18</f>
        <v>0</v>
      </c>
      <c r="M183" s="583">
        <f>'Taxes Other Than Income'!$H$18</f>
        <v>21948384.258819502</v>
      </c>
      <c r="N183" s="611"/>
    </row>
    <row r="184" spans="1:14">
      <c r="A184" s="512">
        <v>18</v>
      </c>
      <c r="B184" s="518" t="s">
        <v>575</v>
      </c>
      <c r="C184" s="508" t="str">
        <f>+C183</f>
        <v>263.i</v>
      </c>
      <c r="D184" s="523">
        <f>L184+M184</f>
        <v>0</v>
      </c>
      <c r="E184" s="508"/>
      <c r="F184" s="508" t="str">
        <f>+F182</f>
        <v>GP</v>
      </c>
      <c r="G184" s="521">
        <f>+G182</f>
        <v>0.22092115728883807</v>
      </c>
      <c r="H184" s="508"/>
      <c r="I184" s="508">
        <f>+G184*D184</f>
        <v>0</v>
      </c>
      <c r="J184" s="508"/>
      <c r="K184" s="587"/>
      <c r="L184" s="519">
        <f>'Taxes Other Than Income'!$F$19</f>
        <v>0</v>
      </c>
      <c r="M184" s="519">
        <f>'Taxes Other Than Income'!$H$19</f>
        <v>0</v>
      </c>
    </row>
    <row r="185" spans="1:14" ht="16.5" thickBot="1">
      <c r="A185" s="512">
        <v>19</v>
      </c>
      <c r="B185" s="518" t="s">
        <v>576</v>
      </c>
      <c r="C185" s="508"/>
      <c r="D185" s="532">
        <f>L185+M185</f>
        <v>0</v>
      </c>
      <c r="E185" s="508"/>
      <c r="F185" s="508" t="s">
        <v>534</v>
      </c>
      <c r="G185" s="521">
        <f>+G182</f>
        <v>0.22092115728883807</v>
      </c>
      <c r="H185" s="508"/>
      <c r="I185" s="525">
        <f>+G185*D185</f>
        <v>0</v>
      </c>
      <c r="J185" s="526"/>
      <c r="K185" s="587"/>
      <c r="L185" s="584">
        <f>'Taxes Other Than Income'!$F$20</f>
        <v>0</v>
      </c>
      <c r="M185" s="584">
        <f>'Taxes Other Than Income'!$H$20</f>
        <v>0</v>
      </c>
    </row>
    <row r="186" spans="1:14">
      <c r="A186" s="512">
        <v>20</v>
      </c>
      <c r="B186" s="518" t="s">
        <v>577</v>
      </c>
      <c r="C186" s="508"/>
      <c r="D186" s="589">
        <f>SUM(D179:D185)</f>
        <v>266296452.82881951</v>
      </c>
      <c r="E186" s="508"/>
      <c r="F186" s="508"/>
      <c r="G186" s="521"/>
      <c r="H186" s="508"/>
      <c r="I186" s="508">
        <f>SUM(I179:I185)</f>
        <v>47835402.191161543</v>
      </c>
      <c r="J186" s="508"/>
      <c r="K186" s="519"/>
      <c r="L186" s="508">
        <f>SUM(L179:L185)</f>
        <v>240233842.09000003</v>
      </c>
      <c r="M186" s="508">
        <f>SUM(M179:M185)</f>
        <v>26062610.738819502</v>
      </c>
    </row>
    <row r="187" spans="1:14">
      <c r="A187" s="512"/>
      <c r="B187" s="518"/>
      <c r="C187" s="508"/>
      <c r="D187" s="508"/>
      <c r="E187" s="508"/>
      <c r="F187" s="508"/>
      <c r="G187" s="521"/>
      <c r="H187" s="508"/>
      <c r="I187" s="508"/>
      <c r="J187" s="508"/>
      <c r="K187" s="519"/>
    </row>
    <row r="188" spans="1:14">
      <c r="A188" s="512" t="s">
        <v>5</v>
      </c>
      <c r="B188" s="518" t="s">
        <v>578</v>
      </c>
      <c r="C188" s="508" t="s">
        <v>579</v>
      </c>
      <c r="D188" s="508"/>
      <c r="E188" s="508"/>
      <c r="G188" s="614"/>
      <c r="H188" s="508"/>
    </row>
    <row r="189" spans="1:14">
      <c r="A189" s="512">
        <v>21</v>
      </c>
      <c r="B189" s="615" t="s">
        <v>580</v>
      </c>
      <c r="C189" s="508"/>
      <c r="D189" s="616">
        <f>IF(D328&gt;0,1-(((1-D329)*(1-D328))/(1-D329*D328*D330)),0)</f>
        <v>0.40814249999999996</v>
      </c>
      <c r="E189" s="508"/>
      <c r="G189" s="614"/>
      <c r="H189" s="508"/>
    </row>
    <row r="190" spans="1:14">
      <c r="A190" s="512">
        <v>22</v>
      </c>
      <c r="B190" s="499" t="s">
        <v>581</v>
      </c>
      <c r="C190" s="508"/>
      <c r="D190" s="616">
        <f>IF(I276&gt;0,(D189/(1-D189))*(1-I273/I276),0)</f>
        <v>0.50951654639740807</v>
      </c>
      <c r="E190" s="508"/>
      <c r="G190" s="614"/>
      <c r="H190" s="508"/>
    </row>
    <row r="191" spans="1:14">
      <c r="A191" s="512"/>
      <c r="B191" s="518" t="s">
        <v>582</v>
      </c>
      <c r="C191" s="508"/>
      <c r="D191" s="508"/>
      <c r="E191" s="508"/>
      <c r="G191" s="614"/>
      <c r="H191" s="508"/>
    </row>
    <row r="192" spans="1:14">
      <c r="A192" s="512"/>
      <c r="B192" s="518" t="s">
        <v>583</v>
      </c>
      <c r="C192" s="508"/>
      <c r="D192" s="508"/>
      <c r="E192" s="508"/>
      <c r="G192" s="614"/>
      <c r="H192" s="508"/>
    </row>
    <row r="193" spans="1:14">
      <c r="A193" s="512">
        <v>23</v>
      </c>
      <c r="B193" s="615" t="s">
        <v>584</v>
      </c>
      <c r="C193" s="508"/>
      <c r="D193" s="617">
        <f>IF(D189&gt;0,1/(1-D189),0)</f>
        <v>1.6895958909027933</v>
      </c>
      <c r="E193" s="508"/>
      <c r="G193" s="614"/>
      <c r="H193" s="508"/>
    </row>
    <row r="194" spans="1:14">
      <c r="A194" s="512">
        <v>24</v>
      </c>
      <c r="B194" s="518" t="s">
        <v>585</v>
      </c>
      <c r="C194" s="508"/>
      <c r="D194" s="523">
        <f>L194+M194</f>
        <v>-2119663.52</v>
      </c>
      <c r="E194" s="508"/>
      <c r="G194" s="614"/>
      <c r="H194" s="508"/>
      <c r="L194" s="583">
        <f>'Taxes Other Than Income'!$F$26</f>
        <v>-1501001</v>
      </c>
      <c r="M194" s="583">
        <f>'Taxes Other Than Income'!$H$26</f>
        <v>-618662.52</v>
      </c>
      <c r="N194" s="611"/>
    </row>
    <row r="195" spans="1:14">
      <c r="A195" s="512"/>
      <c r="B195" s="518"/>
      <c r="C195" s="508"/>
      <c r="D195" s="508"/>
      <c r="E195" s="508"/>
      <c r="G195" s="614"/>
      <c r="H195" s="508"/>
    </row>
    <row r="196" spans="1:14">
      <c r="A196" s="512">
        <v>25</v>
      </c>
      <c r="B196" s="615" t="s">
        <v>586</v>
      </c>
      <c r="C196" s="618"/>
      <c r="D196" s="508">
        <f>D190*D200</f>
        <v>395717400.78042495</v>
      </c>
      <c r="E196" s="508"/>
      <c r="F196" s="508" t="s">
        <v>475</v>
      </c>
      <c r="G196" s="521"/>
      <c r="H196" s="508"/>
      <c r="I196" s="508">
        <f>D190*I200</f>
        <v>112706344.84377187</v>
      </c>
      <c r="J196" s="508"/>
      <c r="K196" s="619" t="s">
        <v>5</v>
      </c>
    </row>
    <row r="197" spans="1:14" ht="16.5" thickBot="1">
      <c r="A197" s="512">
        <v>26</v>
      </c>
      <c r="B197" s="499" t="s">
        <v>587</v>
      </c>
      <c r="C197" s="618"/>
      <c r="D197" s="525">
        <f>D193*D194</f>
        <v>-3581374.7734885509</v>
      </c>
      <c r="E197" s="508"/>
      <c r="F197" s="499" t="s">
        <v>511</v>
      </c>
      <c r="G197" s="521">
        <f>G107</f>
        <v>0.27640715547818545</v>
      </c>
      <c r="H197" s="508"/>
      <c r="I197" s="525">
        <f>G197*D197</f>
        <v>-989917.61384130106</v>
      </c>
      <c r="J197" s="526"/>
      <c r="K197" s="619"/>
    </row>
    <row r="198" spans="1:14">
      <c r="A198" s="512">
        <v>27</v>
      </c>
      <c r="B198" s="620" t="s">
        <v>588</v>
      </c>
      <c r="C198" s="499" t="s">
        <v>589</v>
      </c>
      <c r="D198" s="621">
        <f>+D196+D197</f>
        <v>392136026.00693643</v>
      </c>
      <c r="E198" s="508"/>
      <c r="F198" s="508" t="s">
        <v>5</v>
      </c>
      <c r="G198" s="521" t="s">
        <v>5</v>
      </c>
      <c r="H198" s="508"/>
      <c r="I198" s="621">
        <f>+I196+I197</f>
        <v>111716427.22993058</v>
      </c>
      <c r="J198" s="621"/>
      <c r="K198" s="519"/>
    </row>
    <row r="199" spans="1:14">
      <c r="A199" s="512" t="s">
        <v>5</v>
      </c>
      <c r="C199" s="622"/>
      <c r="D199" s="508"/>
      <c r="E199" s="508"/>
      <c r="F199" s="508"/>
      <c r="G199" s="521"/>
      <c r="H199" s="508"/>
      <c r="I199" s="508"/>
      <c r="J199" s="508"/>
      <c r="K199" s="519"/>
    </row>
    <row r="200" spans="1:14">
      <c r="A200" s="512">
        <v>28</v>
      </c>
      <c r="B200" s="518" t="s">
        <v>590</v>
      </c>
      <c r="C200" s="586"/>
      <c r="D200" s="508">
        <f>+$I276*D129</f>
        <v>776652698.67757523</v>
      </c>
      <c r="E200" s="508"/>
      <c r="F200" s="508" t="s">
        <v>475</v>
      </c>
      <c r="G200" s="614"/>
      <c r="H200" s="508"/>
      <c r="I200" s="508">
        <f>+$I276*I129</f>
        <v>221202521.56809095</v>
      </c>
      <c r="J200" s="508"/>
    </row>
    <row r="201" spans="1:14">
      <c r="A201" s="512"/>
      <c r="B201" s="620" t="s">
        <v>591</v>
      </c>
      <c r="D201" s="508"/>
      <c r="E201" s="508"/>
      <c r="F201" s="508"/>
      <c r="G201" s="614"/>
      <c r="H201" s="508"/>
      <c r="I201" s="508"/>
      <c r="J201" s="508"/>
      <c r="K201" s="587"/>
    </row>
    <row r="202" spans="1:14" ht="16.5" thickBot="1">
      <c r="A202" s="512"/>
      <c r="B202" s="518"/>
      <c r="D202" s="525"/>
      <c r="E202" s="508"/>
      <c r="F202" s="508"/>
      <c r="G202" s="614"/>
      <c r="H202" s="508"/>
      <c r="I202" s="525"/>
      <c r="J202" s="526"/>
      <c r="K202" s="587"/>
    </row>
    <row r="203" spans="1:14">
      <c r="A203" s="512">
        <v>29</v>
      </c>
      <c r="B203" s="518" t="s">
        <v>592</v>
      </c>
      <c r="C203" s="508"/>
      <c r="D203" s="589">
        <f>+D200+D198+D186+D175+D167</f>
        <v>1963000506.2433314</v>
      </c>
      <c r="E203" s="508"/>
      <c r="F203" s="508"/>
      <c r="G203" s="508"/>
      <c r="H203" s="508"/>
      <c r="I203" s="526">
        <f>+I200+I198+I186+I175+I167</f>
        <v>537230681.43901062</v>
      </c>
      <c r="J203" s="526"/>
      <c r="K203" s="506"/>
    </row>
    <row r="204" spans="1:14">
      <c r="A204" s="512"/>
      <c r="B204" s="518"/>
      <c r="C204" s="508"/>
      <c r="D204" s="526"/>
      <c r="E204" s="508"/>
      <c r="F204" s="508"/>
      <c r="G204" s="508"/>
      <c r="H204" s="508"/>
      <c r="I204" s="526"/>
      <c r="J204" s="526"/>
      <c r="K204" s="506"/>
    </row>
    <row r="205" spans="1:14">
      <c r="A205" s="512">
        <v>30</v>
      </c>
      <c r="B205" s="518" t="s">
        <v>593</v>
      </c>
      <c r="C205" s="508"/>
      <c r="J205" s="526"/>
      <c r="K205" s="506"/>
    </row>
    <row r="206" spans="1:14">
      <c r="A206" s="512"/>
      <c r="B206" s="518" t="s">
        <v>594</v>
      </c>
      <c r="C206" s="508"/>
      <c r="D206" s="526"/>
      <c r="E206" s="508"/>
      <c r="F206" s="508"/>
      <c r="G206" s="508"/>
      <c r="H206" s="508"/>
      <c r="I206" s="526"/>
      <c r="J206" s="526"/>
      <c r="K206" s="506"/>
    </row>
    <row r="207" spans="1:14">
      <c r="A207" s="512"/>
      <c r="B207" s="518" t="s">
        <v>595</v>
      </c>
      <c r="C207" s="508"/>
      <c r="D207" s="530">
        <f>'Attachment GG Rev 2'!L94</f>
        <v>76180656.149380967</v>
      </c>
      <c r="E207" s="508"/>
      <c r="F207" s="508"/>
      <c r="G207" s="508"/>
      <c r="H207" s="508"/>
      <c r="I207" s="530">
        <f>D207</f>
        <v>76180656.149380967</v>
      </c>
      <c r="J207" s="526"/>
      <c r="K207" s="506"/>
    </row>
    <row r="208" spans="1:14">
      <c r="A208" s="512"/>
      <c r="B208" s="538"/>
      <c r="C208" s="519"/>
      <c r="D208" s="526"/>
      <c r="E208" s="508"/>
      <c r="F208" s="508"/>
      <c r="G208" s="508"/>
      <c r="H208" s="508"/>
      <c r="I208" s="526"/>
      <c r="J208" s="526"/>
      <c r="K208" s="506"/>
    </row>
    <row r="209" spans="1:11">
      <c r="A209" s="512" t="s">
        <v>596</v>
      </c>
      <c r="B209" s="538" t="s">
        <v>597</v>
      </c>
      <c r="C209" s="519"/>
      <c r="K209" s="506"/>
    </row>
    <row r="210" spans="1:11">
      <c r="A210" s="512"/>
      <c r="B210" s="518" t="s">
        <v>594</v>
      </c>
      <c r="C210" s="508"/>
      <c r="D210" s="526"/>
      <c r="E210" s="508"/>
      <c r="F210" s="508"/>
      <c r="G210" s="508"/>
      <c r="H210" s="508"/>
      <c r="I210" s="526"/>
      <c r="J210" s="526"/>
      <c r="K210" s="506"/>
    </row>
    <row r="211" spans="1:11" ht="16.5" thickBot="1">
      <c r="A211" s="512"/>
      <c r="B211" s="518" t="s">
        <v>598</v>
      </c>
      <c r="C211" s="508"/>
      <c r="D211" s="532">
        <f>'Attachment MM Rev 2'!P92</f>
        <v>59794383.016451836</v>
      </c>
      <c r="E211" s="508"/>
      <c r="F211" s="508"/>
      <c r="G211" s="508"/>
      <c r="H211" s="508"/>
      <c r="I211" s="532">
        <f>D211</f>
        <v>59794383.016451836</v>
      </c>
      <c r="J211" s="531"/>
      <c r="K211" s="506"/>
    </row>
    <row r="212" spans="1:11" ht="16.5" thickBot="1">
      <c r="A212" s="512">
        <v>31</v>
      </c>
      <c r="B212" s="518" t="s">
        <v>599</v>
      </c>
      <c r="C212" s="508"/>
      <c r="D212" s="623">
        <f>+D203-D207-D211</f>
        <v>1827025467.0774987</v>
      </c>
      <c r="E212" s="508"/>
      <c r="F212" s="508"/>
      <c r="G212" s="508"/>
      <c r="H212" s="508"/>
      <c r="I212" s="623">
        <f>+I203-I207-I211</f>
        <v>401255642.2731778</v>
      </c>
      <c r="J212" s="526"/>
      <c r="K212" s="506"/>
    </row>
    <row r="213" spans="1:11" ht="16.5" thickTop="1">
      <c r="A213" s="512"/>
      <c r="B213" s="518" t="s">
        <v>600</v>
      </c>
      <c r="C213" s="508"/>
      <c r="D213" s="526"/>
      <c r="E213" s="508"/>
      <c r="F213" s="508"/>
      <c r="G213" s="508"/>
      <c r="H213" s="508"/>
      <c r="I213" s="526"/>
      <c r="J213" s="526"/>
      <c r="K213" s="506"/>
    </row>
    <row r="214" spans="1:11">
      <c r="A214" s="512"/>
      <c r="B214" s="518"/>
      <c r="C214" s="508"/>
      <c r="D214" s="526"/>
      <c r="E214" s="508"/>
      <c r="F214" s="508"/>
      <c r="G214" s="508"/>
      <c r="H214" s="508"/>
      <c r="I214" s="526"/>
      <c r="J214" s="526"/>
      <c r="K214" s="506"/>
    </row>
    <row r="215" spans="1:11">
      <c r="A215" s="512"/>
      <c r="B215" s="518"/>
      <c r="C215" s="508"/>
      <c r="D215" s="526"/>
      <c r="E215" s="508"/>
      <c r="F215" s="508"/>
      <c r="G215" s="508"/>
      <c r="H215" s="508"/>
      <c r="I215" s="526"/>
      <c r="J215" s="526"/>
      <c r="K215" s="506"/>
    </row>
    <row r="216" spans="1:11">
      <c r="A216" s="512"/>
      <c r="B216" s="518"/>
      <c r="C216" s="508"/>
      <c r="D216" s="526"/>
      <c r="E216" s="508"/>
      <c r="F216" s="508"/>
      <c r="G216" s="508"/>
      <c r="H216" s="508"/>
      <c r="I216" s="526"/>
      <c r="J216" s="526"/>
      <c r="K216" s="506"/>
    </row>
    <row r="217" spans="1:11">
      <c r="A217" s="512"/>
      <c r="B217" s="518"/>
      <c r="C217" s="508"/>
      <c r="D217" s="526"/>
      <c r="E217" s="508"/>
      <c r="F217" s="508"/>
      <c r="G217" s="508"/>
      <c r="H217" s="508"/>
      <c r="I217" s="526"/>
      <c r="J217" s="526"/>
      <c r="K217" s="506"/>
    </row>
    <row r="218" spans="1:11">
      <c r="A218" s="512"/>
      <c r="B218" s="518"/>
      <c r="C218" s="508"/>
      <c r="D218" s="526"/>
      <c r="E218" s="508"/>
      <c r="F218" s="508"/>
      <c r="G218" s="508"/>
      <c r="H218" s="508"/>
      <c r="I218" s="526"/>
      <c r="J218" s="526"/>
      <c r="K218" s="506"/>
    </row>
    <row r="219" spans="1:11">
      <c r="A219" s="512"/>
      <c r="B219" s="518"/>
      <c r="C219" s="508"/>
      <c r="D219" s="526"/>
      <c r="E219" s="508"/>
      <c r="F219" s="508"/>
      <c r="G219" s="508"/>
      <c r="H219" s="508"/>
      <c r="I219" s="526"/>
      <c r="J219" s="526"/>
      <c r="K219" s="506"/>
    </row>
    <row r="220" spans="1:11">
      <c r="A220" s="512"/>
      <c r="B220" s="518"/>
      <c r="C220" s="508"/>
      <c r="D220" s="526"/>
      <c r="E220" s="508"/>
      <c r="F220" s="508"/>
      <c r="G220" s="508"/>
      <c r="H220" s="508"/>
      <c r="I220" s="526"/>
      <c r="J220" s="526"/>
      <c r="K220" s="506"/>
    </row>
    <row r="221" spans="1:11">
      <c r="A221" s="512"/>
      <c r="B221" s="518"/>
      <c r="C221" s="508"/>
      <c r="D221" s="526"/>
      <c r="E221" s="508"/>
      <c r="F221" s="508"/>
      <c r="G221" s="508"/>
      <c r="H221" s="508"/>
      <c r="I221" s="526"/>
      <c r="J221" s="526"/>
      <c r="K221" s="500" t="s">
        <v>379</v>
      </c>
    </row>
    <row r="222" spans="1:11">
      <c r="B222" s="501"/>
      <c r="C222" s="501"/>
      <c r="D222" s="502"/>
      <c r="E222" s="501"/>
      <c r="F222" s="501"/>
      <c r="G222" s="501"/>
      <c r="H222" s="503"/>
      <c r="I222" s="504"/>
      <c r="J222" s="504"/>
      <c r="K222" s="505" t="s">
        <v>601</v>
      </c>
    </row>
    <row r="223" spans="1:11">
      <c r="B223" s="501" t="s">
        <v>381</v>
      </c>
      <c r="C223" s="501"/>
      <c r="D223" s="502" t="s">
        <v>382</v>
      </c>
      <c r="E223" s="501"/>
      <c r="F223" s="501"/>
      <c r="G223" s="501"/>
      <c r="H223" s="503"/>
      <c r="K223" s="504" t="str">
        <f>K4</f>
        <v>For the 12 months ended 12/31/2015</v>
      </c>
    </row>
    <row r="224" spans="1:11">
      <c r="B224" s="501"/>
      <c r="C224" s="501"/>
      <c r="D224" s="508" t="s">
        <v>384</v>
      </c>
      <c r="E224" s="501"/>
      <c r="F224" s="501"/>
      <c r="G224" s="501"/>
      <c r="H224" s="503"/>
      <c r="I224" s="503"/>
      <c r="J224" s="503"/>
      <c r="K224" s="568"/>
    </row>
    <row r="225" spans="1:19" ht="11.25" customHeight="1">
      <c r="B225" s="501"/>
      <c r="C225" s="501"/>
      <c r="D225" s="508"/>
      <c r="E225" s="501"/>
      <c r="F225" s="501"/>
      <c r="G225" s="501"/>
      <c r="H225" s="503"/>
      <c r="I225" s="503"/>
      <c r="J225" s="503"/>
      <c r="K225" s="568"/>
    </row>
    <row r="226" spans="1:19">
      <c r="A226" s="1016" t="str">
        <f>A7</f>
        <v>Northern States Power Companies</v>
      </c>
      <c r="B226" s="1016"/>
      <c r="C226" s="1016"/>
      <c r="D226" s="1016"/>
      <c r="E226" s="1016"/>
      <c r="F226" s="1016"/>
      <c r="G226" s="1016"/>
      <c r="H226" s="1016"/>
      <c r="I226" s="1016"/>
      <c r="J226" s="1016"/>
      <c r="K226" s="1016"/>
      <c r="L226" s="576" t="s">
        <v>465</v>
      </c>
      <c r="M226" s="576" t="s">
        <v>466</v>
      </c>
    </row>
    <row r="227" spans="1:19">
      <c r="B227" s="501"/>
      <c r="C227" s="501"/>
      <c r="D227" s="507"/>
      <c r="E227" s="595"/>
      <c r="F227" s="595"/>
      <c r="G227" s="595"/>
      <c r="H227" s="503"/>
      <c r="I227" s="503"/>
      <c r="J227" s="503"/>
      <c r="K227" s="506"/>
      <c r="L227" s="576"/>
      <c r="M227" s="576"/>
    </row>
    <row r="228" spans="1:19">
      <c r="A228" s="512" t="s">
        <v>46</v>
      </c>
      <c r="B228" s="501"/>
      <c r="C228" s="580" t="s">
        <v>602</v>
      </c>
      <c r="E228" s="508"/>
      <c r="F228" s="508"/>
      <c r="G228" s="508"/>
      <c r="H228" s="503"/>
      <c r="I228" s="503"/>
      <c r="J228" s="503"/>
      <c r="K228" s="506"/>
      <c r="L228" s="576" t="s">
        <v>23</v>
      </c>
      <c r="M228" s="576" t="s">
        <v>23</v>
      </c>
    </row>
    <row r="229" spans="1:19" ht="16.5" thickBot="1">
      <c r="A229" s="514" t="s">
        <v>22</v>
      </c>
      <c r="B229" s="595" t="s">
        <v>603</v>
      </c>
      <c r="C229" s="506"/>
      <c r="D229" s="506"/>
      <c r="E229" s="506"/>
      <c r="F229" s="506"/>
      <c r="G229" s="506"/>
      <c r="H229" s="507"/>
      <c r="I229" s="507"/>
      <c r="J229" s="507"/>
      <c r="K229" s="519"/>
    </row>
    <row r="230" spans="1:19">
      <c r="A230" s="512">
        <v>1</v>
      </c>
      <c r="B230" s="539" t="s">
        <v>604</v>
      </c>
      <c r="C230" s="506"/>
      <c r="D230" s="519"/>
      <c r="E230" s="519"/>
      <c r="F230" s="519"/>
      <c r="G230" s="519"/>
      <c r="H230" s="519"/>
      <c r="I230" s="519">
        <f>D87</f>
        <v>3969613311.0107694</v>
      </c>
      <c r="J230" s="519"/>
      <c r="K230" s="519"/>
    </row>
    <row r="231" spans="1:19">
      <c r="A231" s="512">
        <v>2</v>
      </c>
      <c r="B231" s="539" t="s">
        <v>605</v>
      </c>
      <c r="C231" s="507"/>
      <c r="D231" s="624"/>
      <c r="E231" s="507"/>
      <c r="F231" s="507"/>
      <c r="G231" s="507"/>
      <c r="H231" s="507"/>
      <c r="I231" s="523">
        <f>L231+M231</f>
        <v>0</v>
      </c>
      <c r="J231" s="519"/>
      <c r="K231" s="519"/>
      <c r="L231" s="583">
        <f>'Support for Allocation Factors'!$F$12</f>
        <v>0</v>
      </c>
      <c r="M231" s="583">
        <f>'Support for Allocation Factors'!$H$12</f>
        <v>0</v>
      </c>
    </row>
    <row r="232" spans="1:19" ht="16.5" thickBot="1">
      <c r="A232" s="512">
        <v>3</v>
      </c>
      <c r="B232" s="625" t="s">
        <v>606</v>
      </c>
      <c r="C232" s="626"/>
      <c r="D232" s="531"/>
      <c r="E232" s="519"/>
      <c r="F232" s="519"/>
      <c r="G232" s="569"/>
      <c r="H232" s="519"/>
      <c r="I232" s="523">
        <f>L232+M232</f>
        <v>81277542.194189638</v>
      </c>
      <c r="J232" s="519"/>
      <c r="K232" s="519"/>
      <c r="L232" s="593">
        <f>'Support for Allocation Factors'!$F$13</f>
        <v>72126344.034189641</v>
      </c>
      <c r="M232" s="593">
        <f>'Support for Allocation Factors'!$H$13</f>
        <v>9151198.1600000039</v>
      </c>
      <c r="N232" s="611"/>
    </row>
    <row r="233" spans="1:19">
      <c r="A233" s="512">
        <v>4</v>
      </c>
      <c r="B233" s="539" t="s">
        <v>607</v>
      </c>
      <c r="C233" s="506"/>
      <c r="D233" s="531"/>
      <c r="E233" s="519"/>
      <c r="F233" s="519"/>
      <c r="G233" s="569"/>
      <c r="H233" s="519"/>
      <c r="I233" s="627">
        <f>I230-I231-I232</f>
        <v>3888335768.8165798</v>
      </c>
      <c r="J233" s="531"/>
      <c r="K233" s="519"/>
    </row>
    <row r="234" spans="1:19" ht="11.25" customHeight="1">
      <c r="A234" s="512"/>
      <c r="B234" s="507"/>
      <c r="C234" s="506"/>
      <c r="D234" s="531"/>
      <c r="E234" s="519"/>
      <c r="F234" s="519"/>
      <c r="G234" s="569"/>
      <c r="H234" s="519"/>
      <c r="I234" s="507"/>
      <c r="J234" s="507"/>
      <c r="K234" s="519"/>
    </row>
    <row r="235" spans="1:19">
      <c r="A235" s="512">
        <v>5</v>
      </c>
      <c r="B235" s="539" t="s">
        <v>608</v>
      </c>
      <c r="C235" s="628"/>
      <c r="D235" s="629"/>
      <c r="E235" s="630"/>
      <c r="F235" s="630"/>
      <c r="G235" s="510"/>
      <c r="H235" s="519" t="s">
        <v>609</v>
      </c>
      <c r="I235" s="592">
        <f>IF(I230&gt;0,I233/I230,0)</f>
        <v>0.9795250731428311</v>
      </c>
      <c r="J235" s="592"/>
      <c r="K235" s="519"/>
    </row>
    <row r="236" spans="1:19" ht="11.25" customHeight="1">
      <c r="A236" s="512"/>
      <c r="B236" s="507"/>
      <c r="C236" s="507"/>
      <c r="D236" s="624"/>
      <c r="E236" s="507"/>
      <c r="F236" s="507"/>
      <c r="G236" s="507"/>
      <c r="H236" s="507"/>
      <c r="I236" s="507"/>
      <c r="J236" s="507"/>
      <c r="K236" s="519"/>
    </row>
    <row r="237" spans="1:19">
      <c r="A237" s="512"/>
      <c r="B237" s="538" t="s">
        <v>610</v>
      </c>
      <c r="C237" s="507"/>
      <c r="D237" s="624"/>
      <c r="E237" s="507"/>
      <c r="F237" s="507"/>
      <c r="G237" s="507"/>
      <c r="H237" s="507"/>
      <c r="I237" s="507"/>
      <c r="J237" s="507"/>
      <c r="K237" s="519"/>
    </row>
    <row r="238" spans="1:19">
      <c r="A238" s="512"/>
      <c r="B238" s="507"/>
      <c r="C238" s="507"/>
      <c r="D238" s="624"/>
      <c r="E238" s="507"/>
      <c r="F238" s="507"/>
      <c r="G238" s="507"/>
      <c r="H238" s="507"/>
      <c r="I238" s="507"/>
      <c r="J238" s="507"/>
      <c r="K238" s="519"/>
      <c r="N238" s="1010" t="s">
        <v>611</v>
      </c>
      <c r="O238" s="1011"/>
      <c r="P238" s="1011"/>
      <c r="Q238" s="1011"/>
      <c r="R238" s="1011"/>
      <c r="S238" s="1012"/>
    </row>
    <row r="239" spans="1:19">
      <c r="A239" s="512">
        <v>6</v>
      </c>
      <c r="B239" s="507" t="s">
        <v>612</v>
      </c>
      <c r="C239" s="507"/>
      <c r="D239" s="631"/>
      <c r="E239" s="506"/>
      <c r="F239" s="506"/>
      <c r="G239" s="573"/>
      <c r="H239" s="506"/>
      <c r="I239" s="519">
        <f>D158</f>
        <v>233174683.55253178</v>
      </c>
      <c r="J239" s="519"/>
      <c r="K239" s="519"/>
      <c r="N239" s="632"/>
      <c r="O239" s="543"/>
      <c r="P239" s="526"/>
      <c r="Q239" s="633"/>
      <c r="R239" s="543"/>
      <c r="S239" s="634"/>
    </row>
    <row r="240" spans="1:19" ht="16.5" thickBot="1">
      <c r="A240" s="512">
        <v>7</v>
      </c>
      <c r="B240" s="625" t="s">
        <v>613</v>
      </c>
      <c r="C240" s="626"/>
      <c r="D240" s="531"/>
      <c r="E240" s="531"/>
      <c r="F240" s="519"/>
      <c r="G240" s="519"/>
      <c r="H240" s="519"/>
      <c r="I240" s="523">
        <f>L240+M240</f>
        <v>8837571.3600000013</v>
      </c>
      <c r="J240" s="519"/>
      <c r="K240" s="519"/>
      <c r="L240" s="593">
        <f>'Support for Allocation Factors'!$F$22</f>
        <v>6793879.5600000015</v>
      </c>
      <c r="M240" s="593">
        <f>'Support for Allocation Factors'!$H$22</f>
        <v>2043691.8</v>
      </c>
      <c r="N240" s="635">
        <f>+I240</f>
        <v>8837571.3600000013</v>
      </c>
      <c r="O240" s="636" t="s">
        <v>614</v>
      </c>
      <c r="P240" s="526"/>
      <c r="Q240" s="633"/>
      <c r="R240" s="543"/>
      <c r="S240" s="634"/>
    </row>
    <row r="241" spans="1:19">
      <c r="A241" s="512">
        <v>8</v>
      </c>
      <c r="B241" s="539" t="s">
        <v>615</v>
      </c>
      <c r="C241" s="628"/>
      <c r="D241" s="629"/>
      <c r="E241" s="630"/>
      <c r="F241" s="630"/>
      <c r="G241" s="510"/>
      <c r="H241" s="630"/>
      <c r="I241" s="627">
        <f>+I239-I240</f>
        <v>224337112.19253176</v>
      </c>
      <c r="J241" s="531"/>
      <c r="K241" s="519"/>
      <c r="L241" s="593"/>
      <c r="M241" s="593"/>
      <c r="N241" s="637">
        <v>1416154</v>
      </c>
      <c r="O241" s="638" t="s">
        <v>616</v>
      </c>
      <c r="S241" s="634"/>
    </row>
    <row r="242" spans="1:19">
      <c r="A242" s="512"/>
      <c r="B242" s="539"/>
      <c r="C242" s="506"/>
      <c r="D242" s="519"/>
      <c r="E242" s="519"/>
      <c r="F242" s="519"/>
      <c r="G242" s="519"/>
      <c r="H242" s="507"/>
      <c r="I242" s="507"/>
      <c r="J242" s="507"/>
      <c r="N242" s="639">
        <f>N240-N241</f>
        <v>7421417.3600000013</v>
      </c>
      <c r="O242" s="638" t="s">
        <v>617</v>
      </c>
      <c r="S242" s="634"/>
    </row>
    <row r="243" spans="1:19">
      <c r="A243" s="512">
        <v>9</v>
      </c>
      <c r="B243" s="539" t="s">
        <v>618</v>
      </c>
      <c r="C243" s="506"/>
      <c r="D243" s="519"/>
      <c r="E243" s="519"/>
      <c r="F243" s="519"/>
      <c r="G243" s="519"/>
      <c r="H243" s="519"/>
      <c r="I243" s="594">
        <f>IF(I239&gt;0,I241/I239,0)</f>
        <v>0.9620989241826976</v>
      </c>
      <c r="J243" s="594"/>
      <c r="N243" s="639"/>
      <c r="O243" s="640" t="s">
        <v>619</v>
      </c>
      <c r="P243" s="641"/>
      <c r="Q243" s="641"/>
      <c r="R243" s="543"/>
      <c r="S243" s="634"/>
    </row>
    <row r="244" spans="1:19">
      <c r="A244" s="512">
        <v>10</v>
      </c>
      <c r="B244" s="539" t="s">
        <v>620</v>
      </c>
      <c r="C244" s="506"/>
      <c r="D244" s="519"/>
      <c r="E244" s="519"/>
      <c r="F244" s="519"/>
      <c r="G244" s="519"/>
      <c r="H244" s="506" t="s">
        <v>394</v>
      </c>
      <c r="I244" s="642">
        <f>I235</f>
        <v>0.9795250731428311</v>
      </c>
      <c r="J244" s="642"/>
      <c r="N244" s="643">
        <v>0</v>
      </c>
      <c r="O244" s="641" t="s">
        <v>621</v>
      </c>
      <c r="P244" s="543"/>
      <c r="Q244" s="641"/>
      <c r="R244" s="543"/>
      <c r="S244" s="634"/>
    </row>
    <row r="245" spans="1:19">
      <c r="A245" s="512">
        <v>11</v>
      </c>
      <c r="B245" s="539" t="s">
        <v>622</v>
      </c>
      <c r="C245" s="506"/>
      <c r="D245" s="506"/>
      <c r="E245" s="506"/>
      <c r="F245" s="506"/>
      <c r="G245" s="506"/>
      <c r="H245" s="506" t="s">
        <v>623</v>
      </c>
      <c r="I245" s="644">
        <f>+I244*I243</f>
        <v>0.94240001908069604</v>
      </c>
      <c r="J245" s="644"/>
      <c r="N245" s="643">
        <v>0</v>
      </c>
      <c r="O245" s="641" t="s">
        <v>624</v>
      </c>
      <c r="P245" s="543"/>
      <c r="Q245" s="641"/>
      <c r="R245" s="543"/>
      <c r="S245" s="634"/>
    </row>
    <row r="246" spans="1:19">
      <c r="A246" s="512"/>
      <c r="C246" s="509"/>
      <c r="D246" s="508"/>
      <c r="E246" s="508"/>
      <c r="F246" s="508"/>
      <c r="G246" s="596"/>
      <c r="H246" s="508"/>
      <c r="N246" s="645">
        <v>720477</v>
      </c>
      <c r="O246" s="641" t="s">
        <v>625</v>
      </c>
      <c r="P246" s="543"/>
      <c r="Q246" s="646"/>
      <c r="R246" s="543"/>
      <c r="S246" s="634"/>
    </row>
    <row r="247" spans="1:19">
      <c r="A247" s="512" t="s">
        <v>5</v>
      </c>
      <c r="B247" s="518" t="s">
        <v>626</v>
      </c>
      <c r="C247" s="508"/>
      <c r="D247" s="508"/>
      <c r="E247" s="508"/>
      <c r="F247" s="508"/>
      <c r="G247" s="508"/>
      <c r="H247" s="508"/>
      <c r="I247" s="508"/>
      <c r="J247" s="508"/>
      <c r="N247" s="639">
        <f>SUM(N244:N246)</f>
        <v>720477</v>
      </c>
      <c r="O247" s="647" t="s">
        <v>627</v>
      </c>
      <c r="P247" s="526"/>
      <c r="Q247" s="633"/>
      <c r="R247" s="543"/>
      <c r="S247" s="634"/>
    </row>
    <row r="248" spans="1:19" ht="16.5" thickBot="1">
      <c r="A248" s="512" t="s">
        <v>5</v>
      </c>
      <c r="B248" s="518"/>
      <c r="C248" s="525" t="s">
        <v>628</v>
      </c>
      <c r="D248" s="648" t="s">
        <v>629</v>
      </c>
      <c r="E248" s="648" t="s">
        <v>394</v>
      </c>
      <c r="F248" s="508"/>
      <c r="G248" s="648" t="s">
        <v>406</v>
      </c>
      <c r="H248" s="508"/>
      <c r="I248" s="508"/>
      <c r="J248" s="508"/>
      <c r="K248" s="519"/>
      <c r="N248" s="649">
        <f>N242-N247</f>
        <v>6700940.3600000013</v>
      </c>
      <c r="O248" s="650" t="s">
        <v>630</v>
      </c>
      <c r="P248" s="651"/>
      <c r="Q248" s="652"/>
      <c r="R248" s="547"/>
      <c r="S248" s="548"/>
    </row>
    <row r="249" spans="1:19">
      <c r="A249" s="512">
        <v>12</v>
      </c>
      <c r="B249" s="518" t="s">
        <v>473</v>
      </c>
      <c r="C249" s="508" t="s">
        <v>631</v>
      </c>
      <c r="D249" s="523">
        <f>L249+M249</f>
        <v>303767919.54999977</v>
      </c>
      <c r="E249" s="653">
        <v>0</v>
      </c>
      <c r="F249" s="653"/>
      <c r="G249" s="508">
        <f>D249*E249</f>
        <v>0</v>
      </c>
      <c r="H249" s="508"/>
      <c r="I249" s="508"/>
      <c r="J249" s="508"/>
      <c r="K249" s="519"/>
      <c r="L249" s="583">
        <f>'Support for Allocation Factors'!$F$26</f>
        <v>290818847.65999973</v>
      </c>
      <c r="M249" s="583">
        <f>'Support for Allocation Factors'!$H$26</f>
        <v>12949071.890000023</v>
      </c>
    </row>
    <row r="250" spans="1:19">
      <c r="A250" s="512">
        <v>13</v>
      </c>
      <c r="B250" s="518" t="s">
        <v>476</v>
      </c>
      <c r="C250" s="508" t="s">
        <v>632</v>
      </c>
      <c r="D250" s="523">
        <f>L250+M250</f>
        <v>25646758.339999985</v>
      </c>
      <c r="E250" s="653">
        <f>+I235</f>
        <v>0.9795250731428311</v>
      </c>
      <c r="F250" s="653"/>
      <c r="G250" s="508">
        <f>D250*E250</f>
        <v>25121642.838864997</v>
      </c>
      <c r="H250" s="508"/>
      <c r="I250" s="508"/>
      <c r="J250" s="508"/>
      <c r="K250" s="519"/>
      <c r="L250" s="583">
        <f>'Support for Allocation Factors'!$F$27</f>
        <v>20919243.729999986</v>
      </c>
      <c r="M250" s="583">
        <f>'Support for Allocation Factors'!$H$27</f>
        <v>4727514.6100000003</v>
      </c>
    </row>
    <row r="251" spans="1:19">
      <c r="A251" s="512">
        <v>14</v>
      </c>
      <c r="B251" s="518" t="s">
        <v>478</v>
      </c>
      <c r="C251" s="508" t="s">
        <v>633</v>
      </c>
      <c r="D251" s="523">
        <f>L251+M251</f>
        <v>71414900.620000035</v>
      </c>
      <c r="E251" s="653">
        <v>0</v>
      </c>
      <c r="F251" s="653"/>
      <c r="G251" s="508">
        <f>D251*E251</f>
        <v>0</v>
      </c>
      <c r="H251" s="508"/>
      <c r="I251" s="654" t="s">
        <v>634</v>
      </c>
      <c r="J251" s="654"/>
      <c r="K251" s="519"/>
      <c r="L251" s="583">
        <f>'Support for Allocation Factors'!$F$28</f>
        <v>57417470.120000035</v>
      </c>
      <c r="M251" s="583">
        <f>'Support for Allocation Factors'!$H$28</f>
        <v>13997430.499999998</v>
      </c>
    </row>
    <row r="252" spans="1:19" ht="16.5" thickBot="1">
      <c r="A252" s="512">
        <v>15</v>
      </c>
      <c r="B252" s="518" t="s">
        <v>635</v>
      </c>
      <c r="C252" s="508" t="s">
        <v>636</v>
      </c>
      <c r="D252" s="523">
        <f>L252+M252</f>
        <v>20000242</v>
      </c>
      <c r="E252" s="653">
        <v>0</v>
      </c>
      <c r="F252" s="653"/>
      <c r="G252" s="525">
        <f>D252*E252</f>
        <v>0</v>
      </c>
      <c r="H252" s="508"/>
      <c r="I252" s="514" t="s">
        <v>637</v>
      </c>
      <c r="J252" s="515"/>
      <c r="K252" s="519"/>
      <c r="L252" s="584">
        <f>'Support for Allocation Factors'!$F$29</f>
        <v>16316295.17</v>
      </c>
      <c r="M252" s="584">
        <f>'Support for Allocation Factors'!$H$29</f>
        <v>3683946.83</v>
      </c>
    </row>
    <row r="253" spans="1:19">
      <c r="A253" s="512">
        <v>16</v>
      </c>
      <c r="B253" s="518" t="s">
        <v>638</v>
      </c>
      <c r="C253" s="508"/>
      <c r="D253" s="589">
        <f>SUM(D249:D252)</f>
        <v>420829820.50999975</v>
      </c>
      <c r="E253" s="508"/>
      <c r="F253" s="508"/>
      <c r="G253" s="508">
        <f>SUM(G249:G252)</f>
        <v>25121642.838864997</v>
      </c>
      <c r="H253" s="570" t="s">
        <v>639</v>
      </c>
      <c r="I253" s="582">
        <f>IF(G253&gt;0,G253/D253,0)</f>
        <v>5.9695491180782559E-2</v>
      </c>
      <c r="J253" s="655" t="s">
        <v>640</v>
      </c>
      <c r="K253" s="519"/>
      <c r="L253" s="508">
        <f>SUM(L249:L252)</f>
        <v>385471856.67999977</v>
      </c>
      <c r="M253" s="508">
        <f>SUM(M249:M252)</f>
        <v>35357963.830000021</v>
      </c>
      <c r="N253" s="518"/>
      <c r="P253" s="508"/>
      <c r="Q253" s="518"/>
    </row>
    <row r="254" spans="1:19">
      <c r="A254" s="512"/>
      <c r="B254" s="518"/>
      <c r="C254" s="508"/>
      <c r="D254" s="508"/>
      <c r="E254" s="508"/>
      <c r="F254" s="508"/>
      <c r="G254" s="508"/>
      <c r="H254" s="508"/>
      <c r="I254" s="508"/>
    </row>
    <row r="255" spans="1:19">
      <c r="A255" s="512"/>
      <c r="B255" s="518" t="s">
        <v>641</v>
      </c>
      <c r="C255" s="508"/>
      <c r="D255" s="508"/>
      <c r="E255" s="508"/>
      <c r="F255" s="508"/>
      <c r="G255" s="508"/>
      <c r="H255" s="508"/>
      <c r="I255" s="508"/>
      <c r="J255" s="508"/>
      <c r="K255" s="519"/>
    </row>
    <row r="256" spans="1:19">
      <c r="A256" s="512"/>
      <c r="B256" s="518"/>
      <c r="C256" s="508"/>
      <c r="D256" s="574" t="s">
        <v>629</v>
      </c>
      <c r="E256" s="508"/>
      <c r="F256" s="508"/>
      <c r="G256" s="596" t="s">
        <v>642</v>
      </c>
      <c r="H256" s="614" t="s">
        <v>5</v>
      </c>
      <c r="I256" s="586" t="str">
        <f>+I251</f>
        <v>W&amp;S Allocator</v>
      </c>
      <c r="J256" s="586"/>
      <c r="K256" s="519"/>
    </row>
    <row r="257" spans="1:13">
      <c r="A257" s="512">
        <v>17</v>
      </c>
      <c r="B257" s="518" t="s">
        <v>643</v>
      </c>
      <c r="C257" s="508" t="s">
        <v>644</v>
      </c>
      <c r="D257" s="523">
        <f>L257+M257</f>
        <v>17518846967</v>
      </c>
      <c r="E257" s="508"/>
      <c r="G257" s="512" t="s">
        <v>645</v>
      </c>
      <c r="H257" s="656"/>
      <c r="I257" s="512" t="s">
        <v>646</v>
      </c>
      <c r="J257" s="512"/>
      <c r="K257" s="573" t="s">
        <v>485</v>
      </c>
      <c r="L257" s="583">
        <f>'Support for Allocation Factors'!$F$35</f>
        <v>15099661928</v>
      </c>
      <c r="M257" s="583">
        <f>'Support for Allocation Factors'!$H$35</f>
        <v>2419185039</v>
      </c>
    </row>
    <row r="258" spans="1:13">
      <c r="A258" s="512">
        <v>18</v>
      </c>
      <c r="B258" s="518" t="s">
        <v>647</v>
      </c>
      <c r="C258" s="508" t="s">
        <v>648</v>
      </c>
      <c r="D258" s="523">
        <f>L258+M258</f>
        <v>1447956215</v>
      </c>
      <c r="E258" s="508"/>
      <c r="G258" s="521">
        <f>IF(D260&gt;0,D257/D260,0)</f>
        <v>0.9236583940316232</v>
      </c>
      <c r="H258" s="596" t="s">
        <v>210</v>
      </c>
      <c r="I258" s="521">
        <f>I253</f>
        <v>5.9695491180782559E-2</v>
      </c>
      <c r="J258" s="657" t="s">
        <v>639</v>
      </c>
      <c r="K258" s="529">
        <f>I258*G258</f>
        <v>5.5138241514970543E-2</v>
      </c>
      <c r="L258" s="583">
        <f>'Support for Allocation Factors'!$F$36</f>
        <v>1175368901</v>
      </c>
      <c r="M258" s="583">
        <f>'Support for Allocation Factors'!$H$36</f>
        <v>272587314</v>
      </c>
    </row>
    <row r="259" spans="1:13" ht="16.5" thickBot="1">
      <c r="A259" s="512">
        <v>19</v>
      </c>
      <c r="B259" s="658" t="s">
        <v>649</v>
      </c>
      <c r="C259" s="525" t="s">
        <v>650</v>
      </c>
      <c r="D259" s="523">
        <f>L259+M259</f>
        <v>0</v>
      </c>
      <c r="E259" s="508"/>
      <c r="F259" s="508"/>
      <c r="G259" s="508" t="s">
        <v>5</v>
      </c>
      <c r="H259" s="508"/>
      <c r="I259" s="659"/>
      <c r="J259" s="659"/>
      <c r="L259" s="584">
        <f>'Support for Allocation Factors'!$F$37</f>
        <v>0</v>
      </c>
      <c r="M259" s="584">
        <f>'Support for Allocation Factors'!$H$37</f>
        <v>0</v>
      </c>
    </row>
    <row r="260" spans="1:13">
      <c r="A260" s="512">
        <v>20</v>
      </c>
      <c r="B260" s="518" t="s">
        <v>651</v>
      </c>
      <c r="C260" s="508"/>
      <c r="D260" s="589">
        <f>D257+D258+D259</f>
        <v>18966803182</v>
      </c>
      <c r="E260" s="508"/>
      <c r="F260" s="508"/>
      <c r="G260" s="508"/>
      <c r="H260" s="508"/>
      <c r="I260" s="508"/>
      <c r="J260" s="508"/>
      <c r="K260" s="519"/>
      <c r="L260" s="508">
        <f>L257+L258+L259</f>
        <v>16275030829</v>
      </c>
      <c r="M260" s="508">
        <f>M257+M258+M259</f>
        <v>2691772353</v>
      </c>
    </row>
    <row r="261" spans="1:13" ht="11.25" customHeight="1">
      <c r="A261" s="512"/>
      <c r="B261" s="518"/>
      <c r="C261" s="508"/>
      <c r="E261" s="508"/>
      <c r="F261" s="508"/>
      <c r="G261" s="508"/>
      <c r="H261" s="508"/>
      <c r="I261" s="508"/>
      <c r="J261" s="508"/>
      <c r="K261" s="519"/>
    </row>
    <row r="262" spans="1:13" ht="16.5" thickBot="1">
      <c r="A262" s="512"/>
      <c r="B262" s="501" t="s">
        <v>652</v>
      </c>
      <c r="C262" s="508"/>
      <c r="D262" s="508"/>
      <c r="E262" s="508"/>
      <c r="F262" s="508"/>
      <c r="G262" s="508"/>
      <c r="H262" s="508"/>
      <c r="I262" s="648" t="s">
        <v>629</v>
      </c>
      <c r="J262" s="660"/>
      <c r="K262" s="519"/>
      <c r="L262" s="518"/>
    </row>
    <row r="263" spans="1:13">
      <c r="A263" s="512">
        <v>21</v>
      </c>
      <c r="B263" s="503"/>
      <c r="C263" s="508" t="s">
        <v>653</v>
      </c>
      <c r="D263" s="508"/>
      <c r="E263" s="508"/>
      <c r="F263" s="508"/>
      <c r="G263" s="508"/>
      <c r="H263" s="508"/>
      <c r="I263" s="523">
        <f>L263+M263</f>
        <v>262288637</v>
      </c>
      <c r="J263" s="519"/>
      <c r="K263" s="519"/>
      <c r="L263" s="661">
        <f>'Capital Structure'!$F$12</f>
        <v>226349027</v>
      </c>
      <c r="M263" s="661">
        <f>'Capital Structure'!$H$12</f>
        <v>35939610</v>
      </c>
    </row>
    <row r="264" spans="1:13" ht="11.25" customHeight="1">
      <c r="A264" s="512"/>
      <c r="B264" s="518"/>
      <c r="C264" s="508"/>
      <c r="D264" s="508"/>
      <c r="E264" s="508"/>
      <c r="F264" s="508"/>
      <c r="G264" s="508"/>
      <c r="H264" s="508"/>
      <c r="I264" s="508"/>
      <c r="J264" s="519"/>
      <c r="K264" s="519"/>
      <c r="L264" s="662"/>
      <c r="M264" s="662"/>
    </row>
    <row r="265" spans="1:13">
      <c r="A265" s="512">
        <v>22</v>
      </c>
      <c r="B265" s="501"/>
      <c r="C265" s="508" t="s">
        <v>654</v>
      </c>
      <c r="D265" s="508"/>
      <c r="E265" s="508"/>
      <c r="F265" s="508"/>
      <c r="G265" s="508"/>
      <c r="H265" s="519"/>
      <c r="I265" s="523">
        <f>L265+M265</f>
        <v>0</v>
      </c>
      <c r="J265" s="663"/>
      <c r="K265" s="519"/>
      <c r="L265" s="661">
        <v>0</v>
      </c>
      <c r="M265" s="661">
        <v>0</v>
      </c>
    </row>
    <row r="266" spans="1:13" ht="11.25" customHeight="1">
      <c r="A266" s="512"/>
      <c r="B266" s="501"/>
      <c r="C266" s="508"/>
      <c r="D266" s="508"/>
      <c r="E266" s="508"/>
      <c r="F266" s="508"/>
      <c r="G266" s="508"/>
      <c r="H266" s="508"/>
      <c r="I266" s="508"/>
      <c r="J266" s="519"/>
      <c r="K266" s="519"/>
      <c r="L266" s="508"/>
      <c r="M266" s="508"/>
    </row>
    <row r="267" spans="1:13">
      <c r="A267" s="512"/>
      <c r="B267" s="501" t="s">
        <v>655</v>
      </c>
      <c r="C267" s="508"/>
      <c r="D267" s="508"/>
      <c r="E267" s="508"/>
      <c r="F267" s="508"/>
      <c r="G267" s="508"/>
      <c r="H267" s="508"/>
      <c r="I267" s="508"/>
      <c r="J267" s="519"/>
      <c r="K267" s="519"/>
      <c r="L267" s="508"/>
      <c r="M267" s="508"/>
    </row>
    <row r="268" spans="1:13">
      <c r="A268" s="512">
        <v>23</v>
      </c>
      <c r="B268" s="501"/>
      <c r="C268" s="508" t="s">
        <v>656</v>
      </c>
      <c r="D268" s="503"/>
      <c r="E268" s="508"/>
      <c r="F268" s="508"/>
      <c r="G268" s="508"/>
      <c r="H268" s="508"/>
      <c r="I268" s="523">
        <f>L268+M268</f>
        <v>5993821556</v>
      </c>
      <c r="J268" s="519"/>
      <c r="K268" s="519"/>
      <c r="L268" s="583">
        <f>'Capital Structure'!$F$17</f>
        <v>5183189669</v>
      </c>
      <c r="M268" s="583">
        <f>'Capital Structure'!$H$17</f>
        <v>810631887</v>
      </c>
    </row>
    <row r="269" spans="1:13">
      <c r="A269" s="512">
        <v>24</v>
      </c>
      <c r="B269" s="501"/>
      <c r="C269" s="508" t="s">
        <v>657</v>
      </c>
      <c r="D269" s="508"/>
      <c r="E269" s="508"/>
      <c r="F269" s="508"/>
      <c r="G269" s="508"/>
      <c r="H269" s="508"/>
      <c r="I269" s="664">
        <f>L269+M269</f>
        <v>0</v>
      </c>
      <c r="J269" s="664"/>
      <c r="K269" s="519"/>
      <c r="L269" s="664">
        <f>'Capital Structure'!$F$18</f>
        <v>0</v>
      </c>
      <c r="M269" s="664">
        <f>'Capital Structure'!$H$18</f>
        <v>0</v>
      </c>
    </row>
    <row r="270" spans="1:13" ht="16.5" thickBot="1">
      <c r="A270" s="512">
        <v>25</v>
      </c>
      <c r="B270" s="501"/>
      <c r="C270" s="508" t="s">
        <v>658</v>
      </c>
      <c r="D270" s="508"/>
      <c r="E270" s="508"/>
      <c r="F270" s="508"/>
      <c r="G270" s="508"/>
      <c r="H270" s="508"/>
      <c r="I270" s="532">
        <f>L270+M270</f>
        <v>682006</v>
      </c>
      <c r="J270" s="531"/>
      <c r="K270" s="519"/>
      <c r="L270" s="593">
        <f>'Capital Structure'!$F$19</f>
        <v>3117178</v>
      </c>
      <c r="M270" s="665">
        <f>'Capital Structure'!$H$19</f>
        <v>-2435172</v>
      </c>
    </row>
    <row r="271" spans="1:13" s="543" customFormat="1">
      <c r="A271" s="515">
        <v>26</v>
      </c>
      <c r="B271" s="666"/>
      <c r="C271" s="526" t="s">
        <v>1117</v>
      </c>
      <c r="D271" s="666" t="s">
        <v>659</v>
      </c>
      <c r="E271" s="666"/>
      <c r="F271" s="666"/>
      <c r="G271" s="654" t="s">
        <v>39</v>
      </c>
      <c r="H271" s="666"/>
      <c r="I271" s="526">
        <f>+I268+I269+I270</f>
        <v>5994503562</v>
      </c>
      <c r="J271" s="526"/>
      <c r="K271" s="531"/>
      <c r="L271" s="508">
        <f>+L268+L269+L270</f>
        <v>5186306847</v>
      </c>
      <c r="M271" s="508">
        <f>+M268+M269+M270</f>
        <v>808196715</v>
      </c>
    </row>
    <row r="272" spans="1:13" ht="16.5" thickBot="1">
      <c r="A272" s="512"/>
      <c r="B272" s="518"/>
      <c r="C272" s="508"/>
      <c r="D272" s="514" t="s">
        <v>629</v>
      </c>
      <c r="E272" s="514" t="s">
        <v>660</v>
      </c>
      <c r="F272" s="508"/>
      <c r="G272" s="514" t="s">
        <v>661</v>
      </c>
      <c r="H272" s="508"/>
      <c r="I272" s="514" t="s">
        <v>38</v>
      </c>
      <c r="J272" s="515"/>
      <c r="K272" s="519"/>
    </row>
    <row r="273" spans="1:14">
      <c r="A273" s="512">
        <v>27</v>
      </c>
      <c r="B273" s="501" t="s">
        <v>662</v>
      </c>
      <c r="D273" s="523">
        <f>L273+M273</f>
        <v>5219135814</v>
      </c>
      <c r="E273" s="667">
        <f>IF($D$276&gt;0,D273/$D$276,0)</f>
        <v>0.46542747086822317</v>
      </c>
      <c r="F273" s="668"/>
      <c r="G273" s="668">
        <f>IF(D273&gt;0,I263/D273,0)</f>
        <v>5.0255185215994459E-2</v>
      </c>
      <c r="I273" s="668">
        <f>G273*E273</f>
        <v>2.3390143753094422E-2</v>
      </c>
      <c r="J273" s="669" t="s">
        <v>663</v>
      </c>
      <c r="K273" s="519"/>
      <c r="L273" s="583">
        <f>'Capital Structure'!$F$11</f>
        <v>4550045934</v>
      </c>
      <c r="M273" s="583">
        <f>'Capital Structure'!$H$11</f>
        <v>669089880</v>
      </c>
    </row>
    <row r="274" spans="1:14">
      <c r="A274" s="512">
        <v>28</v>
      </c>
      <c r="B274" s="501" t="s">
        <v>664</v>
      </c>
      <c r="D274" s="523">
        <f>L274+M274</f>
        <v>0</v>
      </c>
      <c r="E274" s="667">
        <f>IF($D$276&gt;0,D274/$D$276,0)</f>
        <v>0</v>
      </c>
      <c r="F274" s="668"/>
      <c r="G274" s="668">
        <f>IF(D274&gt;0,I265/D274,0)</f>
        <v>0</v>
      </c>
      <c r="I274" s="668">
        <f>G274*E274</f>
        <v>0</v>
      </c>
      <c r="L274" s="583">
        <f>'Capital Structure'!$F$18</f>
        <v>0</v>
      </c>
      <c r="M274" s="583">
        <f>'Capital Structure'!$H$18</f>
        <v>0</v>
      </c>
    </row>
    <row r="275" spans="1:14" ht="16.5" thickBot="1">
      <c r="A275" s="512">
        <v>29</v>
      </c>
      <c r="B275" s="501" t="s">
        <v>665</v>
      </c>
      <c r="D275" s="525">
        <f>I271</f>
        <v>5994503562</v>
      </c>
      <c r="E275" s="667">
        <f>IF($D$276&gt;0,D275/$D$276,0)</f>
        <v>0.53457252913177689</v>
      </c>
      <c r="F275" s="668"/>
      <c r="G275" s="670">
        <v>0.12379999999999999</v>
      </c>
      <c r="I275" s="671">
        <f>G275*E275</f>
        <v>6.6180079106513981E-2</v>
      </c>
      <c r="J275" s="672"/>
    </row>
    <row r="276" spans="1:14">
      <c r="A276" s="512">
        <v>30</v>
      </c>
      <c r="B276" s="518" t="s">
        <v>666</v>
      </c>
      <c r="D276" s="508">
        <f>D275+D274+D273</f>
        <v>11213639376</v>
      </c>
      <c r="E276" s="508" t="s">
        <v>5</v>
      </c>
      <c r="F276" s="508"/>
      <c r="G276" s="508"/>
      <c r="H276" s="508"/>
      <c r="I276" s="668">
        <f>SUM(I273:I275)</f>
        <v>8.9570222859608403E-2</v>
      </c>
      <c r="J276" s="669" t="s">
        <v>667</v>
      </c>
      <c r="N276" s="585"/>
    </row>
    <row r="277" spans="1:14" ht="11.25" customHeight="1">
      <c r="E277" s="508"/>
      <c r="F277" s="508"/>
      <c r="G277" s="508"/>
      <c r="H277" s="508"/>
    </row>
    <row r="278" spans="1:14" ht="16.5" thickBot="1">
      <c r="A278" s="512"/>
      <c r="B278" s="501" t="s">
        <v>668</v>
      </c>
      <c r="C278" s="503"/>
      <c r="D278" s="503"/>
      <c r="E278" s="503"/>
      <c r="F278" s="503"/>
      <c r="G278" s="503"/>
      <c r="H278" s="503"/>
      <c r="I278" s="514" t="s">
        <v>103</v>
      </c>
      <c r="J278" s="673"/>
    </row>
    <row r="279" spans="1:14" s="507" customFormat="1" ht="11.25" customHeight="1">
      <c r="A279" s="528"/>
      <c r="B279" s="595"/>
      <c r="C279" s="595"/>
      <c r="D279" s="595"/>
      <c r="E279" s="595"/>
      <c r="F279" s="595"/>
      <c r="G279" s="595"/>
      <c r="H279" s="595"/>
      <c r="K279" s="539"/>
    </row>
    <row r="280" spans="1:14">
      <c r="A280" s="512"/>
      <c r="B280" s="501" t="s">
        <v>669</v>
      </c>
      <c r="C280" s="503"/>
      <c r="D280" s="503" t="s">
        <v>670</v>
      </c>
      <c r="E280" s="503" t="s">
        <v>671</v>
      </c>
      <c r="F280" s="503"/>
      <c r="G280" s="674" t="s">
        <v>5</v>
      </c>
      <c r="H280" s="612"/>
      <c r="I280" s="675"/>
      <c r="J280" s="675"/>
    </row>
    <row r="281" spans="1:14">
      <c r="A281" s="512">
        <v>31</v>
      </c>
      <c r="B281" s="499" t="s">
        <v>672</v>
      </c>
      <c r="C281" s="503"/>
      <c r="D281" s="503"/>
      <c r="F281" s="503"/>
      <c r="H281" s="612"/>
      <c r="I281" s="676">
        <f>L281+M281</f>
        <v>0</v>
      </c>
      <c r="J281" s="677"/>
      <c r="L281" s="661">
        <f>'Rev Credits Rev 2'!$F$11</f>
        <v>0</v>
      </c>
      <c r="M281" s="661">
        <f>'Rev Credits Rev 2'!$H$11</f>
        <v>0</v>
      </c>
    </row>
    <row r="282" spans="1:14" ht="16.5" thickBot="1">
      <c r="A282" s="512">
        <v>32</v>
      </c>
      <c r="B282" s="599" t="s">
        <v>673</v>
      </c>
      <c r="C282" s="678"/>
      <c r="D282" s="543"/>
      <c r="E282" s="666"/>
      <c r="F282" s="666"/>
      <c r="G282" s="666"/>
      <c r="H282" s="503"/>
      <c r="I282" s="679">
        <v>0</v>
      </c>
      <c r="J282" s="677"/>
      <c r="L282" s="661">
        <f>'Rev Credits Rev 2'!$F$12</f>
        <v>0</v>
      </c>
      <c r="M282" s="661">
        <f>'Rev Credits Rev 2'!$H$12</f>
        <v>0</v>
      </c>
    </row>
    <row r="283" spans="1:14">
      <c r="A283" s="512">
        <v>33</v>
      </c>
      <c r="B283" s="499" t="s">
        <v>674</v>
      </c>
      <c r="C283" s="509"/>
      <c r="E283" s="503"/>
      <c r="F283" s="503"/>
      <c r="G283" s="503"/>
      <c r="H283" s="503"/>
      <c r="I283" s="680">
        <f>+I281-I282</f>
        <v>0</v>
      </c>
      <c r="J283" s="680"/>
      <c r="L283" s="507"/>
      <c r="M283" s="507"/>
      <c r="N283" s="507"/>
    </row>
    <row r="284" spans="1:14" s="507" customFormat="1" ht="11.25" customHeight="1">
      <c r="A284" s="528"/>
      <c r="B284" s="507" t="s">
        <v>5</v>
      </c>
      <c r="C284" s="506"/>
      <c r="E284" s="539"/>
      <c r="F284" s="539"/>
      <c r="G284" s="566"/>
      <c r="H284" s="539"/>
      <c r="I284" s="681" t="s">
        <v>5</v>
      </c>
      <c r="J284" s="681"/>
      <c r="L284" s="499"/>
      <c r="M284" s="499"/>
      <c r="N284" s="499"/>
    </row>
    <row r="285" spans="1:14">
      <c r="A285" s="512">
        <v>34</v>
      </c>
      <c r="B285" s="501" t="s">
        <v>675</v>
      </c>
      <c r="C285" s="509"/>
      <c r="E285" s="503"/>
      <c r="F285" s="503"/>
      <c r="G285" s="682"/>
      <c r="H285" s="503"/>
      <c r="I285" s="683">
        <f>L285+M285</f>
        <v>168864</v>
      </c>
      <c r="J285" s="684"/>
      <c r="K285" s="685"/>
      <c r="L285" s="583">
        <f>'Rev Credits Rev 2'!$F$18</f>
        <v>168864</v>
      </c>
      <c r="M285" s="583">
        <f>'Rev Credits Rev 2'!$H$18</f>
        <v>0</v>
      </c>
      <c r="N285" s="686"/>
    </row>
    <row r="286" spans="1:14" s="507" customFormat="1" ht="11.25" customHeight="1">
      <c r="A286" s="528"/>
      <c r="C286" s="539"/>
      <c r="D286" s="539"/>
      <c r="E286" s="539"/>
      <c r="F286" s="539"/>
      <c r="G286" s="539"/>
      <c r="H286" s="539"/>
      <c r="I286" s="681"/>
      <c r="J286" s="681"/>
      <c r="K286" s="685"/>
      <c r="L286" s="499"/>
      <c r="M286" s="499"/>
      <c r="N286" s="499"/>
    </row>
    <row r="287" spans="1:14">
      <c r="B287" s="501" t="s">
        <v>676</v>
      </c>
      <c r="C287" s="503"/>
      <c r="D287" s="503" t="s">
        <v>677</v>
      </c>
      <c r="E287" s="503"/>
      <c r="F287" s="503"/>
      <c r="G287" s="503"/>
      <c r="H287" s="503"/>
      <c r="J287" s="507"/>
      <c r="K287" s="685"/>
    </row>
    <row r="288" spans="1:14">
      <c r="A288" s="512">
        <v>35</v>
      </c>
      <c r="B288" s="501" t="s">
        <v>678</v>
      </c>
      <c r="C288" s="508"/>
      <c r="D288" s="508"/>
      <c r="E288" s="508"/>
      <c r="F288" s="508"/>
      <c r="G288" s="508"/>
      <c r="H288" s="508"/>
      <c r="I288" s="687">
        <f>L288+M288</f>
        <v>220488128.81302121</v>
      </c>
      <c r="J288" s="688"/>
      <c r="K288" s="689"/>
      <c r="L288" s="661">
        <f>'Rev Credits Rev 2'!$F$22</f>
        <v>220488128.81302121</v>
      </c>
      <c r="M288" s="661">
        <f>'Rev Credits Rev 2'!$H$22</f>
        <v>0</v>
      </c>
    </row>
    <row r="289" spans="1:13">
      <c r="A289" s="512">
        <v>36</v>
      </c>
      <c r="B289" s="690" t="s">
        <v>679</v>
      </c>
      <c r="C289" s="666"/>
      <c r="D289" s="666"/>
      <c r="E289" s="666"/>
      <c r="F289" s="666"/>
      <c r="G289" s="503"/>
      <c r="H289" s="503"/>
      <c r="I289" s="687">
        <f>L289+M289</f>
        <v>74139004.624245763</v>
      </c>
      <c r="J289" s="688"/>
      <c r="K289" s="689"/>
      <c r="L289" s="661">
        <f>'Rev Credits Rev 2'!$F$23</f>
        <v>74139004.624245763</v>
      </c>
      <c r="M289" s="661">
        <f>'Rev Credits Rev 2'!$H$23</f>
        <v>0</v>
      </c>
    </row>
    <row r="290" spans="1:13">
      <c r="A290" s="512" t="s">
        <v>680</v>
      </c>
      <c r="B290" s="691" t="s">
        <v>681</v>
      </c>
      <c r="C290" s="692"/>
      <c r="D290" s="666"/>
      <c r="E290" s="666"/>
      <c r="F290" s="666"/>
      <c r="G290" s="503"/>
      <c r="H290" s="503"/>
      <c r="I290" s="687">
        <f>L290+M290</f>
        <v>69555635.542111367</v>
      </c>
      <c r="J290" s="688"/>
      <c r="K290" s="689"/>
      <c r="L290" s="661">
        <f>'Rev Credits Rev 2'!$F$25</f>
        <v>69555635.542111367</v>
      </c>
      <c r="M290" s="661">
        <f>'Rev Credits Rev 2'!$H$25</f>
        <v>0</v>
      </c>
    </row>
    <row r="291" spans="1:13" ht="16.5" thickBot="1">
      <c r="A291" s="512" t="s">
        <v>682</v>
      </c>
      <c r="B291" s="693" t="s">
        <v>683</v>
      </c>
      <c r="C291" s="694"/>
      <c r="D291" s="666"/>
      <c r="E291" s="666"/>
      <c r="F291" s="666"/>
      <c r="G291" s="503"/>
      <c r="H291" s="503"/>
      <c r="I291" s="695">
        <f>L291+M291</f>
        <v>58586292.12649063</v>
      </c>
      <c r="J291" s="688"/>
      <c r="K291" s="696"/>
      <c r="L291" s="661">
        <f>'Rev Credits Rev 2'!$F$26</f>
        <v>58586292.12649063</v>
      </c>
      <c r="M291" s="661">
        <f>'Rev Credits Rev 2'!$H$26</f>
        <v>0</v>
      </c>
    </row>
    <row r="292" spans="1:13">
      <c r="A292" s="512">
        <v>37</v>
      </c>
      <c r="B292" s="697" t="s">
        <v>684</v>
      </c>
      <c r="C292" s="512"/>
      <c r="D292" s="508"/>
      <c r="E292" s="508"/>
      <c r="F292" s="508"/>
      <c r="G292" s="508"/>
      <c r="H292" s="503"/>
      <c r="I292" s="698">
        <f>+I288-I289-I290-I291</f>
        <v>18207196.520173453</v>
      </c>
      <c r="J292" s="698"/>
      <c r="K292" s="696"/>
    </row>
    <row r="293" spans="1:13">
      <c r="A293" s="512"/>
      <c r="B293" s="697"/>
      <c r="C293" s="512"/>
      <c r="D293" s="508"/>
      <c r="E293" s="508"/>
      <c r="F293" s="508"/>
      <c r="G293" s="508"/>
      <c r="H293" s="503"/>
      <c r="I293" s="698"/>
      <c r="J293" s="698"/>
      <c r="K293" s="699"/>
    </row>
    <row r="294" spans="1:13">
      <c r="A294" s="512"/>
      <c r="B294" s="697"/>
      <c r="C294" s="512"/>
      <c r="D294" s="508"/>
      <c r="E294" s="508"/>
      <c r="F294" s="508"/>
      <c r="G294" s="508"/>
      <c r="H294" s="503"/>
      <c r="I294" s="698"/>
      <c r="J294" s="698"/>
      <c r="K294" s="699"/>
    </row>
    <row r="295" spans="1:13">
      <c r="A295" s="512"/>
      <c r="B295" s="697"/>
      <c r="C295" s="512"/>
      <c r="D295" s="508"/>
      <c r="E295" s="508"/>
      <c r="F295" s="508"/>
      <c r="G295" s="508"/>
      <c r="H295" s="503"/>
      <c r="I295" s="698"/>
      <c r="J295" s="698"/>
      <c r="K295" s="699"/>
    </row>
    <row r="296" spans="1:13">
      <c r="A296" s="512"/>
      <c r="B296" s="697"/>
      <c r="C296" s="512"/>
      <c r="D296" s="508"/>
      <c r="E296" s="508"/>
      <c r="F296" s="508"/>
      <c r="G296" s="508"/>
      <c r="H296" s="503"/>
      <c r="I296" s="698"/>
      <c r="J296" s="698"/>
      <c r="K296" s="699"/>
    </row>
    <row r="297" spans="1:13">
      <c r="A297" s="700"/>
      <c r="B297" s="701"/>
      <c r="C297" s="701"/>
      <c r="D297" s="701"/>
      <c r="E297" s="701"/>
      <c r="F297" s="701"/>
      <c r="G297" s="701"/>
      <c r="H297" s="701"/>
      <c r="I297" s="701"/>
      <c r="J297" s="701"/>
      <c r="K297" s="621"/>
    </row>
    <row r="298" spans="1:13">
      <c r="A298" s="701"/>
      <c r="B298" s="701"/>
      <c r="C298" s="701"/>
      <c r="D298" s="701"/>
      <c r="E298" s="701"/>
      <c r="F298" s="701"/>
      <c r="G298" s="701"/>
      <c r="H298" s="701"/>
      <c r="I298" s="701"/>
      <c r="J298" s="701"/>
      <c r="K298" s="500" t="s">
        <v>379</v>
      </c>
    </row>
    <row r="299" spans="1:13">
      <c r="B299" s="501"/>
      <c r="C299" s="501"/>
      <c r="D299" s="502"/>
      <c r="E299" s="501"/>
      <c r="F299" s="501"/>
      <c r="G299" s="501"/>
      <c r="H299" s="503"/>
      <c r="I299" s="503"/>
      <c r="J299" s="503"/>
      <c r="K299" s="568" t="s">
        <v>685</v>
      </c>
    </row>
    <row r="300" spans="1:13">
      <c r="B300" s="501" t="s">
        <v>381</v>
      </c>
      <c r="C300" s="501"/>
      <c r="D300" s="502" t="s">
        <v>382</v>
      </c>
      <c r="E300" s="501"/>
      <c r="F300" s="501"/>
      <c r="G300" s="501"/>
      <c r="H300" s="503"/>
      <c r="K300" s="504" t="s">
        <v>383</v>
      </c>
    </row>
    <row r="301" spans="1:13">
      <c r="B301" s="501"/>
      <c r="C301" s="508" t="s">
        <v>5</v>
      </c>
      <c r="D301" s="508" t="s">
        <v>384</v>
      </c>
      <c r="E301" s="508"/>
      <c r="F301" s="508"/>
      <c r="G301" s="508"/>
      <c r="H301" s="503"/>
      <c r="I301" s="503"/>
      <c r="J301" s="503"/>
      <c r="K301" s="506"/>
    </row>
    <row r="302" spans="1:13" ht="7.5" customHeight="1">
      <c r="A302" s="512"/>
      <c r="B302" s="697"/>
      <c r="C302" s="512"/>
      <c r="D302" s="508"/>
      <c r="E302" s="508"/>
      <c r="F302" s="508"/>
      <c r="G302" s="508"/>
      <c r="H302" s="503"/>
      <c r="I302" s="702"/>
      <c r="J302" s="702"/>
      <c r="K302" s="506"/>
    </row>
    <row r="303" spans="1:13">
      <c r="A303" s="1013" t="str">
        <f>A7</f>
        <v>Northern States Power Companies</v>
      </c>
      <c r="B303" s="1013"/>
      <c r="C303" s="1013"/>
      <c r="D303" s="1013"/>
      <c r="E303" s="1013"/>
      <c r="F303" s="1013"/>
      <c r="G303" s="1013"/>
      <c r="H303" s="1013"/>
      <c r="I303" s="1013"/>
      <c r="J303" s="1013"/>
      <c r="K303" s="1013"/>
    </row>
    <row r="304" spans="1:13" ht="6" customHeight="1">
      <c r="A304" s="512"/>
      <c r="B304" s="697"/>
      <c r="C304" s="512"/>
      <c r="D304" s="508"/>
      <c r="E304" s="508"/>
      <c r="F304" s="508"/>
      <c r="G304" s="508"/>
      <c r="H304" s="503"/>
      <c r="I304" s="702"/>
      <c r="J304" s="702"/>
      <c r="K304" s="699"/>
    </row>
    <row r="305" spans="1:11">
      <c r="A305" s="512"/>
      <c r="B305" s="501" t="s">
        <v>686</v>
      </c>
      <c r="C305" s="512"/>
      <c r="D305" s="508"/>
      <c r="E305" s="508"/>
      <c r="F305" s="508"/>
      <c r="G305" s="508"/>
      <c r="H305" s="503"/>
      <c r="I305" s="508"/>
      <c r="J305" s="508"/>
      <c r="K305" s="699"/>
    </row>
    <row r="306" spans="1:11">
      <c r="A306" s="512"/>
      <c r="B306" s="703" t="s">
        <v>687</v>
      </c>
      <c r="C306" s="512"/>
      <c r="D306" s="508"/>
      <c r="E306" s="508"/>
      <c r="F306" s="508"/>
      <c r="G306" s="508"/>
      <c r="H306" s="503"/>
      <c r="I306" s="508"/>
      <c r="J306" s="508"/>
      <c r="K306" s="519"/>
    </row>
    <row r="307" spans="1:11">
      <c r="A307" s="512" t="s">
        <v>688</v>
      </c>
      <c r="B307" s="501"/>
      <c r="C307" s="503"/>
      <c r="D307" s="508"/>
      <c r="E307" s="508"/>
      <c r="F307" s="508"/>
      <c r="G307" s="508"/>
      <c r="H307" s="503"/>
      <c r="I307" s="508"/>
      <c r="J307" s="508"/>
      <c r="K307" s="519"/>
    </row>
    <row r="308" spans="1:11" ht="16.5" thickBot="1">
      <c r="A308" s="514" t="s">
        <v>689</v>
      </c>
      <c r="B308" s="501"/>
      <c r="C308" s="503"/>
      <c r="D308" s="508"/>
      <c r="E308" s="508"/>
      <c r="F308" s="508"/>
      <c r="G308" s="508"/>
      <c r="H308" s="503"/>
      <c r="I308" s="508"/>
      <c r="J308" s="508"/>
      <c r="K308" s="519"/>
    </row>
    <row r="309" spans="1:11">
      <c r="A309" s="512" t="s">
        <v>366</v>
      </c>
      <c r="B309" s="595" t="s">
        <v>690</v>
      </c>
      <c r="C309" s="539"/>
      <c r="D309" s="519"/>
      <c r="E309" s="519"/>
      <c r="F309" s="519"/>
      <c r="G309" s="519"/>
      <c r="H309" s="539"/>
      <c r="I309" s="519"/>
      <c r="J309" s="519"/>
      <c r="K309" s="519"/>
    </row>
    <row r="310" spans="1:11">
      <c r="A310" s="512" t="s">
        <v>367</v>
      </c>
      <c r="B310" s="595" t="s">
        <v>691</v>
      </c>
      <c r="C310" s="539"/>
      <c r="D310" s="519"/>
      <c r="E310" s="519"/>
      <c r="F310" s="519"/>
      <c r="G310" s="519"/>
      <c r="H310" s="539"/>
      <c r="I310" s="519"/>
      <c r="J310" s="519"/>
      <c r="K310" s="519"/>
    </row>
    <row r="311" spans="1:11">
      <c r="A311" s="512" t="s">
        <v>692</v>
      </c>
      <c r="B311" s="595" t="s">
        <v>693</v>
      </c>
      <c r="C311" s="539"/>
      <c r="D311" s="539"/>
      <c r="E311" s="539"/>
      <c r="F311" s="539"/>
      <c r="G311" s="539"/>
      <c r="H311" s="539"/>
      <c r="I311" s="519"/>
      <c r="J311" s="519"/>
      <c r="K311" s="519"/>
    </row>
    <row r="312" spans="1:11">
      <c r="A312" s="512" t="s">
        <v>694</v>
      </c>
      <c r="B312" s="595" t="s">
        <v>695</v>
      </c>
      <c r="C312" s="539"/>
      <c r="D312" s="539"/>
      <c r="E312" s="539"/>
      <c r="F312" s="539"/>
      <c r="G312" s="539"/>
      <c r="H312" s="539"/>
      <c r="I312" s="519"/>
      <c r="J312" s="519"/>
      <c r="K312" s="539"/>
    </row>
    <row r="313" spans="1:11">
      <c r="A313" s="512" t="s">
        <v>696</v>
      </c>
      <c r="B313" s="539" t="s">
        <v>697</v>
      </c>
      <c r="C313" s="539"/>
      <c r="D313" s="539"/>
      <c r="E313" s="539"/>
      <c r="F313" s="539"/>
      <c r="G313" s="539"/>
      <c r="H313" s="539"/>
      <c r="I313" s="539"/>
      <c r="J313" s="539"/>
      <c r="K313" s="539"/>
    </row>
    <row r="314" spans="1:11">
      <c r="A314" s="512" t="s">
        <v>698</v>
      </c>
      <c r="B314" s="539" t="s">
        <v>699</v>
      </c>
      <c r="C314" s="539"/>
      <c r="D314" s="539"/>
      <c r="E314" s="539"/>
      <c r="F314" s="539"/>
      <c r="G314" s="539"/>
      <c r="H314" s="539"/>
      <c r="I314" s="539"/>
      <c r="J314" s="539"/>
      <c r="K314" s="539"/>
    </row>
    <row r="315" spans="1:11">
      <c r="A315" s="512"/>
      <c r="B315" s="539" t="s">
        <v>700</v>
      </c>
      <c r="C315" s="539"/>
      <c r="D315" s="539"/>
      <c r="E315" s="539"/>
      <c r="F315" s="539"/>
      <c r="G315" s="539"/>
      <c r="H315" s="539"/>
      <c r="I315" s="539"/>
      <c r="J315" s="539"/>
      <c r="K315" s="539"/>
    </row>
    <row r="316" spans="1:11">
      <c r="A316" s="512"/>
      <c r="B316" s="539" t="s">
        <v>701</v>
      </c>
      <c r="C316" s="539"/>
      <c r="D316" s="539"/>
      <c r="E316" s="539"/>
      <c r="F316" s="539"/>
      <c r="G316" s="539"/>
      <c r="H316" s="539"/>
      <c r="I316" s="539"/>
      <c r="J316" s="539"/>
      <c r="K316" s="539"/>
    </row>
    <row r="317" spans="1:11">
      <c r="A317" s="512" t="s">
        <v>702</v>
      </c>
      <c r="B317" s="539" t="s">
        <v>703</v>
      </c>
      <c r="C317" s="539"/>
      <c r="D317" s="539"/>
      <c r="E317" s="539"/>
      <c r="F317" s="539"/>
      <c r="G317" s="539"/>
      <c r="H317" s="539"/>
      <c r="I317" s="539"/>
      <c r="J317" s="539"/>
      <c r="K317" s="539"/>
    </row>
    <row r="318" spans="1:11">
      <c r="A318" s="512" t="s">
        <v>704</v>
      </c>
      <c r="B318" s="539" t="s">
        <v>705</v>
      </c>
      <c r="C318" s="539"/>
      <c r="D318" s="539"/>
      <c r="E318" s="539"/>
      <c r="F318" s="539"/>
      <c r="G318" s="539"/>
      <c r="H318" s="539"/>
      <c r="I318" s="539"/>
      <c r="J318" s="539"/>
      <c r="K318" s="539"/>
    </row>
    <row r="319" spans="1:11">
      <c r="A319" s="512"/>
      <c r="B319" s="539" t="s">
        <v>706</v>
      </c>
      <c r="C319" s="539"/>
      <c r="D319" s="539"/>
      <c r="E319" s="539"/>
      <c r="F319" s="539"/>
      <c r="G319" s="539"/>
      <c r="H319" s="539"/>
      <c r="I319" s="539"/>
      <c r="J319" s="539"/>
      <c r="K319" s="539"/>
    </row>
    <row r="320" spans="1:11">
      <c r="A320" s="512" t="s">
        <v>707</v>
      </c>
      <c r="B320" s="539" t="s">
        <v>708</v>
      </c>
      <c r="C320" s="539"/>
      <c r="D320" s="539"/>
      <c r="E320" s="539"/>
      <c r="F320" s="539"/>
      <c r="G320" s="539"/>
      <c r="H320" s="539"/>
      <c r="I320" s="539"/>
      <c r="J320" s="539"/>
      <c r="K320" s="539"/>
    </row>
    <row r="321" spans="1:11">
      <c r="A321" s="512"/>
      <c r="B321" s="507" t="s">
        <v>709</v>
      </c>
      <c r="C321" s="539"/>
      <c r="D321" s="539"/>
      <c r="E321" s="539"/>
      <c r="F321" s="539"/>
      <c r="G321" s="539"/>
      <c r="H321" s="539"/>
      <c r="I321" s="539"/>
      <c r="J321" s="539"/>
      <c r="K321" s="539"/>
    </row>
    <row r="322" spans="1:11">
      <c r="A322" s="512" t="s">
        <v>710</v>
      </c>
      <c r="B322" s="539" t="s">
        <v>711</v>
      </c>
      <c r="C322" s="539"/>
      <c r="D322" s="539"/>
      <c r="E322" s="539"/>
      <c r="F322" s="539"/>
      <c r="G322" s="539"/>
      <c r="H322" s="539"/>
      <c r="I322" s="539"/>
      <c r="J322" s="539"/>
      <c r="K322" s="539"/>
    </row>
    <row r="323" spans="1:11">
      <c r="A323" s="512"/>
      <c r="B323" s="539" t="s">
        <v>712</v>
      </c>
      <c r="C323" s="539"/>
      <c r="D323" s="539"/>
      <c r="E323" s="539"/>
      <c r="F323" s="539"/>
      <c r="G323" s="539"/>
      <c r="H323" s="539"/>
      <c r="I323" s="539"/>
      <c r="J323" s="539"/>
      <c r="K323" s="539"/>
    </row>
    <row r="324" spans="1:11">
      <c r="A324" s="512" t="s">
        <v>713</v>
      </c>
      <c r="B324" s="539" t="s">
        <v>714</v>
      </c>
      <c r="C324" s="539"/>
      <c r="D324" s="539"/>
      <c r="E324" s="539"/>
      <c r="F324" s="539"/>
      <c r="G324" s="539"/>
      <c r="H324" s="539"/>
      <c r="I324" s="539"/>
      <c r="J324" s="539"/>
      <c r="K324" s="539"/>
    </row>
    <row r="325" spans="1:11">
      <c r="A325" s="512"/>
      <c r="B325" s="539" t="s">
        <v>715</v>
      </c>
      <c r="C325" s="539"/>
      <c r="D325" s="539"/>
      <c r="E325" s="539"/>
      <c r="F325" s="539"/>
      <c r="G325" s="539"/>
      <c r="H325" s="539"/>
      <c r="I325" s="539"/>
      <c r="J325" s="539"/>
      <c r="K325" s="539"/>
    </row>
    <row r="326" spans="1:11">
      <c r="A326" s="512"/>
      <c r="B326" s="539" t="s">
        <v>716</v>
      </c>
      <c r="C326" s="539"/>
      <c r="D326" s="539"/>
      <c r="E326" s="539"/>
      <c r="F326" s="539"/>
      <c r="G326" s="539"/>
      <c r="H326" s="539"/>
      <c r="I326" s="539"/>
      <c r="J326" s="539"/>
      <c r="K326" s="539"/>
    </row>
    <row r="327" spans="1:11">
      <c r="A327" s="512"/>
      <c r="B327" s="539" t="s">
        <v>717</v>
      </c>
      <c r="C327" s="539"/>
      <c r="D327" s="539"/>
      <c r="E327" s="539"/>
      <c r="F327" s="539"/>
      <c r="G327" s="539"/>
      <c r="H327" s="539"/>
      <c r="I327" s="539"/>
      <c r="J327" s="539"/>
      <c r="K327" s="539"/>
    </row>
    <row r="328" spans="1:11">
      <c r="A328" s="512" t="s">
        <v>5</v>
      </c>
      <c r="B328" s="539" t="s">
        <v>718</v>
      </c>
      <c r="C328" s="539" t="s">
        <v>719</v>
      </c>
      <c r="D328" s="704">
        <v>0.35</v>
      </c>
      <c r="E328" s="539"/>
      <c r="F328" s="539"/>
      <c r="G328" s="539"/>
      <c r="H328" s="539"/>
      <c r="I328" s="539"/>
      <c r="J328" s="539"/>
      <c r="K328" s="539"/>
    </row>
    <row r="329" spans="1:11">
      <c r="A329" s="512"/>
      <c r="B329" s="539"/>
      <c r="C329" s="539" t="s">
        <v>720</v>
      </c>
      <c r="D329" s="704">
        <v>8.9450000000000002E-2</v>
      </c>
      <c r="E329" s="970" t="s">
        <v>721</v>
      </c>
      <c r="F329" s="539"/>
      <c r="G329" s="539"/>
      <c r="H329" s="539"/>
      <c r="I329" s="539"/>
      <c r="J329" s="539"/>
      <c r="K329" s="539"/>
    </row>
    <row r="330" spans="1:11">
      <c r="A330" s="512"/>
      <c r="B330" s="539"/>
      <c r="C330" s="539" t="s">
        <v>722</v>
      </c>
      <c r="D330" s="704">
        <v>0</v>
      </c>
      <c r="E330" s="970" t="s">
        <v>723</v>
      </c>
      <c r="F330" s="539"/>
      <c r="G330" s="539"/>
      <c r="H330" s="539"/>
      <c r="I330" s="539"/>
      <c r="J330" s="539"/>
      <c r="K330" s="539"/>
    </row>
    <row r="331" spans="1:11">
      <c r="A331" s="512" t="s">
        <v>724</v>
      </c>
      <c r="B331" s="539" t="s">
        <v>725</v>
      </c>
      <c r="C331" s="539"/>
      <c r="D331" s="539"/>
      <c r="E331" s="539"/>
      <c r="F331" s="539"/>
      <c r="G331" s="539"/>
      <c r="H331" s="539"/>
      <c r="I331" s="705"/>
      <c r="J331" s="705"/>
      <c r="K331" s="539"/>
    </row>
    <row r="332" spans="1:11">
      <c r="A332" s="512" t="s">
        <v>726</v>
      </c>
      <c r="B332" s="539" t="s">
        <v>727</v>
      </c>
      <c r="C332" s="539"/>
      <c r="D332" s="539"/>
      <c r="E332" s="539"/>
      <c r="F332" s="539"/>
      <c r="G332" s="539"/>
      <c r="H332" s="539"/>
      <c r="I332" s="539"/>
      <c r="J332" s="539"/>
      <c r="K332" s="539"/>
    </row>
    <row r="333" spans="1:11">
      <c r="A333" s="512"/>
      <c r="B333" s="539" t="s">
        <v>728</v>
      </c>
      <c r="C333" s="539"/>
      <c r="D333" s="539"/>
      <c r="E333" s="539"/>
      <c r="F333" s="539"/>
      <c r="G333" s="539"/>
      <c r="H333" s="539"/>
      <c r="I333" s="539"/>
      <c r="J333" s="539"/>
      <c r="K333" s="539"/>
    </row>
    <row r="334" spans="1:11">
      <c r="A334" s="512" t="s">
        <v>729</v>
      </c>
      <c r="B334" s="539" t="s">
        <v>730</v>
      </c>
      <c r="C334" s="539"/>
      <c r="D334" s="539"/>
      <c r="E334" s="539"/>
      <c r="F334" s="539"/>
      <c r="G334" s="539"/>
      <c r="H334" s="539"/>
      <c r="I334" s="539"/>
      <c r="J334" s="539"/>
      <c r="K334" s="539"/>
    </row>
    <row r="335" spans="1:11">
      <c r="A335" s="512"/>
      <c r="B335" s="539" t="s">
        <v>731</v>
      </c>
      <c r="C335" s="539"/>
      <c r="D335" s="539"/>
      <c r="E335" s="539"/>
      <c r="F335" s="539"/>
      <c r="G335" s="539"/>
      <c r="H335" s="539"/>
      <c r="I335" s="539"/>
      <c r="J335" s="539"/>
      <c r="K335" s="539"/>
    </row>
    <row r="336" spans="1:11">
      <c r="A336" s="512"/>
      <c r="B336" s="539" t="s">
        <v>732</v>
      </c>
      <c r="C336" s="539"/>
      <c r="D336" s="539"/>
      <c r="E336" s="539"/>
      <c r="F336" s="539"/>
      <c r="G336" s="539"/>
      <c r="H336" s="539"/>
      <c r="I336" s="539"/>
      <c r="J336" s="539"/>
      <c r="K336" s="539"/>
    </row>
    <row r="337" spans="1:11">
      <c r="A337" s="512" t="s">
        <v>733</v>
      </c>
      <c r="B337" s="539" t="s">
        <v>734</v>
      </c>
      <c r="C337" s="539"/>
      <c r="D337" s="539"/>
      <c r="E337" s="539"/>
      <c r="F337" s="539"/>
      <c r="G337" s="539"/>
      <c r="H337" s="539"/>
      <c r="I337" s="539"/>
      <c r="J337" s="539"/>
      <c r="K337" s="539"/>
    </row>
    <row r="338" spans="1:11">
      <c r="A338" s="512" t="s">
        <v>735</v>
      </c>
      <c r="B338" s="539" t="s">
        <v>736</v>
      </c>
      <c r="C338" s="539"/>
      <c r="D338" s="539"/>
      <c r="E338" s="539"/>
      <c r="F338" s="539"/>
      <c r="G338" s="539"/>
      <c r="H338" s="539"/>
      <c r="I338" s="539"/>
      <c r="J338" s="539"/>
      <c r="K338" s="539"/>
    </row>
    <row r="339" spans="1:11">
      <c r="A339" s="512"/>
      <c r="B339" s="539" t="s">
        <v>737</v>
      </c>
      <c r="C339" s="539"/>
      <c r="D339" s="539"/>
      <c r="E339" s="539"/>
      <c r="F339" s="539"/>
      <c r="G339" s="539"/>
      <c r="H339" s="539"/>
      <c r="I339" s="539"/>
      <c r="J339" s="539"/>
      <c r="K339" s="539"/>
    </row>
    <row r="340" spans="1:11">
      <c r="A340" s="512" t="s">
        <v>738</v>
      </c>
      <c r="B340" s="539" t="s">
        <v>739</v>
      </c>
      <c r="C340" s="539"/>
      <c r="D340" s="539"/>
      <c r="E340" s="539"/>
      <c r="F340" s="539"/>
      <c r="G340" s="539"/>
      <c r="H340" s="539"/>
      <c r="I340" s="539"/>
      <c r="J340" s="539"/>
      <c r="K340" s="539"/>
    </row>
    <row r="341" spans="1:11">
      <c r="A341" s="512"/>
      <c r="B341" s="539" t="s">
        <v>740</v>
      </c>
      <c r="C341" s="539"/>
      <c r="D341" s="539"/>
      <c r="E341" s="539"/>
      <c r="F341" s="539"/>
      <c r="G341" s="539"/>
      <c r="H341" s="539"/>
      <c r="I341" s="539"/>
      <c r="J341" s="539"/>
      <c r="K341" s="539"/>
    </row>
    <row r="342" spans="1:11">
      <c r="A342" s="512" t="s">
        <v>741</v>
      </c>
      <c r="B342" s="539" t="s">
        <v>742</v>
      </c>
      <c r="C342" s="539"/>
      <c r="D342" s="539"/>
      <c r="E342" s="539"/>
      <c r="F342" s="539"/>
      <c r="G342" s="539"/>
      <c r="H342" s="539"/>
      <c r="I342" s="539"/>
      <c r="J342" s="539"/>
      <c r="K342" s="539"/>
    </row>
    <row r="343" spans="1:11">
      <c r="A343" s="512" t="s">
        <v>743</v>
      </c>
      <c r="B343" s="539" t="s">
        <v>744</v>
      </c>
      <c r="C343" s="539"/>
      <c r="D343" s="539"/>
      <c r="E343" s="539"/>
      <c r="F343" s="539"/>
      <c r="G343" s="539"/>
      <c r="H343" s="539"/>
      <c r="I343" s="539"/>
      <c r="J343" s="539"/>
      <c r="K343" s="539"/>
    </row>
    <row r="344" spans="1:11">
      <c r="B344" s="539" t="s">
        <v>745</v>
      </c>
      <c r="C344" s="539"/>
      <c r="D344" s="539"/>
      <c r="E344" s="539"/>
      <c r="F344" s="539"/>
      <c r="G344" s="539"/>
      <c r="H344" s="539"/>
      <c r="I344" s="539"/>
      <c r="J344" s="539"/>
      <c r="K344" s="539"/>
    </row>
    <row r="345" spans="1:11">
      <c r="B345" s="506" t="s">
        <v>746</v>
      </c>
      <c r="C345" s="506"/>
      <c r="D345" s="506"/>
      <c r="E345" s="506"/>
      <c r="F345" s="506"/>
      <c r="G345" s="506"/>
      <c r="H345" s="506"/>
      <c r="I345" s="506"/>
      <c r="J345" s="506"/>
      <c r="K345" s="539"/>
    </row>
    <row r="346" spans="1:11">
      <c r="A346" s="561" t="s">
        <v>747</v>
      </c>
      <c r="B346" s="506" t="s">
        <v>748</v>
      </c>
      <c r="C346" s="506"/>
      <c r="D346" s="506"/>
      <c r="E346" s="506"/>
      <c r="F346" s="506"/>
      <c r="G346" s="506"/>
      <c r="H346" s="506"/>
      <c r="I346" s="506"/>
      <c r="J346" s="506"/>
      <c r="K346" s="506"/>
    </row>
    <row r="347" spans="1:11">
      <c r="B347" s="506" t="s">
        <v>749</v>
      </c>
      <c r="C347" s="706"/>
      <c r="D347" s="506"/>
      <c r="E347" s="506"/>
      <c r="F347" s="506"/>
      <c r="G347" s="506"/>
      <c r="H347" s="506"/>
      <c r="I347" s="506"/>
      <c r="J347" s="506"/>
      <c r="K347" s="506"/>
    </row>
    <row r="348" spans="1:11">
      <c r="B348" s="506" t="s">
        <v>750</v>
      </c>
      <c r="C348" s="506"/>
      <c r="D348" s="506"/>
      <c r="E348" s="506"/>
      <c r="F348" s="506"/>
      <c r="G348" s="506"/>
      <c r="H348" s="506"/>
      <c r="I348" s="506"/>
      <c r="J348" s="506"/>
      <c r="K348" s="506"/>
    </row>
    <row r="349" spans="1:11">
      <c r="A349" s="561" t="s">
        <v>751</v>
      </c>
      <c r="B349" s="506" t="s">
        <v>752</v>
      </c>
      <c r="C349" s="509"/>
      <c r="D349" s="509"/>
      <c r="E349" s="509"/>
      <c r="F349" s="509"/>
      <c r="G349" s="509"/>
      <c r="H349" s="509"/>
      <c r="I349" s="506"/>
      <c r="J349" s="506"/>
      <c r="K349" s="506"/>
    </row>
    <row r="350" spans="1:11">
      <c r="A350" s="524" t="s">
        <v>753</v>
      </c>
      <c r="B350" s="506" t="s">
        <v>754</v>
      </c>
      <c r="C350" s="506"/>
      <c r="D350" s="506"/>
      <c r="E350" s="506"/>
      <c r="F350" s="506"/>
      <c r="G350" s="506"/>
      <c r="H350" s="506"/>
      <c r="I350" s="506"/>
      <c r="J350" s="506"/>
      <c r="K350" s="506"/>
    </row>
    <row r="351" spans="1:11" s="507" customFormat="1">
      <c r="A351" s="524" t="s">
        <v>755</v>
      </c>
      <c r="B351" s="509" t="s">
        <v>756</v>
      </c>
      <c r="C351" s="506"/>
      <c r="D351" s="506"/>
      <c r="E351" s="506"/>
      <c r="F351" s="506"/>
      <c r="G351" s="506"/>
      <c r="H351" s="506"/>
      <c r="I351" s="506"/>
      <c r="J351" s="506"/>
      <c r="K351" s="506"/>
    </row>
    <row r="352" spans="1:11" s="507" customFormat="1">
      <c r="A352" s="524"/>
      <c r="B352" s="506" t="s">
        <v>757</v>
      </c>
      <c r="C352" s="506"/>
      <c r="D352" s="506"/>
      <c r="E352" s="506"/>
      <c r="F352" s="506"/>
      <c r="G352" s="509"/>
      <c r="H352" s="499"/>
      <c r="I352" s="506"/>
      <c r="J352" s="506"/>
      <c r="K352" s="506"/>
    </row>
    <row r="353" spans="1:11">
      <c r="A353" s="524"/>
      <c r="B353" s="506" t="s">
        <v>758</v>
      </c>
      <c r="C353" s="506"/>
      <c r="D353" s="506"/>
      <c r="E353" s="506"/>
      <c r="F353" s="506"/>
      <c r="G353" s="509"/>
      <c r="H353" s="509"/>
      <c r="I353" s="506"/>
      <c r="J353" s="506"/>
      <c r="K353" s="506"/>
    </row>
    <row r="354" spans="1:11">
      <c r="A354" s="524"/>
      <c r="B354" s="506" t="s">
        <v>759</v>
      </c>
      <c r="C354" s="506"/>
      <c r="D354" s="506"/>
      <c r="E354" s="506"/>
      <c r="F354" s="506"/>
      <c r="G354" s="509"/>
      <c r="H354" s="509"/>
      <c r="I354" s="506"/>
      <c r="J354" s="506"/>
      <c r="K354" s="506"/>
    </row>
    <row r="355" spans="1:11">
      <c r="A355" s="524"/>
      <c r="B355" s="506" t="s">
        <v>760</v>
      </c>
      <c r="C355" s="506"/>
      <c r="D355" s="506"/>
      <c r="E355" s="506"/>
      <c r="F355" s="506"/>
      <c r="G355" s="509"/>
      <c r="H355" s="509"/>
      <c r="I355" s="506"/>
      <c r="J355" s="506"/>
      <c r="K355" s="506"/>
    </row>
    <row r="356" spans="1:11">
      <c r="A356" s="524"/>
      <c r="B356" s="506" t="s">
        <v>761</v>
      </c>
      <c r="C356" s="506"/>
      <c r="D356" s="506"/>
      <c r="E356" s="506"/>
      <c r="F356" s="506"/>
      <c r="G356" s="509"/>
      <c r="H356" s="509"/>
      <c r="I356" s="506"/>
      <c r="J356" s="506"/>
      <c r="K356" s="506"/>
    </row>
    <row r="357" spans="1:11">
      <c r="A357" s="561" t="s">
        <v>762</v>
      </c>
      <c r="B357" s="506" t="s">
        <v>763</v>
      </c>
      <c r="C357" s="506"/>
      <c r="D357" s="506"/>
      <c r="E357" s="506"/>
      <c r="F357" s="506"/>
      <c r="G357" s="506"/>
      <c r="H357" s="509"/>
      <c r="I357" s="506"/>
      <c r="J357" s="506"/>
      <c r="K357" s="506"/>
    </row>
    <row r="358" spans="1:11">
      <c r="A358" s="561" t="s">
        <v>764</v>
      </c>
      <c r="B358" s="506" t="s">
        <v>765</v>
      </c>
      <c r="C358" s="506"/>
      <c r="D358" s="506"/>
      <c r="E358" s="506"/>
      <c r="F358" s="506"/>
      <c r="G358" s="506"/>
      <c r="H358" s="509"/>
      <c r="I358" s="506"/>
      <c r="J358" s="506"/>
      <c r="K358" s="506"/>
    </row>
    <row r="359" spans="1:11">
      <c r="A359" s="561"/>
      <c r="B359" s="506" t="s">
        <v>766</v>
      </c>
      <c r="C359" s="506"/>
      <c r="D359" s="506"/>
      <c r="E359" s="506"/>
      <c r="F359" s="506"/>
      <c r="G359" s="506"/>
      <c r="H359" s="509"/>
      <c r="I359" s="506"/>
      <c r="J359" s="506"/>
      <c r="K359" s="506"/>
    </row>
    <row r="360" spans="1:11">
      <c r="A360" s="561" t="s">
        <v>767</v>
      </c>
      <c r="B360" s="506" t="s">
        <v>768</v>
      </c>
      <c r="C360" s="507"/>
      <c r="D360" s="507"/>
      <c r="E360" s="507"/>
      <c r="F360" s="506"/>
      <c r="G360" s="506"/>
      <c r="H360" s="509"/>
      <c r="I360" s="506"/>
      <c r="J360" s="506"/>
      <c r="K360" s="506"/>
    </row>
    <row r="361" spans="1:11">
      <c r="A361" s="561"/>
      <c r="B361" s="707" t="s">
        <v>130</v>
      </c>
      <c r="C361" s="506" t="s">
        <v>769</v>
      </c>
      <c r="D361" s="507"/>
      <c r="E361" s="507"/>
      <c r="F361" s="506"/>
      <c r="G361" s="506"/>
      <c r="H361" s="509"/>
      <c r="I361" s="506"/>
      <c r="J361" s="506"/>
      <c r="K361" s="506"/>
    </row>
    <row r="362" spans="1:11">
      <c r="A362" s="561"/>
      <c r="B362" s="707" t="s">
        <v>131</v>
      </c>
      <c r="C362" s="506" t="s">
        <v>769</v>
      </c>
      <c r="D362" s="624"/>
      <c r="E362" s="507"/>
      <c r="F362" s="506"/>
      <c r="G362" s="506"/>
      <c r="H362" s="509"/>
      <c r="I362" s="506"/>
      <c r="J362" s="506"/>
      <c r="K362" s="506"/>
    </row>
    <row r="363" spans="1:11">
      <c r="A363" s="561"/>
      <c r="B363" s="708" t="s">
        <v>132</v>
      </c>
      <c r="C363" s="506"/>
      <c r="D363" s="507"/>
      <c r="E363" s="507"/>
      <c r="F363" s="506"/>
      <c r="G363" s="506"/>
      <c r="H363" s="509"/>
      <c r="I363" s="506"/>
      <c r="J363" s="506"/>
      <c r="K363" s="506"/>
    </row>
    <row r="364" spans="1:11">
      <c r="A364" s="561"/>
      <c r="B364" s="707" t="s">
        <v>133</v>
      </c>
      <c r="C364" s="506" t="s">
        <v>770</v>
      </c>
      <c r="D364" s="507"/>
      <c r="E364" s="507"/>
      <c r="F364" s="506"/>
      <c r="G364" s="506"/>
      <c r="H364" s="506"/>
      <c r="I364" s="506"/>
      <c r="J364" s="506"/>
      <c r="K364" s="506"/>
    </row>
    <row r="365" spans="1:11">
      <c r="A365" s="561"/>
      <c r="B365" s="707" t="s">
        <v>134</v>
      </c>
      <c r="C365" s="506"/>
      <c r="D365" s="507"/>
      <c r="E365" s="506"/>
      <c r="F365" s="506"/>
      <c r="G365" s="506"/>
      <c r="H365" s="506"/>
      <c r="I365" s="506"/>
      <c r="J365" s="506"/>
      <c r="K365" s="506"/>
    </row>
    <row r="366" spans="1:11">
      <c r="A366" s="561" t="s">
        <v>771</v>
      </c>
      <c r="B366" s="709" t="s">
        <v>772</v>
      </c>
      <c r="C366" s="506"/>
      <c r="D366" s="507"/>
      <c r="E366" s="506"/>
      <c r="F366" s="506"/>
      <c r="G366" s="506"/>
      <c r="H366" s="506"/>
      <c r="I366" s="506"/>
      <c r="J366" s="506"/>
      <c r="K366" s="506"/>
    </row>
    <row r="367" spans="1:11">
      <c r="A367" s="561" t="s">
        <v>773</v>
      </c>
      <c r="B367" s="709" t="s">
        <v>774</v>
      </c>
      <c r="C367" s="506"/>
      <c r="D367" s="507"/>
      <c r="E367" s="506"/>
      <c r="F367" s="506"/>
      <c r="G367" s="506"/>
      <c r="H367" s="506"/>
      <c r="I367" s="506"/>
      <c r="J367" s="506"/>
      <c r="K367" s="506"/>
    </row>
    <row r="368" spans="1:11">
      <c r="A368" s="561"/>
      <c r="B368" s="709" t="s">
        <v>775</v>
      </c>
      <c r="C368" s="506"/>
      <c r="D368" s="507"/>
      <c r="E368" s="506"/>
      <c r="F368" s="506"/>
      <c r="G368" s="506"/>
      <c r="H368" s="506"/>
      <c r="I368" s="506"/>
      <c r="J368" s="506"/>
      <c r="K368" s="506"/>
    </row>
    <row r="369" spans="1:11">
      <c r="A369" s="561" t="s">
        <v>776</v>
      </c>
      <c r="B369" s="709" t="s">
        <v>777</v>
      </c>
      <c r="C369" s="507"/>
      <c r="D369" s="507"/>
      <c r="E369" s="507"/>
      <c r="F369" s="507"/>
      <c r="G369" s="507"/>
      <c r="H369" s="507"/>
      <c r="I369" s="507"/>
    </row>
    <row r="370" spans="1:11">
      <c r="A370" s="561" t="s">
        <v>778</v>
      </c>
      <c r="B370" s="709" t="s">
        <v>779</v>
      </c>
      <c r="C370" s="506"/>
      <c r="D370" s="506"/>
      <c r="E370" s="506"/>
      <c r="F370" s="506"/>
      <c r="G370" s="506"/>
      <c r="H370" s="506"/>
      <c r="I370" s="506"/>
      <c r="J370" s="509"/>
      <c r="K370" s="506"/>
    </row>
    <row r="371" spans="1:11">
      <c r="A371" s="561"/>
      <c r="B371" s="709" t="s">
        <v>780</v>
      </c>
      <c r="C371" s="506"/>
      <c r="D371" s="506"/>
      <c r="E371" s="506"/>
      <c r="F371" s="506"/>
      <c r="G371" s="506"/>
      <c r="H371" s="506"/>
      <c r="I371" s="506"/>
      <c r="J371" s="509"/>
      <c r="K371" s="506"/>
    </row>
    <row r="372" spans="1:11">
      <c r="A372" s="561" t="s">
        <v>781</v>
      </c>
      <c r="B372" s="710" t="s">
        <v>782</v>
      </c>
      <c r="C372" s="507"/>
      <c r="D372" s="507"/>
      <c r="E372" s="507"/>
      <c r="F372" s="507"/>
      <c r="G372" s="507"/>
      <c r="H372" s="507"/>
      <c r="I372" s="507"/>
      <c r="K372" s="506"/>
    </row>
    <row r="373" spans="1:11">
      <c r="A373" s="561" t="s">
        <v>783</v>
      </c>
      <c r="B373" s="710" t="s">
        <v>784</v>
      </c>
      <c r="C373" s="507"/>
      <c r="D373" s="507"/>
      <c r="E373" s="507"/>
      <c r="F373" s="507"/>
      <c r="G373" s="507"/>
      <c r="H373" s="507"/>
      <c r="I373" s="507"/>
    </row>
    <row r="374" spans="1:11">
      <c r="B374" s="507"/>
      <c r="C374" s="507"/>
      <c r="D374" s="507"/>
      <c r="E374" s="507"/>
      <c r="F374" s="507"/>
      <c r="G374" s="507"/>
      <c r="H374" s="507"/>
      <c r="I374" s="507"/>
    </row>
    <row r="375" spans="1:11">
      <c r="B375" s="507"/>
      <c r="C375" s="507"/>
      <c r="D375" s="507"/>
      <c r="E375" s="507"/>
      <c r="F375" s="507"/>
      <c r="G375" s="507"/>
      <c r="H375" s="507"/>
      <c r="I375" s="507"/>
    </row>
  </sheetData>
  <mergeCells count="8">
    <mergeCell ref="N238:S238"/>
    <mergeCell ref="A303:K303"/>
    <mergeCell ref="A7:K7"/>
    <mergeCell ref="Q27:S27"/>
    <mergeCell ref="A79:K79"/>
    <mergeCell ref="A151:K151"/>
    <mergeCell ref="F156:G156"/>
    <mergeCell ref="A226:K226"/>
  </mergeCells>
  <phoneticPr fontId="13" type="noConversion"/>
  <conditionalFormatting sqref="N21">
    <cfRule type="cellIs" dxfId="1" priority="1" stopIfTrue="1" operator="equal">
      <formula>"ERROR in RR detail"</formula>
    </cfRule>
  </conditionalFormatting>
  <conditionalFormatting sqref="N26">
    <cfRule type="cellIs" dxfId="0" priority="2" stopIfTrue="1" operator="equal">
      <formula>"ERROR MW detail"</formula>
    </cfRule>
  </conditionalFormatting>
  <pageMargins left="0.75" right="0.75" top="1" bottom="1" header="0.5" footer="0.5"/>
  <pageSetup scale="53" fitToHeight="5" orientation="portrait" r:id="rId1"/>
  <headerFooter alignWithMargins="0"/>
  <rowBreaks count="4" manualBreakCount="4">
    <brk id="72" max="10" man="1"/>
    <brk id="144" max="10" man="1"/>
    <brk id="220" max="10" man="1"/>
    <brk id="297"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E43"/>
  <sheetViews>
    <sheetView showGridLines="0" workbookViewId="0">
      <selection activeCell="C7" sqref="C7"/>
    </sheetView>
  </sheetViews>
  <sheetFormatPr defaultRowHeight="12"/>
  <cols>
    <col min="1" max="1" width="8.88671875" style="279"/>
    <col min="2" max="2" width="22.77734375" style="279" bestFit="1" customWidth="1"/>
    <col min="3" max="3" width="13.5546875" style="279" bestFit="1" customWidth="1"/>
    <col min="4" max="4" width="15.33203125" style="279" customWidth="1"/>
    <col min="5" max="5" width="13.6640625" style="280" bestFit="1" customWidth="1"/>
    <col min="6" max="6" width="8.88671875" style="279"/>
    <col min="7" max="7" width="11.21875" style="279" bestFit="1" customWidth="1"/>
    <col min="8" max="16384" width="8.88671875" style="279"/>
  </cols>
  <sheetData>
    <row r="1" spans="1:5">
      <c r="A1" s="122" t="s">
        <v>195</v>
      </c>
      <c r="E1" s="48" t="str">
        <f>'Cover Rev 2'!C1</f>
        <v>2015 Workpapers</v>
      </c>
    </row>
    <row r="5" spans="1:5" ht="24">
      <c r="C5" s="281" t="s">
        <v>235</v>
      </c>
      <c r="D5" s="281" t="s">
        <v>189</v>
      </c>
      <c r="E5" s="282" t="s">
        <v>190</v>
      </c>
    </row>
    <row r="7" spans="1:5">
      <c r="A7" s="279" t="s">
        <v>270</v>
      </c>
      <c r="B7" s="279" t="s">
        <v>191</v>
      </c>
      <c r="C7" s="283">
        <f>'Attachment GG Rev 2'!$E$73*2</f>
        <v>14145637.400000004</v>
      </c>
      <c r="D7" s="283">
        <f>C7*0.5</f>
        <v>7072818.700000002</v>
      </c>
      <c r="E7" s="283">
        <f>ROUND(C7-D7,0)</f>
        <v>7072819</v>
      </c>
    </row>
    <row r="8" spans="1:5">
      <c r="A8" s="279" t="s">
        <v>271</v>
      </c>
      <c r="B8" s="279" t="s">
        <v>192</v>
      </c>
      <c r="C8" s="283">
        <f>'Attachment GG Rev 2'!$E$74*2</f>
        <v>6975795.0199999968</v>
      </c>
      <c r="D8" s="283">
        <f>C8*0.5</f>
        <v>3487897.5099999984</v>
      </c>
      <c r="E8" s="283">
        <f t="shared" ref="E8:E23" si="0">ROUND(C8-D8,0)</f>
        <v>3487898</v>
      </c>
    </row>
    <row r="9" spans="1:5">
      <c r="A9" s="279" t="s">
        <v>272</v>
      </c>
      <c r="B9" s="279" t="s">
        <v>193</v>
      </c>
      <c r="C9" s="283">
        <f>'Attachment GG Rev 2'!$E$75*2</f>
        <v>8924590.5</v>
      </c>
      <c r="D9" s="283">
        <f>C9*0.5</f>
        <v>4462295.25</v>
      </c>
      <c r="E9" s="283">
        <f t="shared" si="0"/>
        <v>4462295</v>
      </c>
    </row>
    <row r="10" spans="1:5">
      <c r="A10" s="279" t="s">
        <v>273</v>
      </c>
      <c r="B10" s="279" t="s">
        <v>194</v>
      </c>
      <c r="C10" s="283">
        <f>'Attachment GG Rev 2'!$E$76</f>
        <v>7706681.2699999968</v>
      </c>
      <c r="D10" s="283"/>
      <c r="E10" s="283">
        <f t="shared" si="0"/>
        <v>7706681</v>
      </c>
    </row>
    <row r="11" spans="1:5">
      <c r="A11" s="279" t="s">
        <v>274</v>
      </c>
      <c r="B11" s="279" t="s">
        <v>283</v>
      </c>
      <c r="C11" s="351">
        <f>'Attachment GG Rev 2'!$E$77</f>
        <v>29911878.143377006</v>
      </c>
      <c r="D11" s="283"/>
      <c r="E11" s="283">
        <f t="shared" si="0"/>
        <v>29911878</v>
      </c>
    </row>
    <row r="12" spans="1:5">
      <c r="A12" s="279" t="s">
        <v>333</v>
      </c>
      <c r="B12" s="284" t="s">
        <v>284</v>
      </c>
      <c r="C12" s="351">
        <f>'Attachment GG Rev 2'!$E$78</f>
        <v>195806222.04488787</v>
      </c>
      <c r="D12" s="283"/>
      <c r="E12" s="283">
        <f t="shared" si="0"/>
        <v>195806222</v>
      </c>
    </row>
    <row r="13" spans="1:5">
      <c r="A13" s="279" t="s">
        <v>334</v>
      </c>
      <c r="B13" s="284" t="s">
        <v>285</v>
      </c>
      <c r="C13" s="351">
        <f>'Attachment GG Rev 2'!$E$79</f>
        <v>195171342.90505332</v>
      </c>
      <c r="D13" s="283"/>
      <c r="E13" s="283">
        <f t="shared" si="0"/>
        <v>195171343</v>
      </c>
    </row>
    <row r="14" spans="1:5">
      <c r="A14" s="279" t="s">
        <v>275</v>
      </c>
      <c r="B14" s="279" t="s">
        <v>214</v>
      </c>
      <c r="C14" s="351">
        <f>'Attachment GG Rev 2'!$E$80</f>
        <v>468201.80999999988</v>
      </c>
      <c r="D14" s="283"/>
      <c r="E14" s="283">
        <f t="shared" si="0"/>
        <v>468202</v>
      </c>
    </row>
    <row r="15" spans="1:5">
      <c r="A15" s="279" t="s">
        <v>276</v>
      </c>
      <c r="B15" s="279" t="s">
        <v>215</v>
      </c>
      <c r="C15" s="351">
        <f>'Attachment GG Rev 2'!$E$81</f>
        <v>127736.33000000002</v>
      </c>
      <c r="D15" s="283"/>
      <c r="E15" s="283">
        <f t="shared" si="0"/>
        <v>127736</v>
      </c>
    </row>
    <row r="16" spans="1:5">
      <c r="A16" s="279" t="s">
        <v>277</v>
      </c>
      <c r="B16" s="279" t="s">
        <v>244</v>
      </c>
      <c r="C16" s="351">
        <f>'Attachment GG Rev 2'!$E$82</f>
        <v>47486.63</v>
      </c>
      <c r="D16" s="283"/>
      <c r="E16" s="283">
        <f t="shared" si="0"/>
        <v>47487</v>
      </c>
    </row>
    <row r="17" spans="1:5">
      <c r="A17" s="279" t="s">
        <v>278</v>
      </c>
      <c r="B17" s="279" t="s">
        <v>245</v>
      </c>
      <c r="C17" s="351">
        <f>'Attachment GG Rev 2'!$E$83</f>
        <v>230828.43999999997</v>
      </c>
      <c r="D17" s="283"/>
      <c r="E17" s="283">
        <f t="shared" si="0"/>
        <v>230828</v>
      </c>
    </row>
    <row r="18" spans="1:5">
      <c r="A18" s="279" t="s">
        <v>279</v>
      </c>
      <c r="B18" s="279" t="s">
        <v>246</v>
      </c>
      <c r="C18" s="351">
        <f>'Attachment GG Rev 2'!$E$84</f>
        <v>3892128.07</v>
      </c>
      <c r="D18" s="283"/>
      <c r="E18" s="283">
        <f t="shared" si="0"/>
        <v>3892128</v>
      </c>
    </row>
    <row r="19" spans="1:5">
      <c r="A19" s="279" t="s">
        <v>280</v>
      </c>
      <c r="B19" s="279" t="s">
        <v>247</v>
      </c>
      <c r="C19" s="351">
        <f>'Attachment GG Rev 2'!$E$85</f>
        <v>20367745.75</v>
      </c>
      <c r="D19" s="283"/>
      <c r="E19" s="283">
        <f t="shared" si="0"/>
        <v>20367746</v>
      </c>
    </row>
    <row r="20" spans="1:5">
      <c r="A20" s="279" t="s">
        <v>281</v>
      </c>
      <c r="B20" s="279" t="s">
        <v>286</v>
      </c>
      <c r="C20" s="351">
        <f>'Attachment GG Rev 2'!$E$87</f>
        <v>14007218.510769231</v>
      </c>
      <c r="D20" s="283"/>
      <c r="E20" s="283">
        <f t="shared" si="0"/>
        <v>14007219</v>
      </c>
    </row>
    <row r="21" spans="1:5">
      <c r="A21" s="279" t="s">
        <v>282</v>
      </c>
      <c r="B21" s="279" t="s">
        <v>287</v>
      </c>
      <c r="C21" s="351">
        <f>'Attachment GG Rev 2'!$E$88</f>
        <v>12040182.021538462</v>
      </c>
      <c r="D21" s="283"/>
      <c r="E21" s="283">
        <f t="shared" si="0"/>
        <v>12040182</v>
      </c>
    </row>
    <row r="22" spans="1:5">
      <c r="A22" s="409" t="s">
        <v>292</v>
      </c>
      <c r="B22" s="279" t="s">
        <v>293</v>
      </c>
      <c r="C22" s="351">
        <f>'Attachment GG Rev 2'!$E$86</f>
        <v>309681</v>
      </c>
      <c r="D22" s="283"/>
      <c r="E22" s="283">
        <f t="shared" si="0"/>
        <v>309681</v>
      </c>
    </row>
    <row r="23" spans="1:5">
      <c r="A23" s="409" t="s">
        <v>376</v>
      </c>
      <c r="B23" s="279" t="s">
        <v>377</v>
      </c>
      <c r="C23" s="351">
        <f>'Attachment GG Rev 2'!$E$89</f>
        <v>3221875.7984615387</v>
      </c>
      <c r="D23" s="283"/>
      <c r="E23" s="283">
        <f t="shared" si="0"/>
        <v>3221876</v>
      </c>
    </row>
    <row r="25" spans="1:5">
      <c r="A25" s="279" t="s">
        <v>23</v>
      </c>
      <c r="C25" s="283"/>
      <c r="D25" s="283"/>
      <c r="E25" s="285">
        <f>SUM(E7:E24)</f>
        <v>498332221</v>
      </c>
    </row>
    <row r="27" spans="1:5">
      <c r="D27" s="279" t="s">
        <v>249</v>
      </c>
      <c r="E27" s="283">
        <f>E25-'GG and MM Proj with CWIP Rev 2'!O75-'GG and MM Proj with CWIP Rev 2'!O80-'GG and MM Proj with CWIP Rev 2'!O85</f>
        <v>385393290.59048557</v>
      </c>
    </row>
    <row r="28" spans="1:5">
      <c r="D28" s="279" t="s">
        <v>378</v>
      </c>
      <c r="E28" s="283">
        <f>'GG and MM Proj with CWIP Rev 2'!O75+'GG and MM Proj with CWIP Rev 2'!O80+'GG and MM Proj with CWIP Rev 2'!O85</f>
        <v>112938930.40951447</v>
      </c>
    </row>
    <row r="31" spans="1:5">
      <c r="A31" s="122" t="s">
        <v>241</v>
      </c>
      <c r="E31" s="48" t="str">
        <f>E1</f>
        <v>2015 Workpapers</v>
      </c>
    </row>
    <row r="33" spans="1:5">
      <c r="A33" s="409" t="s">
        <v>288</v>
      </c>
      <c r="B33" s="279" t="s">
        <v>240</v>
      </c>
      <c r="C33" s="283">
        <f>'GG and MM Proj with CWIP Rev 2'!O91</f>
        <v>14894946.495279441</v>
      </c>
      <c r="E33" s="283">
        <f>ROUND(C33-D33,0)</f>
        <v>14894946</v>
      </c>
    </row>
    <row r="34" spans="1:5">
      <c r="A34" s="409" t="s">
        <v>288</v>
      </c>
      <c r="B34" s="279" t="s">
        <v>289</v>
      </c>
      <c r="C34" s="283">
        <f>'GG and MM Proj with CWIP Rev 2'!O92</f>
        <v>398212115.45294708</v>
      </c>
      <c r="E34" s="283">
        <f>ROUND(C34-D34,0)</f>
        <v>398212115</v>
      </c>
    </row>
    <row r="35" spans="1:5">
      <c r="E35" s="283"/>
    </row>
    <row r="36" spans="1:5">
      <c r="A36" s="279" t="s">
        <v>23</v>
      </c>
      <c r="E36" s="285">
        <f>SUM(E33:E35)</f>
        <v>413107061</v>
      </c>
    </row>
    <row r="38" spans="1:5">
      <c r="D38" s="279" t="s">
        <v>249</v>
      </c>
      <c r="E38" s="283">
        <f>E34</f>
        <v>398212115</v>
      </c>
    </row>
    <row r="39" spans="1:5">
      <c r="D39" s="279" t="s">
        <v>378</v>
      </c>
      <c r="E39" s="283">
        <f>E33</f>
        <v>14894946</v>
      </c>
    </row>
    <row r="41" spans="1:5">
      <c r="A41" s="279" t="s">
        <v>332</v>
      </c>
      <c r="D41" s="279" t="s">
        <v>331</v>
      </c>
      <c r="E41" s="283">
        <f>E27+E38</f>
        <v>783605405.59048557</v>
      </c>
    </row>
    <row r="42" spans="1:5">
      <c r="D42" s="19" t="s">
        <v>1176</v>
      </c>
      <c r="E42" s="283">
        <f>-'GG and MM Proj with CWIP Rev 2'!O6+-'GG and MM Proj with CWIP Rev 2'!O34+-'GG and MM Proj with CWIP Rev 2'!O47+-'GG and MM Proj with CWIP Rev 2'!O62</f>
        <v>52143703.869770534</v>
      </c>
    </row>
    <row r="43" spans="1:5">
      <c r="D43" s="19" t="s">
        <v>1177</v>
      </c>
      <c r="E43" s="285">
        <f>E41+E42</f>
        <v>835749109.4602561</v>
      </c>
    </row>
  </sheetData>
  <phoneticPr fontId="13"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U307"/>
  <sheetViews>
    <sheetView showGridLines="0" topLeftCell="A67" zoomScale="80" zoomScaleNormal="80" workbookViewId="0">
      <selection activeCell="N95" sqref="N95"/>
    </sheetView>
  </sheetViews>
  <sheetFormatPr defaultRowHeight="15"/>
  <cols>
    <col min="1" max="1" width="6" style="711" customWidth="1"/>
    <col min="2" max="2" width="1.44140625" style="711" customWidth="1"/>
    <col min="3" max="3" width="39.109375" style="711" customWidth="1"/>
    <col min="4" max="4" width="12" style="711" customWidth="1"/>
    <col min="5" max="5" width="14.44140625" style="711" customWidth="1"/>
    <col min="6" max="6" width="11.88671875" style="711" customWidth="1"/>
    <col min="7" max="7" width="14.109375" style="711" customWidth="1"/>
    <col min="8" max="8" width="13.88671875" style="711" customWidth="1"/>
    <col min="9" max="10" width="12.77734375" style="711" customWidth="1"/>
    <col min="11" max="11" width="13.5546875" style="711" customWidth="1"/>
    <col min="12" max="12" width="16" style="711" customWidth="1"/>
    <col min="13" max="13" width="12.77734375" style="711" customWidth="1"/>
    <col min="14" max="14" width="13.88671875" style="711" customWidth="1"/>
    <col min="15" max="15" width="1.88671875" style="711" customWidth="1"/>
    <col min="16" max="16" width="13" style="711" customWidth="1"/>
    <col min="17" max="16384" width="8.88671875" style="711"/>
  </cols>
  <sheetData>
    <row r="1" spans="1:18">
      <c r="N1" s="712"/>
    </row>
    <row r="2" spans="1:18">
      <c r="N2" s="712"/>
    </row>
    <row r="4" spans="1:18">
      <c r="N4" s="712" t="s">
        <v>785</v>
      </c>
    </row>
    <row r="5" spans="1:18">
      <c r="C5" s="713" t="s">
        <v>786</v>
      </c>
      <c r="D5" s="713"/>
      <c r="E5" s="713"/>
      <c r="F5" s="713"/>
      <c r="G5" s="714" t="s">
        <v>382</v>
      </c>
      <c r="H5" s="713"/>
      <c r="I5" s="713"/>
      <c r="J5" s="713"/>
      <c r="K5" s="715"/>
      <c r="M5" s="716"/>
      <c r="N5" s="717" t="s">
        <v>787</v>
      </c>
      <c r="O5" s="716"/>
      <c r="P5" s="718"/>
      <c r="Q5" s="718"/>
      <c r="R5" s="716"/>
    </row>
    <row r="6" spans="1:18">
      <c r="C6" s="713"/>
      <c r="D6" s="713"/>
      <c r="E6" s="719" t="s">
        <v>5</v>
      </c>
      <c r="F6" s="719"/>
      <c r="G6" s="719" t="s">
        <v>788</v>
      </c>
      <c r="H6" s="719"/>
      <c r="I6" s="719"/>
      <c r="J6" s="719"/>
      <c r="K6" s="715"/>
      <c r="M6" s="716"/>
      <c r="N6" s="715"/>
      <c r="O6" s="716"/>
      <c r="P6" s="720"/>
      <c r="Q6" s="718"/>
      <c r="R6" s="716"/>
    </row>
    <row r="7" spans="1:18">
      <c r="C7" s="716"/>
      <c r="D7" s="716"/>
      <c r="E7" s="716"/>
      <c r="F7" s="716"/>
      <c r="G7" s="716"/>
      <c r="H7" s="716"/>
      <c r="I7" s="716"/>
      <c r="J7" s="716"/>
      <c r="K7" s="716"/>
      <c r="M7" s="716"/>
      <c r="N7" s="716" t="s">
        <v>789</v>
      </c>
      <c r="O7" s="716"/>
      <c r="P7" s="718"/>
      <c r="Q7" s="718"/>
      <c r="R7" s="716"/>
    </row>
    <row r="8" spans="1:18">
      <c r="A8" s="721"/>
      <c r="C8" s="716"/>
      <c r="D8" s="716"/>
      <c r="E8" s="716"/>
      <c r="F8" s="722"/>
      <c r="G8" s="723" t="s">
        <v>385</v>
      </c>
      <c r="H8" s="722"/>
      <c r="I8" s="716"/>
      <c r="J8" s="716"/>
      <c r="K8" s="716"/>
      <c r="L8" s="716"/>
      <c r="M8" s="716"/>
      <c r="N8" s="716"/>
      <c r="O8" s="716"/>
      <c r="P8" s="718"/>
      <c r="Q8" s="718"/>
      <c r="R8" s="716"/>
    </row>
    <row r="9" spans="1:18">
      <c r="A9" s="721"/>
      <c r="C9" s="716"/>
      <c r="D9" s="716"/>
      <c r="E9" s="716"/>
      <c r="F9" s="716"/>
      <c r="G9" s="724"/>
      <c r="H9" s="716"/>
      <c r="I9" s="716"/>
      <c r="J9" s="716"/>
      <c r="K9" s="716"/>
      <c r="L9" s="716"/>
      <c r="M9" s="716"/>
      <c r="N9" s="716"/>
      <c r="O9" s="716"/>
      <c r="P9" s="718"/>
      <c r="Q9" s="718"/>
      <c r="R9" s="716"/>
    </row>
    <row r="10" spans="1:18">
      <c r="A10" s="721"/>
      <c r="C10" s="716" t="s">
        <v>790</v>
      </c>
      <c r="D10" s="716"/>
      <c r="E10" s="716"/>
      <c r="F10" s="716"/>
      <c r="G10" s="724"/>
      <c r="H10" s="716"/>
      <c r="I10" s="716"/>
      <c r="J10" s="716"/>
      <c r="K10" s="716"/>
      <c r="L10" s="716"/>
      <c r="M10" s="716"/>
      <c r="N10" s="716"/>
      <c r="O10" s="716"/>
      <c r="P10" s="718"/>
      <c r="Q10" s="718"/>
      <c r="R10" s="716"/>
    </row>
    <row r="11" spans="1:18">
      <c r="A11" s="721"/>
      <c r="C11" s="716"/>
      <c r="D11" s="716"/>
      <c r="E11" s="716"/>
      <c r="F11" s="716"/>
      <c r="G11" s="724"/>
      <c r="L11" s="716"/>
      <c r="M11" s="716"/>
      <c r="N11" s="716"/>
      <c r="O11" s="716"/>
      <c r="P11" s="716"/>
      <c r="Q11" s="716"/>
      <c r="R11" s="716"/>
    </row>
    <row r="12" spans="1:18">
      <c r="A12" s="721"/>
      <c r="C12" s="716"/>
      <c r="D12" s="716"/>
      <c r="E12" s="716"/>
      <c r="F12" s="716"/>
      <c r="G12" s="716"/>
      <c r="L12" s="725"/>
      <c r="M12" s="716"/>
      <c r="N12" s="716"/>
      <c r="O12" s="716"/>
      <c r="P12" s="716"/>
      <c r="Q12" s="716"/>
      <c r="R12" s="716"/>
    </row>
    <row r="13" spans="1:18">
      <c r="C13" s="726" t="s">
        <v>459</v>
      </c>
      <c r="D13" s="726"/>
      <c r="E13" s="726" t="s">
        <v>460</v>
      </c>
      <c r="F13" s="726"/>
      <c r="G13" s="726" t="s">
        <v>461</v>
      </c>
      <c r="L13" s="727" t="s">
        <v>462</v>
      </c>
      <c r="M13" s="719"/>
      <c r="N13" s="727"/>
      <c r="O13" s="719"/>
      <c r="P13" s="727"/>
      <c r="Q13" s="719"/>
      <c r="R13" s="728"/>
    </row>
    <row r="14" spans="1:18" ht="15.75">
      <c r="C14" s="728"/>
      <c r="D14" s="728"/>
      <c r="E14" s="729" t="s">
        <v>159</v>
      </c>
      <c r="F14" s="729"/>
      <c r="G14" s="719"/>
      <c r="M14" s="719"/>
      <c r="O14" s="719"/>
      <c r="P14" s="726"/>
      <c r="Q14" s="726"/>
      <c r="R14" s="728"/>
    </row>
    <row r="15" spans="1:18" ht="15.75">
      <c r="A15" s="721" t="s">
        <v>46</v>
      </c>
      <c r="C15" s="728"/>
      <c r="D15" s="728"/>
      <c r="E15" s="730" t="s">
        <v>467</v>
      </c>
      <c r="F15" s="730"/>
      <c r="G15" s="731" t="s">
        <v>24</v>
      </c>
      <c r="L15" s="731" t="s">
        <v>391</v>
      </c>
      <c r="M15" s="719"/>
      <c r="O15" s="716"/>
      <c r="P15" s="732"/>
      <c r="Q15" s="726"/>
      <c r="R15" s="728"/>
    </row>
    <row r="16" spans="1:18" ht="15.75">
      <c r="A16" s="721" t="s">
        <v>22</v>
      </c>
      <c r="C16" s="733"/>
      <c r="D16" s="733"/>
      <c r="E16" s="719"/>
      <c r="F16" s="719"/>
      <c r="G16" s="719"/>
      <c r="J16" s="734"/>
      <c r="L16" s="719"/>
      <c r="M16" s="719"/>
      <c r="N16" s="719"/>
      <c r="O16" s="716"/>
      <c r="P16" s="719"/>
      <c r="Q16" s="719"/>
      <c r="R16" s="728"/>
    </row>
    <row r="17" spans="1:18" ht="15.75">
      <c r="A17" s="735"/>
      <c r="C17" s="728"/>
      <c r="D17" s="728"/>
      <c r="E17" s="719"/>
      <c r="F17" s="719"/>
      <c r="G17" s="719"/>
      <c r="L17" s="719"/>
      <c r="M17" s="719"/>
      <c r="N17" s="719"/>
      <c r="O17" s="716"/>
      <c r="P17" s="719"/>
      <c r="Q17" s="719"/>
      <c r="R17" s="728"/>
    </row>
    <row r="18" spans="1:18">
      <c r="A18" s="736">
        <v>1</v>
      </c>
      <c r="C18" s="728" t="s">
        <v>791</v>
      </c>
      <c r="D18" s="728"/>
      <c r="E18" s="736" t="s">
        <v>792</v>
      </c>
      <c r="F18" s="736"/>
      <c r="G18" s="737">
        <f>'Attachment O Rev 2'!I87+'Attachment O Rev 2'!I109+'Attachment O Rev 2'!I117</f>
        <v>3986587202.615891</v>
      </c>
      <c r="M18" s="719"/>
      <c r="N18" s="719"/>
      <c r="O18" s="716"/>
      <c r="P18" s="719"/>
      <c r="Q18" s="719"/>
      <c r="R18" s="728"/>
    </row>
    <row r="19" spans="1:18">
      <c r="A19" s="736">
        <v>2</v>
      </c>
      <c r="C19" s="728" t="s">
        <v>793</v>
      </c>
      <c r="D19" s="728"/>
      <c r="E19" s="736" t="s">
        <v>794</v>
      </c>
      <c r="F19" s="736"/>
      <c r="G19" s="737">
        <f>'Attachment O Rev 2'!I103+'Attachment O Rev 2'!I117+'Attachment O Rev 2'!I109</f>
        <v>3044781228.5507798</v>
      </c>
      <c r="M19" s="719"/>
      <c r="N19" s="719"/>
      <c r="O19" s="716"/>
      <c r="P19" s="719"/>
      <c r="Q19" s="719"/>
      <c r="R19" s="728"/>
    </row>
    <row r="20" spans="1:18">
      <c r="A20" s="736"/>
      <c r="E20" s="736"/>
      <c r="F20" s="736"/>
      <c r="M20" s="719"/>
      <c r="N20" s="719"/>
      <c r="O20" s="716"/>
      <c r="P20" s="719"/>
      <c r="Q20" s="719"/>
      <c r="R20" s="728"/>
    </row>
    <row r="21" spans="1:18">
      <c r="A21" s="736"/>
      <c r="C21" s="728" t="s">
        <v>795</v>
      </c>
      <c r="D21" s="728"/>
      <c r="E21" s="736"/>
      <c r="F21" s="736"/>
      <c r="G21" s="719"/>
      <c r="L21" s="719"/>
      <c r="M21" s="719"/>
      <c r="N21" s="719"/>
      <c r="O21" s="719"/>
      <c r="P21" s="719"/>
      <c r="Q21" s="719"/>
      <c r="R21" s="728"/>
    </row>
    <row r="22" spans="1:18">
      <c r="A22" s="736">
        <v>3</v>
      </c>
      <c r="C22" s="728" t="s">
        <v>796</v>
      </c>
      <c r="D22" s="728"/>
      <c r="E22" s="736" t="s">
        <v>797</v>
      </c>
      <c r="F22" s="736"/>
      <c r="G22" s="737">
        <f>'Attachment O Rev 2'!I167</f>
        <v>70511314.473062351</v>
      </c>
      <c r="M22" s="719"/>
      <c r="N22" s="719"/>
      <c r="O22" s="719"/>
      <c r="P22" s="719"/>
      <c r="Q22" s="719"/>
      <c r="R22" s="728"/>
    </row>
    <row r="23" spans="1:18" ht="15.75">
      <c r="A23" s="736">
        <v>4</v>
      </c>
      <c r="C23" s="728" t="s">
        <v>798</v>
      </c>
      <c r="D23" s="728"/>
      <c r="E23" s="736" t="s">
        <v>799</v>
      </c>
      <c r="F23" s="736"/>
      <c r="G23" s="738">
        <f>IF(G22=0,0,G22/G18)</f>
        <v>1.7687137114872273E-2</v>
      </c>
      <c r="L23" s="739">
        <f>G23</f>
        <v>1.7687137114872273E-2</v>
      </c>
      <c r="M23" s="719"/>
      <c r="N23" s="740"/>
      <c r="O23" s="741"/>
      <c r="P23" s="742"/>
      <c r="Q23" s="719"/>
      <c r="R23" s="728"/>
    </row>
    <row r="24" spans="1:18" ht="15.75">
      <c r="A24" s="736"/>
      <c r="C24" s="728"/>
      <c r="D24" s="728"/>
      <c r="E24" s="736"/>
      <c r="F24" s="736"/>
      <c r="G24" s="738"/>
      <c r="L24" s="739"/>
      <c r="M24" s="719"/>
      <c r="N24" s="740"/>
      <c r="O24" s="741"/>
      <c r="P24" s="742"/>
      <c r="Q24" s="719"/>
      <c r="R24" s="728"/>
    </row>
    <row r="25" spans="1:18" ht="15.75">
      <c r="A25" s="727"/>
      <c r="C25" s="728" t="s">
        <v>800</v>
      </c>
      <c r="D25" s="728"/>
      <c r="E25" s="743"/>
      <c r="F25" s="743"/>
      <c r="G25" s="719"/>
      <c r="L25" s="719"/>
      <c r="M25" s="719"/>
      <c r="N25" s="740"/>
      <c r="O25" s="741"/>
      <c r="P25" s="742"/>
      <c r="Q25" s="719"/>
      <c r="R25" s="728"/>
    </row>
    <row r="26" spans="1:18" ht="15.75">
      <c r="A26" s="727" t="s">
        <v>801</v>
      </c>
      <c r="C26" s="728" t="s">
        <v>802</v>
      </c>
      <c r="D26" s="728"/>
      <c r="E26" s="736" t="s">
        <v>803</v>
      </c>
      <c r="F26" s="736"/>
      <c r="G26" s="737">
        <f>'Attachment O Rev 2'!I173+'Attachment O Rev 2'!I174</f>
        <v>5681650.5562180094</v>
      </c>
      <c r="M26" s="719"/>
      <c r="N26" s="740"/>
      <c r="O26" s="741"/>
      <c r="P26" s="742"/>
      <c r="Q26" s="719"/>
      <c r="R26" s="728"/>
    </row>
    <row r="27" spans="1:18" ht="15.75">
      <c r="A27" s="727" t="s">
        <v>804</v>
      </c>
      <c r="C27" s="728" t="s">
        <v>805</v>
      </c>
      <c r="D27" s="728"/>
      <c r="E27" s="736" t="s">
        <v>806</v>
      </c>
      <c r="F27" s="736"/>
      <c r="G27" s="738">
        <f>IF(G26=0,0,G26/G18)</f>
        <v>1.4251915905639449E-3</v>
      </c>
      <c r="L27" s="739">
        <f>G27</f>
        <v>1.4251915905639449E-3</v>
      </c>
      <c r="M27" s="719"/>
      <c r="N27" s="740"/>
      <c r="O27" s="741"/>
      <c r="P27" s="742"/>
      <c r="Q27" s="719"/>
      <c r="R27" s="728"/>
    </row>
    <row r="28" spans="1:18" ht="15.75">
      <c r="A28" s="736"/>
      <c r="C28" s="728"/>
      <c r="D28" s="728"/>
      <c r="E28" s="736"/>
      <c r="F28" s="736"/>
      <c r="G28" s="738"/>
      <c r="L28" s="739"/>
      <c r="M28" s="719"/>
      <c r="N28" s="740"/>
      <c r="O28" s="741"/>
      <c r="P28" s="742"/>
      <c r="Q28" s="719"/>
      <c r="R28" s="728"/>
    </row>
    <row r="29" spans="1:18">
      <c r="A29" s="727"/>
      <c r="C29" s="728" t="s">
        <v>807</v>
      </c>
      <c r="D29" s="728"/>
      <c r="E29" s="743"/>
      <c r="F29" s="743"/>
      <c r="G29" s="719"/>
      <c r="L29" s="719"/>
      <c r="M29" s="719"/>
      <c r="N29" s="719"/>
      <c r="O29" s="719"/>
      <c r="P29" s="719"/>
      <c r="Q29" s="719"/>
      <c r="R29" s="728"/>
    </row>
    <row r="30" spans="1:18" ht="15.75">
      <c r="A30" s="727" t="s">
        <v>808</v>
      </c>
      <c r="C30" s="728" t="s">
        <v>809</v>
      </c>
      <c r="D30" s="728"/>
      <c r="E30" s="736" t="s">
        <v>810</v>
      </c>
      <c r="F30" s="736"/>
      <c r="G30" s="737">
        <f>'Attachment O Rev 2'!I186</f>
        <v>47835402.191161543</v>
      </c>
      <c r="M30" s="719"/>
      <c r="N30" s="732"/>
      <c r="O30" s="719"/>
      <c r="P30" s="736"/>
      <c r="Q30" s="726"/>
      <c r="R30" s="728"/>
    </row>
    <row r="31" spans="1:18" ht="15.75">
      <c r="A31" s="727" t="s">
        <v>811</v>
      </c>
      <c r="C31" s="728" t="s">
        <v>812</v>
      </c>
      <c r="D31" s="728"/>
      <c r="E31" s="736" t="s">
        <v>813</v>
      </c>
      <c r="F31" s="736"/>
      <c r="G31" s="738">
        <f>IF(G30=0,0,G30/G18)</f>
        <v>1.199908587469835E-2</v>
      </c>
      <c r="L31" s="739">
        <f>G31</f>
        <v>1.199908587469835E-2</v>
      </c>
      <c r="M31" s="719"/>
      <c r="N31" s="740"/>
      <c r="O31" s="719"/>
      <c r="P31" s="742"/>
      <c r="Q31" s="726"/>
      <c r="R31" s="728"/>
    </row>
    <row r="32" spans="1:18">
      <c r="A32" s="727"/>
      <c r="C32" s="728"/>
      <c r="D32" s="728"/>
      <c r="E32" s="736"/>
      <c r="F32" s="736"/>
      <c r="G32" s="719"/>
      <c r="L32" s="719"/>
      <c r="M32" s="719"/>
      <c r="Q32" s="719"/>
      <c r="R32" s="728"/>
    </row>
    <row r="33" spans="1:18" ht="15.75">
      <c r="A33" s="744" t="s">
        <v>814</v>
      </c>
      <c r="B33" s="745"/>
      <c r="C33" s="733" t="s">
        <v>815</v>
      </c>
      <c r="D33" s="733"/>
      <c r="E33" s="729" t="s">
        <v>816</v>
      </c>
      <c r="F33" s="729"/>
      <c r="G33" s="741"/>
      <c r="L33" s="746">
        <f>L23+L27+L31</f>
        <v>3.1111414580134569E-2</v>
      </c>
      <c r="M33" s="719"/>
      <c r="Q33" s="719"/>
      <c r="R33" s="728"/>
    </row>
    <row r="34" spans="1:18">
      <c r="A34" s="727"/>
      <c r="C34" s="728"/>
      <c r="D34" s="728"/>
      <c r="E34" s="736"/>
      <c r="F34" s="736"/>
      <c r="G34" s="719"/>
      <c r="L34" s="719"/>
      <c r="M34" s="719"/>
      <c r="N34" s="719"/>
      <c r="O34" s="719"/>
      <c r="P34" s="747"/>
      <c r="Q34" s="719"/>
      <c r="R34" s="728"/>
    </row>
    <row r="35" spans="1:18">
      <c r="A35" s="727"/>
      <c r="B35" s="748"/>
      <c r="C35" s="719" t="s">
        <v>817</v>
      </c>
      <c r="D35" s="719"/>
      <c r="E35" s="736"/>
      <c r="F35" s="736"/>
      <c r="G35" s="719"/>
      <c r="L35" s="719"/>
      <c r="M35" s="749"/>
      <c r="N35" s="748"/>
      <c r="Q35" s="726"/>
      <c r="R35" s="719" t="s">
        <v>5</v>
      </c>
    </row>
    <row r="36" spans="1:18">
      <c r="A36" s="727" t="s">
        <v>818</v>
      </c>
      <c r="B36" s="748"/>
      <c r="C36" s="719" t="s">
        <v>588</v>
      </c>
      <c r="D36" s="719"/>
      <c r="E36" s="736" t="s">
        <v>819</v>
      </c>
      <c r="F36" s="736"/>
      <c r="G36" s="737">
        <f>'Attachment O Rev 2'!I198</f>
        <v>111716427.22993058</v>
      </c>
      <c r="L36" s="719"/>
      <c r="M36" s="749"/>
      <c r="N36" s="748"/>
      <c r="Q36" s="726"/>
      <c r="R36" s="719"/>
    </row>
    <row r="37" spans="1:18">
      <c r="A37" s="727" t="s">
        <v>820</v>
      </c>
      <c r="B37" s="748"/>
      <c r="C37" s="719" t="s">
        <v>821</v>
      </c>
      <c r="D37" s="719"/>
      <c r="E37" s="736" t="s">
        <v>822</v>
      </c>
      <c r="F37" s="736"/>
      <c r="G37" s="738">
        <f>IF(G36=0,0,G36/G19)</f>
        <v>3.6691117963540548E-2</v>
      </c>
      <c r="L37" s="739">
        <f>G37</f>
        <v>3.6691117963540548E-2</v>
      </c>
      <c r="M37" s="749"/>
      <c r="N37" s="748"/>
      <c r="O37" s="719"/>
      <c r="P37" s="719"/>
      <c r="Q37" s="726"/>
      <c r="R37" s="719"/>
    </row>
    <row r="38" spans="1:18">
      <c r="A38" s="727"/>
      <c r="C38" s="719"/>
      <c r="D38" s="719"/>
      <c r="E38" s="736"/>
      <c r="F38" s="736"/>
      <c r="G38" s="719"/>
      <c r="L38" s="719"/>
      <c r="M38" s="719"/>
      <c r="O38" s="716"/>
      <c r="P38" s="719"/>
      <c r="Q38" s="716"/>
      <c r="R38" s="728"/>
    </row>
    <row r="39" spans="1:18">
      <c r="A39" s="727"/>
      <c r="C39" s="728" t="s">
        <v>590</v>
      </c>
      <c r="D39" s="728"/>
      <c r="E39" s="750"/>
      <c r="F39" s="750"/>
      <c r="M39" s="719"/>
      <c r="O39" s="719"/>
      <c r="P39" s="719"/>
      <c r="Q39" s="719"/>
      <c r="R39" s="728"/>
    </row>
    <row r="40" spans="1:18">
      <c r="A40" s="727" t="s">
        <v>823</v>
      </c>
      <c r="C40" s="728" t="s">
        <v>824</v>
      </c>
      <c r="D40" s="728"/>
      <c r="E40" s="736" t="s">
        <v>825</v>
      </c>
      <c r="F40" s="736"/>
      <c r="G40" s="737">
        <f>'Attachment O Rev 2'!I200</f>
        <v>221202521.56809095</v>
      </c>
      <c r="L40" s="719"/>
      <c r="M40" s="719"/>
      <c r="O40" s="719"/>
      <c r="P40" s="719"/>
      <c r="Q40" s="719"/>
      <c r="R40" s="728"/>
    </row>
    <row r="41" spans="1:18">
      <c r="A41" s="727" t="s">
        <v>826</v>
      </c>
      <c r="B41" s="748"/>
      <c r="C41" s="719" t="s">
        <v>827</v>
      </c>
      <c r="D41" s="719"/>
      <c r="E41" s="736" t="s">
        <v>828</v>
      </c>
      <c r="F41" s="736"/>
      <c r="G41" s="739">
        <f>IF(G40=0,0,G40/G19)</f>
        <v>7.2649725863350903E-2</v>
      </c>
      <c r="L41" s="739">
        <f>G41</f>
        <v>7.2649725863350903E-2</v>
      </c>
      <c r="M41" s="719"/>
      <c r="P41" s="751"/>
      <c r="Q41" s="726"/>
      <c r="R41" s="719"/>
    </row>
    <row r="42" spans="1:18">
      <c r="A42" s="727"/>
      <c r="C42" s="728"/>
      <c r="D42" s="728"/>
      <c r="E42" s="736"/>
      <c r="F42" s="736"/>
      <c r="G42" s="719"/>
      <c r="L42" s="719"/>
      <c r="M42" s="719"/>
      <c r="N42" s="750"/>
      <c r="O42" s="719"/>
      <c r="P42" s="719"/>
      <c r="Q42" s="719"/>
      <c r="R42" s="728"/>
    </row>
    <row r="43" spans="1:18" ht="15.75">
      <c r="A43" s="744" t="s">
        <v>829</v>
      </c>
      <c r="B43" s="745"/>
      <c r="C43" s="733" t="s">
        <v>830</v>
      </c>
      <c r="D43" s="733"/>
      <c r="E43" s="729" t="s">
        <v>831</v>
      </c>
      <c r="F43" s="729"/>
      <c r="G43" s="741"/>
      <c r="L43" s="746">
        <f>L37+L41</f>
        <v>0.10934084382689145</v>
      </c>
      <c r="M43" s="719"/>
      <c r="N43" s="750"/>
      <c r="O43" s="719"/>
      <c r="P43" s="719"/>
      <c r="Q43" s="719"/>
      <c r="R43" s="728"/>
    </row>
    <row r="44" spans="1:18">
      <c r="M44" s="752"/>
      <c r="N44" s="752"/>
      <c r="O44" s="719"/>
      <c r="P44" s="719"/>
      <c r="Q44" s="719"/>
      <c r="R44" s="728"/>
    </row>
    <row r="45" spans="1:18">
      <c r="M45" s="752"/>
      <c r="N45" s="752"/>
      <c r="O45" s="719"/>
      <c r="P45" s="719"/>
      <c r="Q45" s="719"/>
      <c r="R45" s="728"/>
    </row>
    <row r="46" spans="1:18">
      <c r="M46" s="752"/>
      <c r="N46" s="752"/>
      <c r="O46" s="719"/>
      <c r="P46" s="719"/>
      <c r="Q46" s="719"/>
      <c r="R46" s="728"/>
    </row>
    <row r="47" spans="1:18">
      <c r="M47" s="716"/>
      <c r="N47" s="716"/>
      <c r="O47" s="728"/>
      <c r="P47" s="728"/>
      <c r="Q47" s="728"/>
      <c r="R47" s="728"/>
    </row>
    <row r="48" spans="1:18">
      <c r="M48" s="719"/>
      <c r="N48" s="719"/>
      <c r="O48" s="719"/>
      <c r="P48" s="716"/>
      <c r="Q48" s="719"/>
      <c r="R48" s="728"/>
    </row>
    <row r="49" spans="1:18" ht="15.75">
      <c r="M49" s="719"/>
      <c r="N49" s="740"/>
      <c r="O49" s="719"/>
      <c r="P49" s="719"/>
      <c r="Q49" s="736"/>
      <c r="R49" s="719"/>
    </row>
    <row r="50" spans="1:18" ht="15.75">
      <c r="M50" s="719"/>
      <c r="N50" s="740"/>
      <c r="O50" s="719"/>
      <c r="P50" s="719"/>
      <c r="Q50" s="736"/>
      <c r="R50" s="719"/>
    </row>
    <row r="51" spans="1:18" ht="15.75">
      <c r="M51" s="719"/>
      <c r="N51" s="740"/>
      <c r="O51" s="719"/>
      <c r="P51" s="719"/>
      <c r="Q51" s="736"/>
      <c r="R51" s="719"/>
    </row>
    <row r="52" spans="1:18" ht="15.75">
      <c r="A52" s="727"/>
      <c r="B52" s="748"/>
      <c r="E52" s="743"/>
      <c r="F52" s="743"/>
      <c r="G52" s="719"/>
      <c r="J52" s="738"/>
      <c r="L52" s="719"/>
      <c r="M52" s="719"/>
      <c r="N52" s="740"/>
      <c r="O52" s="719"/>
      <c r="P52" s="719"/>
      <c r="Q52" s="736"/>
      <c r="R52" s="719"/>
    </row>
    <row r="53" spans="1:18" ht="15.75">
      <c r="A53" s="727"/>
      <c r="B53" s="748"/>
      <c r="E53" s="743"/>
      <c r="F53" s="743"/>
      <c r="G53" s="719"/>
      <c r="J53" s="738"/>
      <c r="L53" s="719"/>
      <c r="M53" s="719"/>
      <c r="N53" s="740"/>
      <c r="O53" s="719"/>
      <c r="P53" s="719"/>
      <c r="Q53" s="736"/>
      <c r="R53" s="719"/>
    </row>
    <row r="54" spans="1:18">
      <c r="A54" s="753"/>
      <c r="C54" s="727"/>
      <c r="D54" s="727"/>
      <c r="E54" s="743"/>
      <c r="F54" s="743"/>
      <c r="G54" s="719"/>
      <c r="J54" s="738"/>
      <c r="M54" s="719"/>
      <c r="N54" s="754"/>
      <c r="O54" s="754"/>
      <c r="P54" s="719"/>
      <c r="Q54" s="736"/>
      <c r="R54" s="719"/>
    </row>
    <row r="55" spans="1:18" ht="15.75">
      <c r="A55" s="753"/>
      <c r="C55" s="727"/>
      <c r="D55" s="727"/>
      <c r="E55" s="743"/>
      <c r="F55" s="743"/>
      <c r="G55" s="719"/>
      <c r="J55" s="738"/>
      <c r="M55" s="719"/>
      <c r="N55" s="740"/>
      <c r="O55" s="754"/>
      <c r="P55" s="719"/>
      <c r="Q55" s="736"/>
      <c r="R55" s="719"/>
    </row>
    <row r="56" spans="1:18" ht="15.75">
      <c r="A56" s="753"/>
      <c r="C56" s="727"/>
      <c r="D56" s="727"/>
      <c r="E56" s="743"/>
      <c r="F56" s="743"/>
      <c r="G56" s="719"/>
      <c r="J56" s="738"/>
      <c r="M56" s="719"/>
      <c r="N56" s="740"/>
      <c r="O56" s="754"/>
      <c r="P56" s="719"/>
      <c r="Q56" s="736"/>
      <c r="R56" s="719"/>
    </row>
    <row r="57" spans="1:18">
      <c r="A57" s="721"/>
      <c r="G57" s="719"/>
      <c r="M57" s="719"/>
      <c r="N57" s="719"/>
      <c r="O57" s="719"/>
      <c r="P57" s="719"/>
      <c r="Q57" s="726"/>
      <c r="R57" s="719" t="s">
        <v>5</v>
      </c>
    </row>
    <row r="58" spans="1:18">
      <c r="N58" s="712"/>
    </row>
    <row r="59" spans="1:18">
      <c r="N59" s="712"/>
    </row>
    <row r="61" spans="1:18">
      <c r="A61" s="721"/>
      <c r="G61" s="719"/>
      <c r="M61" s="719"/>
      <c r="N61" s="712" t="str">
        <f>N4</f>
        <v>Attachment GG - Generic Company</v>
      </c>
      <c r="O61" s="719"/>
      <c r="P61" s="716"/>
      <c r="Q61" s="719"/>
      <c r="R61" s="728"/>
    </row>
    <row r="62" spans="1:18">
      <c r="A62" s="721"/>
      <c r="C62" s="728" t="str">
        <f>C5</f>
        <v>Formula Rate calculation</v>
      </c>
      <c r="D62" s="728"/>
      <c r="G62" s="711" t="str">
        <f>G5</f>
        <v xml:space="preserve">     Rate Formula Template</v>
      </c>
      <c r="M62" s="719"/>
      <c r="N62" s="712" t="str">
        <f>N5</f>
        <v>For  the 12 months ended 12/31/2015</v>
      </c>
      <c r="O62" s="719"/>
      <c r="P62" s="716"/>
      <c r="Q62" s="719"/>
      <c r="R62" s="728"/>
    </row>
    <row r="63" spans="1:18">
      <c r="A63" s="721"/>
      <c r="C63" s="728"/>
      <c r="D63" s="728"/>
      <c r="G63" s="711" t="str">
        <f>G6</f>
        <v xml:space="preserve"> Utilizing Attachment O Data</v>
      </c>
      <c r="L63" s="719"/>
      <c r="M63" s="719"/>
      <c r="O63" s="719"/>
      <c r="P63" s="716"/>
      <c r="Q63" s="719"/>
      <c r="R63" s="728"/>
    </row>
    <row r="64" spans="1:18" ht="14.25" customHeight="1">
      <c r="A64" s="721"/>
      <c r="M64" s="719"/>
      <c r="N64" s="711" t="s">
        <v>832</v>
      </c>
      <c r="O64" s="719"/>
      <c r="P64" s="716"/>
      <c r="Q64" s="719"/>
      <c r="R64" s="728"/>
    </row>
    <row r="65" spans="1:21">
      <c r="A65" s="721"/>
      <c r="G65" s="711" t="str">
        <f>G8</f>
        <v>Northern States Power Companies</v>
      </c>
      <c r="M65" s="719"/>
      <c r="N65" s="719"/>
      <c r="O65" s="719"/>
      <c r="P65" s="716"/>
      <c r="Q65" s="719"/>
      <c r="R65" s="728"/>
    </row>
    <row r="66" spans="1:21">
      <c r="A66" s="721"/>
      <c r="E66" s="728"/>
      <c r="F66" s="728"/>
      <c r="G66" s="728"/>
      <c r="H66" s="728"/>
      <c r="I66" s="728"/>
      <c r="J66" s="728"/>
      <c r="K66" s="728"/>
      <c r="L66" s="728"/>
      <c r="M66" s="728"/>
      <c r="N66" s="728"/>
      <c r="O66" s="719"/>
      <c r="P66" s="716"/>
      <c r="Q66" s="719"/>
      <c r="R66" s="728"/>
    </row>
    <row r="67" spans="1:21" ht="15.75">
      <c r="A67" s="721"/>
      <c r="E67" s="733" t="s">
        <v>833</v>
      </c>
      <c r="F67" s="733"/>
      <c r="H67" s="716"/>
      <c r="I67" s="716"/>
      <c r="J67" s="716"/>
      <c r="K67" s="716"/>
      <c r="L67" s="716"/>
      <c r="M67" s="719"/>
      <c r="N67" s="719"/>
      <c r="O67" s="719"/>
      <c r="P67" s="716"/>
      <c r="Q67" s="719"/>
      <c r="R67" s="728"/>
    </row>
    <row r="68" spans="1:21" ht="15.75">
      <c r="A68" s="721"/>
      <c r="E68" s="733"/>
      <c r="F68" s="733"/>
      <c r="H68" s="716"/>
      <c r="I68" s="716"/>
      <c r="J68" s="716"/>
      <c r="K68" s="716"/>
      <c r="L68" s="716"/>
      <c r="M68" s="719"/>
      <c r="N68" s="719"/>
      <c r="O68" s="719"/>
      <c r="P68" s="716"/>
      <c r="Q68" s="719"/>
      <c r="R68" s="728"/>
    </row>
    <row r="69" spans="1:21" ht="15.75">
      <c r="A69" s="721"/>
      <c r="C69" s="755">
        <v>-1</v>
      </c>
      <c r="D69" s="755">
        <v>-2</v>
      </c>
      <c r="E69" s="755">
        <v>-3</v>
      </c>
      <c r="F69" s="755">
        <v>-4</v>
      </c>
      <c r="G69" s="755">
        <v>-5</v>
      </c>
      <c r="H69" s="755">
        <v>-6</v>
      </c>
      <c r="I69" s="755">
        <v>-7</v>
      </c>
      <c r="J69" s="755">
        <v>-8</v>
      </c>
      <c r="K69" s="755">
        <v>-9</v>
      </c>
      <c r="L69" s="755">
        <v>-10</v>
      </c>
      <c r="M69" s="755">
        <v>-11</v>
      </c>
      <c r="N69" s="755">
        <v>-12</v>
      </c>
      <c r="O69" s="719"/>
      <c r="P69" s="716"/>
      <c r="Q69" s="719"/>
      <c r="R69" s="728"/>
    </row>
    <row r="70" spans="1:21" ht="63">
      <c r="A70" s="756" t="s">
        <v>150</v>
      </c>
      <c r="B70" s="757"/>
      <c r="C70" s="757" t="s">
        <v>834</v>
      </c>
      <c r="D70" s="758" t="s">
        <v>835</v>
      </c>
      <c r="E70" s="759" t="s">
        <v>836</v>
      </c>
      <c r="F70" s="759" t="s">
        <v>815</v>
      </c>
      <c r="G70" s="760" t="s">
        <v>837</v>
      </c>
      <c r="H70" s="759" t="s">
        <v>838</v>
      </c>
      <c r="I70" s="759" t="s">
        <v>830</v>
      </c>
      <c r="J70" s="760" t="s">
        <v>839</v>
      </c>
      <c r="K70" s="759" t="s">
        <v>840</v>
      </c>
      <c r="L70" s="761" t="s">
        <v>841</v>
      </c>
      <c r="M70" s="762" t="s">
        <v>842</v>
      </c>
      <c r="N70" s="761" t="s">
        <v>843</v>
      </c>
      <c r="O70" s="741"/>
      <c r="P70" s="716"/>
      <c r="Q70" s="719"/>
      <c r="R70" s="728"/>
    </row>
    <row r="71" spans="1:21" ht="46.5" customHeight="1">
      <c r="A71" s="763"/>
      <c r="B71" s="764"/>
      <c r="C71" s="764"/>
      <c r="D71" s="764"/>
      <c r="E71" s="765" t="s">
        <v>433</v>
      </c>
      <c r="F71" s="765" t="s">
        <v>844</v>
      </c>
      <c r="G71" s="766" t="s">
        <v>845</v>
      </c>
      <c r="H71" s="765" t="s">
        <v>436</v>
      </c>
      <c r="I71" s="765" t="s">
        <v>846</v>
      </c>
      <c r="J71" s="766" t="s">
        <v>847</v>
      </c>
      <c r="K71" s="765" t="s">
        <v>455</v>
      </c>
      <c r="L71" s="766" t="s">
        <v>848</v>
      </c>
      <c r="M71" s="767" t="s">
        <v>849</v>
      </c>
      <c r="N71" s="768" t="s">
        <v>850</v>
      </c>
      <c r="O71" s="719"/>
      <c r="P71" s="716"/>
      <c r="Q71" s="719"/>
      <c r="R71" s="728"/>
    </row>
    <row r="72" spans="1:21">
      <c r="A72" s="769"/>
      <c r="B72" s="716"/>
      <c r="C72" s="716"/>
      <c r="D72" s="716"/>
      <c r="E72" s="716"/>
      <c r="F72" s="716"/>
      <c r="G72" s="770"/>
      <c r="H72" s="716"/>
      <c r="I72" s="716"/>
      <c r="J72" s="770"/>
      <c r="K72" s="716"/>
      <c r="L72" s="770"/>
      <c r="M72" s="719"/>
      <c r="N72" s="771"/>
      <c r="O72" s="719"/>
      <c r="P72" s="716"/>
      <c r="Q72" s="719"/>
      <c r="R72" s="728"/>
    </row>
    <row r="73" spans="1:21">
      <c r="A73" s="772" t="s">
        <v>542</v>
      </c>
      <c r="C73" s="711" t="s">
        <v>191</v>
      </c>
      <c r="D73" s="711" t="s">
        <v>270</v>
      </c>
      <c r="E73" s="773">
        <f>'Attach GG Support Data Rev 2'!C23</f>
        <v>7072818.700000002</v>
      </c>
      <c r="F73" s="739">
        <f>$L$33</f>
        <v>3.1111414580134569E-2</v>
      </c>
      <c r="G73" s="774">
        <f>E73*F73</f>
        <v>220045.39482582849</v>
      </c>
      <c r="H73" s="773">
        <f>'Attach GG Support Data Rev 2'!C56</f>
        <v>5749325.7199999997</v>
      </c>
      <c r="I73" s="739">
        <f>$L$43</f>
        <v>0.10934084382689145</v>
      </c>
      <c r="J73" s="774">
        <f>H73*I73</f>
        <v>628636.1256604502</v>
      </c>
      <c r="K73" s="775">
        <f>'Attach GG Support Data Rev 2'!C59</f>
        <v>185753.4</v>
      </c>
      <c r="L73" s="774">
        <f>G73+J73+K73</f>
        <v>1034434.9204862787</v>
      </c>
      <c r="M73" s="773">
        <v>-103644.36971524201</v>
      </c>
      <c r="N73" s="774">
        <f>L73+M73</f>
        <v>930790.55077103665</v>
      </c>
      <c r="O73" s="776"/>
      <c r="P73" s="776"/>
      <c r="Q73" s="776"/>
      <c r="R73" s="776"/>
      <c r="S73" s="776"/>
      <c r="T73" s="776"/>
      <c r="U73" s="776"/>
    </row>
    <row r="74" spans="1:21">
      <c r="A74" s="772" t="s">
        <v>851</v>
      </c>
      <c r="C74" s="711" t="s">
        <v>192</v>
      </c>
      <c r="D74" s="711" t="s">
        <v>271</v>
      </c>
      <c r="E74" s="773">
        <f>'Attach GG Support Data Rev 2'!D23</f>
        <v>3487897.5099999984</v>
      </c>
      <c r="F74" s="739">
        <f>$L$33</f>
        <v>3.1111414580134569E-2</v>
      </c>
      <c r="G74" s="774">
        <f>E74*F74</f>
        <v>108513.42544662901</v>
      </c>
      <c r="H74" s="773">
        <f>'Attach GG Support Data Rev 2'!D56</f>
        <v>2842862.5299999993</v>
      </c>
      <c r="I74" s="739">
        <f>$L$43</f>
        <v>0.10934084382689145</v>
      </c>
      <c r="J74" s="774">
        <f>H74*I74</f>
        <v>310840.98791405145</v>
      </c>
      <c r="K74" s="775">
        <f>'Attach GG Support Data Rev 2'!D59</f>
        <v>91602.6</v>
      </c>
      <c r="L74" s="774">
        <f>G74+J74+K74</f>
        <v>510957.01336068043</v>
      </c>
      <c r="M74" s="773">
        <v>-51178.530182609997</v>
      </c>
      <c r="N74" s="774">
        <f>L74+M74</f>
        <v>459778.48317807046</v>
      </c>
      <c r="O74" s="776"/>
      <c r="P74" s="776"/>
      <c r="Q74" s="776"/>
      <c r="R74" s="776"/>
      <c r="S74" s="776"/>
      <c r="T74" s="776"/>
      <c r="U74" s="776"/>
    </row>
    <row r="75" spans="1:21">
      <c r="A75" s="772" t="s">
        <v>852</v>
      </c>
      <c r="C75" s="711" t="s">
        <v>193</v>
      </c>
      <c r="D75" s="711" t="s">
        <v>272</v>
      </c>
      <c r="E75" s="773">
        <f>'Attach GG Support Data Rev 2'!E23</f>
        <v>4462295.25</v>
      </c>
      <c r="F75" s="739">
        <f>$L$33</f>
        <v>3.1111414580134569E-2</v>
      </c>
      <c r="G75" s="774">
        <f>E75*F75</f>
        <v>138828.31750171524</v>
      </c>
      <c r="H75" s="773">
        <f>'Attach GG Support Data Rev 2'!E56</f>
        <v>3930042.5250000008</v>
      </c>
      <c r="I75" s="739">
        <f>$L$43</f>
        <v>0.10934084382689145</v>
      </c>
      <c r="J75" s="774">
        <f>H75*I75</f>
        <v>429714.16595906724</v>
      </c>
      <c r="K75" s="775">
        <f>'Attach GG Support Data Rev 2'!E59</f>
        <v>117193.26</v>
      </c>
      <c r="L75" s="774">
        <f>G75+J75+K75</f>
        <v>685735.74346078245</v>
      </c>
      <c r="M75" s="773">
        <v>-67763.547145100398</v>
      </c>
      <c r="N75" s="774">
        <f>L75+M75</f>
        <v>617972.19631568203</v>
      </c>
      <c r="O75" s="776"/>
      <c r="P75" s="776"/>
      <c r="Q75" s="776"/>
      <c r="R75" s="776"/>
      <c r="S75" s="776"/>
      <c r="T75" s="776"/>
      <c r="U75" s="776"/>
    </row>
    <row r="76" spans="1:21">
      <c r="A76" s="772" t="s">
        <v>853</v>
      </c>
      <c r="C76" s="711" t="s">
        <v>194</v>
      </c>
      <c r="D76" s="711" t="s">
        <v>273</v>
      </c>
      <c r="E76" s="773">
        <f>'Attach GG Support Data Rev 2'!F23</f>
        <v>7706681.2699999968</v>
      </c>
      <c r="F76" s="739">
        <f t="shared" ref="F76:F90" si="0">$L$33</f>
        <v>3.1111414580134569E-2</v>
      </c>
      <c r="G76" s="774">
        <f t="shared" ref="G76:G86" si="1">E76*F76</f>
        <v>239765.75602792788</v>
      </c>
      <c r="H76" s="773">
        <f>'Attach GG Support Data Rev 2'!F56</f>
        <v>6787445.5699999994</v>
      </c>
      <c r="I76" s="739">
        <f t="shared" ref="I76:I90" si="2">$L$43</f>
        <v>0.10934084382689145</v>
      </c>
      <c r="J76" s="774">
        <f t="shared" ref="J76:J86" si="3">H76*I76</f>
        <v>742145.02605289617</v>
      </c>
      <c r="K76" s="775">
        <f>'Attach GG Support Data Rev 2'!F59</f>
        <v>202400.52</v>
      </c>
      <c r="L76" s="774">
        <f t="shared" ref="L76:L86" si="4">G76+J76+K76</f>
        <v>1184311.302080824</v>
      </c>
      <c r="M76" s="773">
        <v>-87333.144568247197</v>
      </c>
      <c r="N76" s="774">
        <f t="shared" ref="N76:N86" si="5">L76+M76</f>
        <v>1096978.1575125768</v>
      </c>
      <c r="O76" s="776"/>
      <c r="P76" s="776"/>
      <c r="Q76" s="776"/>
      <c r="R76" s="776"/>
      <c r="S76" s="776"/>
      <c r="T76" s="776"/>
      <c r="U76" s="776"/>
    </row>
    <row r="77" spans="1:21">
      <c r="A77" s="772" t="s">
        <v>854</v>
      </c>
      <c r="C77" s="711" t="s">
        <v>855</v>
      </c>
      <c r="D77" s="711" t="s">
        <v>274</v>
      </c>
      <c r="E77" s="773">
        <f>'Attach GG Support Data Rev 2'!G23</f>
        <v>29911878.143377006</v>
      </c>
      <c r="F77" s="739">
        <f t="shared" si="0"/>
        <v>3.1111414580134569E-2</v>
      </c>
      <c r="G77" s="774">
        <f t="shared" si="1"/>
        <v>930600.84178906796</v>
      </c>
      <c r="H77" s="773">
        <f>'Attach GG Support Data Rev 2'!G56</f>
        <v>28268114.417810857</v>
      </c>
      <c r="I77" s="739">
        <f t="shared" si="2"/>
        <v>0.10934084382689145</v>
      </c>
      <c r="J77" s="774">
        <f t="shared" si="3"/>
        <v>3090859.4838385554</v>
      </c>
      <c r="K77" s="775">
        <f>'Attach GG Support Data Rev 2'!G59</f>
        <v>598702.28373704816</v>
      </c>
      <c r="L77" s="774">
        <f t="shared" si="4"/>
        <v>4620162.6093646716</v>
      </c>
      <c r="M77" s="773">
        <v>-588785.26190426399</v>
      </c>
      <c r="N77" s="774">
        <f t="shared" si="5"/>
        <v>4031377.3474604078</v>
      </c>
      <c r="O77" s="776"/>
      <c r="P77" s="776"/>
      <c r="Q77" s="776"/>
      <c r="R77" s="776"/>
      <c r="S77" s="776"/>
      <c r="T77" s="776"/>
      <c r="U77" s="776"/>
    </row>
    <row r="78" spans="1:21">
      <c r="A78" s="772" t="s">
        <v>856</v>
      </c>
      <c r="C78" s="711" t="s">
        <v>857</v>
      </c>
      <c r="D78" s="711" t="s">
        <v>858</v>
      </c>
      <c r="E78" s="773">
        <f>'Attach GG Support Data Rev 2'!H23</f>
        <v>195806222.04488787</v>
      </c>
      <c r="F78" s="739">
        <f t="shared" si="0"/>
        <v>3.1111414580134569E-2</v>
      </c>
      <c r="G78" s="774">
        <f t="shared" si="1"/>
        <v>6091808.5514083914</v>
      </c>
      <c r="H78" s="773">
        <f>'Attach GG Support Data Rev 2'!H56</f>
        <v>191856476.53607938</v>
      </c>
      <c r="I78" s="739">
        <f t="shared" si="2"/>
        <v>0.10934084382689145</v>
      </c>
      <c r="J78" s="774">
        <f t="shared" si="3"/>
        <v>20977749.03810912</v>
      </c>
      <c r="K78" s="775">
        <f>'Attach GG Support Data Rev 2'!H59</f>
        <v>2944126.0420751208</v>
      </c>
      <c r="L78" s="774">
        <f t="shared" si="4"/>
        <v>30013683.631592631</v>
      </c>
      <c r="M78" s="773">
        <v>-4632833.5581573099</v>
      </c>
      <c r="N78" s="774">
        <f t="shared" si="5"/>
        <v>25380850.073435321</v>
      </c>
      <c r="O78" s="776"/>
      <c r="P78" s="776"/>
      <c r="Q78" s="776"/>
      <c r="R78" s="776"/>
      <c r="S78" s="776"/>
      <c r="T78" s="776"/>
      <c r="U78" s="776"/>
    </row>
    <row r="79" spans="1:21">
      <c r="A79" s="772" t="s">
        <v>859</v>
      </c>
      <c r="C79" s="711" t="s">
        <v>860</v>
      </c>
      <c r="D79" s="711" t="s">
        <v>861</v>
      </c>
      <c r="E79" s="773">
        <f>'Attach GG Support Data Rev 2'!I23</f>
        <v>195171342.90505332</v>
      </c>
      <c r="F79" s="739">
        <f t="shared" si="0"/>
        <v>3.1111414580134569E-2</v>
      </c>
      <c r="G79" s="774">
        <f t="shared" si="1"/>
        <v>6072056.5632807193</v>
      </c>
      <c r="H79" s="773">
        <f>'Attach GG Support Data Rev 2'!I56</f>
        <v>194138810.79947847</v>
      </c>
      <c r="I79" s="739">
        <f t="shared" si="2"/>
        <v>0.10934084382689145</v>
      </c>
      <c r="J79" s="774">
        <f t="shared" si="3"/>
        <v>21227301.392364204</v>
      </c>
      <c r="K79" s="775">
        <f>'Attach GG Support Data Rev 2'!I59</f>
        <v>2238685.5193472672</v>
      </c>
      <c r="L79" s="774">
        <f t="shared" si="4"/>
        <v>29538043.474992193</v>
      </c>
      <c r="M79" s="773">
        <v>658975.289992937</v>
      </c>
      <c r="N79" s="774">
        <f t="shared" si="5"/>
        <v>30197018.764985129</v>
      </c>
      <c r="O79" s="776"/>
      <c r="P79" s="776"/>
      <c r="Q79" s="776"/>
      <c r="R79" s="776"/>
      <c r="S79" s="776"/>
      <c r="T79" s="776"/>
      <c r="U79" s="776"/>
    </row>
    <row r="80" spans="1:21">
      <c r="A80" s="772" t="s">
        <v>862</v>
      </c>
      <c r="C80" s="711" t="s">
        <v>214</v>
      </c>
      <c r="D80" s="711" t="s">
        <v>275</v>
      </c>
      <c r="E80" s="773">
        <f>'Attach GG Support Data Rev 2'!J23</f>
        <v>468201.80999999988</v>
      </c>
      <c r="F80" s="739">
        <f t="shared" si="0"/>
        <v>3.1111414580134569E-2</v>
      </c>
      <c r="G80" s="774">
        <f t="shared" si="1"/>
        <v>14566.420618079392</v>
      </c>
      <c r="H80" s="773">
        <f>'Attach GG Support Data Rev 2'!J56</f>
        <v>412533.12000000005</v>
      </c>
      <c r="I80" s="739">
        <f t="shared" si="2"/>
        <v>0.10934084382689145</v>
      </c>
      <c r="J80" s="774">
        <f t="shared" si="3"/>
        <v>45106.719447340278</v>
      </c>
      <c r="K80" s="775">
        <f>'Attach GG Support Data Rev 2'!J59</f>
        <v>12296.4</v>
      </c>
      <c r="L80" s="774">
        <f t="shared" si="4"/>
        <v>71969.540065419671</v>
      </c>
      <c r="M80" s="773">
        <v>-7140.5910761163796</v>
      </c>
      <c r="N80" s="774">
        <f t="shared" si="5"/>
        <v>64828.948989303288</v>
      </c>
      <c r="O80" s="776"/>
      <c r="P80" s="776"/>
      <c r="Q80" s="776"/>
      <c r="R80" s="776"/>
      <c r="S80" s="776"/>
      <c r="T80" s="776"/>
      <c r="U80" s="776"/>
    </row>
    <row r="81" spans="1:21">
      <c r="A81" s="772" t="s">
        <v>863</v>
      </c>
      <c r="C81" s="711" t="s">
        <v>215</v>
      </c>
      <c r="D81" s="711" t="s">
        <v>276</v>
      </c>
      <c r="E81" s="773">
        <f>'Attach GG Support Data Rev 2'!K23</f>
        <v>127736.33000000002</v>
      </c>
      <c r="F81" s="739">
        <f t="shared" si="0"/>
        <v>3.1111414580134569E-2</v>
      </c>
      <c r="G81" s="774">
        <f t="shared" si="1"/>
        <v>3974.0579195748815</v>
      </c>
      <c r="H81" s="773">
        <f>'Attach GG Support Data Rev 2'!K56</f>
        <v>108073.01</v>
      </c>
      <c r="I81" s="739">
        <f t="shared" si="2"/>
        <v>0.10934084382689145</v>
      </c>
      <c r="J81" s="774">
        <f t="shared" si="3"/>
        <v>11816.794108312077</v>
      </c>
      <c r="K81" s="775">
        <f>'Attach GG Support Data Rev 2'!K59</f>
        <v>3354.72</v>
      </c>
      <c r="L81" s="774">
        <f t="shared" si="4"/>
        <v>19145.572027886959</v>
      </c>
      <c r="M81" s="773">
        <v>-1910.0233761693401</v>
      </c>
      <c r="N81" s="774">
        <f t="shared" si="5"/>
        <v>17235.548651717618</v>
      </c>
      <c r="O81" s="776"/>
      <c r="P81" s="776"/>
      <c r="Q81" s="776"/>
      <c r="R81" s="776"/>
      <c r="S81" s="776"/>
      <c r="T81" s="776"/>
      <c r="U81" s="776"/>
    </row>
    <row r="82" spans="1:21">
      <c r="A82" s="772" t="s">
        <v>864</v>
      </c>
      <c r="C82" s="711" t="s">
        <v>244</v>
      </c>
      <c r="D82" s="711" t="s">
        <v>277</v>
      </c>
      <c r="E82" s="773">
        <f>'Attach GG Support Data Rev 2'!L23</f>
        <v>47486.63</v>
      </c>
      <c r="F82" s="739">
        <f t="shared" si="0"/>
        <v>3.1111414580134569E-2</v>
      </c>
      <c r="G82" s="774">
        <f t="shared" si="1"/>
        <v>1477.3762329434555</v>
      </c>
      <c r="H82" s="773">
        <f>'Attach GG Support Data Rev 2'!L56</f>
        <v>37994.179999999993</v>
      </c>
      <c r="I82" s="739">
        <f t="shared" si="2"/>
        <v>0.10934084382689145</v>
      </c>
      <c r="J82" s="774">
        <f t="shared" si="3"/>
        <v>4154.3157017108015</v>
      </c>
      <c r="K82" s="775">
        <f>'Attach GG Support Data Rev 2'!L59</f>
        <v>1118.04</v>
      </c>
      <c r="L82" s="774">
        <f t="shared" si="4"/>
        <v>6749.7319346542572</v>
      </c>
      <c r="M82" s="773">
        <v>-1150.0683825400599</v>
      </c>
      <c r="N82" s="774">
        <f t="shared" si="5"/>
        <v>5599.663552114197</v>
      </c>
      <c r="O82" s="776"/>
      <c r="P82" s="776"/>
      <c r="Q82" s="776"/>
      <c r="R82" s="776"/>
      <c r="S82" s="776"/>
      <c r="T82" s="776"/>
      <c r="U82" s="776"/>
    </row>
    <row r="83" spans="1:21">
      <c r="A83" s="772" t="s">
        <v>865</v>
      </c>
      <c r="C83" s="711" t="s">
        <v>245</v>
      </c>
      <c r="D83" s="711" t="s">
        <v>278</v>
      </c>
      <c r="E83" s="773">
        <f>'Attach GG Support Data Rev 2'!M23</f>
        <v>230828.43999999997</v>
      </c>
      <c r="F83" s="739">
        <f t="shared" si="0"/>
        <v>3.1111414580134569E-2</v>
      </c>
      <c r="G83" s="774">
        <f t="shared" si="1"/>
        <v>7181.3992937257171</v>
      </c>
      <c r="H83" s="773">
        <f>'Attach GG Support Data Rev 2'!M56</f>
        <v>195265.30999999994</v>
      </c>
      <c r="I83" s="739">
        <f t="shared" si="2"/>
        <v>0.10934084382689145</v>
      </c>
      <c r="J83" s="774">
        <f t="shared" si="3"/>
        <v>21350.473765519539</v>
      </c>
      <c r="K83" s="775">
        <f>'Attach GG Support Data Rev 2'!M59</f>
        <v>4957.2</v>
      </c>
      <c r="L83" s="774">
        <f t="shared" si="4"/>
        <v>33489.073059245253</v>
      </c>
      <c r="M83" s="773">
        <v>-5680.5685788686797</v>
      </c>
      <c r="N83" s="774">
        <f t="shared" si="5"/>
        <v>27808.504480376574</v>
      </c>
      <c r="O83" s="776"/>
      <c r="P83" s="776"/>
      <c r="Q83" s="776"/>
      <c r="R83" s="776"/>
      <c r="S83" s="776"/>
      <c r="T83" s="776"/>
      <c r="U83" s="776"/>
    </row>
    <row r="84" spans="1:21">
      <c r="A84" s="772" t="s">
        <v>866</v>
      </c>
      <c r="C84" s="711" t="s">
        <v>867</v>
      </c>
      <c r="D84" s="711" t="s">
        <v>279</v>
      </c>
      <c r="E84" s="773">
        <f>'Attach GG Support Data Rev 2'!N23</f>
        <v>3892128.07</v>
      </c>
      <c r="F84" s="739">
        <f t="shared" si="0"/>
        <v>3.1111414580134569E-2</v>
      </c>
      <c r="G84" s="774">
        <f t="shared" si="1"/>
        <v>121089.60998474901</v>
      </c>
      <c r="H84" s="773">
        <f>'Attach GG Support Data Rev 2'!N56</f>
        <v>3646919.8040320957</v>
      </c>
      <c r="I84" s="739">
        <f t="shared" si="2"/>
        <v>0.10934084382689145</v>
      </c>
      <c r="J84" s="774">
        <f t="shared" si="3"/>
        <v>398757.28874187096</v>
      </c>
      <c r="K84" s="775">
        <f>'Attach GG Support Data Rev 2'!N59</f>
        <v>71773.40211486115</v>
      </c>
      <c r="L84" s="774">
        <f t="shared" si="4"/>
        <v>591620.30084148108</v>
      </c>
      <c r="M84" s="773">
        <v>-92958.696753676093</v>
      </c>
      <c r="N84" s="774">
        <f t="shared" si="5"/>
        <v>498661.60408780497</v>
      </c>
      <c r="O84" s="776"/>
      <c r="P84" s="776"/>
      <c r="Q84" s="776"/>
      <c r="R84" s="776"/>
      <c r="S84" s="776"/>
      <c r="T84" s="776"/>
      <c r="U84" s="776"/>
    </row>
    <row r="85" spans="1:21">
      <c r="A85" s="772" t="s">
        <v>868</v>
      </c>
      <c r="C85" s="711" t="s">
        <v>869</v>
      </c>
      <c r="D85" s="711" t="s">
        <v>280</v>
      </c>
      <c r="E85" s="773">
        <f>'Attach GG Support Data Rev 2'!O23</f>
        <v>20367745.75</v>
      </c>
      <c r="F85" s="739">
        <f t="shared" si="0"/>
        <v>3.1111414580134569E-2</v>
      </c>
      <c r="G85" s="774">
        <f t="shared" si="1"/>
        <v>633669.38209102396</v>
      </c>
      <c r="H85" s="773">
        <f>'Attach GG Support Data Rev 2'!O56</f>
        <v>19592198.210263599</v>
      </c>
      <c r="I85" s="739">
        <f t="shared" si="2"/>
        <v>0.10934084382689145</v>
      </c>
      <c r="J85" s="774">
        <f t="shared" si="3"/>
        <v>2142227.4847339345</v>
      </c>
      <c r="K85" s="775">
        <f>'Attach GG Support Data Rev 2'!O59</f>
        <v>411531.76501803537</v>
      </c>
      <c r="L85" s="774">
        <f t="shared" si="4"/>
        <v>3187428.6318429937</v>
      </c>
      <c r="M85" s="773">
        <v>-502714.27742236003</v>
      </c>
      <c r="N85" s="774">
        <f t="shared" si="5"/>
        <v>2684714.3544206335</v>
      </c>
      <c r="O85" s="776"/>
      <c r="P85" s="776"/>
      <c r="Q85" s="776"/>
      <c r="R85" s="776"/>
      <c r="S85" s="776"/>
      <c r="T85" s="776"/>
      <c r="U85" s="776"/>
    </row>
    <row r="86" spans="1:21">
      <c r="A86" s="772" t="s">
        <v>870</v>
      </c>
      <c r="C86" s="711" t="s">
        <v>293</v>
      </c>
      <c r="D86" s="711" t="s">
        <v>292</v>
      </c>
      <c r="E86" s="773">
        <f>'Attach GG Support Data Rev 2'!P23</f>
        <v>309681</v>
      </c>
      <c r="F86" s="739">
        <f t="shared" si="0"/>
        <v>3.1111414580134569E-2</v>
      </c>
      <c r="G86" s="774">
        <f t="shared" si="1"/>
        <v>9634.6139785906544</v>
      </c>
      <c r="H86" s="773">
        <f>'Attach GG Support Data Rev 2'!P56</f>
        <v>272404.58499999996</v>
      </c>
      <c r="I86" s="739">
        <f t="shared" si="2"/>
        <v>0.10934084382689145</v>
      </c>
      <c r="J86" s="774">
        <f t="shared" si="3"/>
        <v>29784.947186214173</v>
      </c>
      <c r="K86" s="775">
        <f>'Attach GG Support Data Rev 2'!P59</f>
        <v>8602.25</v>
      </c>
      <c r="L86" s="774">
        <f t="shared" si="4"/>
        <v>48021.811164804829</v>
      </c>
      <c r="M86" s="773">
        <v>0</v>
      </c>
      <c r="N86" s="774">
        <f t="shared" si="5"/>
        <v>48021.811164804829</v>
      </c>
      <c r="O86" s="776"/>
      <c r="P86" s="776"/>
      <c r="Q86" s="776"/>
      <c r="R86" s="776"/>
      <c r="S86" s="776"/>
      <c r="T86" s="776"/>
      <c r="U86" s="776"/>
    </row>
    <row r="87" spans="1:21">
      <c r="A87" s="772" t="s">
        <v>871</v>
      </c>
      <c r="C87" s="711" t="s">
        <v>872</v>
      </c>
      <c r="D87" s="777" t="s">
        <v>281</v>
      </c>
      <c r="E87" s="773">
        <f>'Attach GG Support Data Rev 2'!Q23</f>
        <v>14007218.510769231</v>
      </c>
      <c r="F87" s="739">
        <f t="shared" si="0"/>
        <v>3.1111414580134569E-2</v>
      </c>
      <c r="G87" s="774">
        <f>E87*F87</f>
        <v>435784.38220307668</v>
      </c>
      <c r="H87" s="773">
        <f>'Attach GG Support Data Rev 2'!Q56</f>
        <v>13853436.166919304</v>
      </c>
      <c r="I87" s="739">
        <f t="shared" si="2"/>
        <v>0.10934084382689145</v>
      </c>
      <c r="J87" s="774">
        <f>H87*I87</f>
        <v>1514746.4003929333</v>
      </c>
      <c r="K87" s="775">
        <f>'Attach GG Support Data Rev 2'!Q59</f>
        <v>282589.02966481919</v>
      </c>
      <c r="L87" s="774">
        <f>G87+J87+K87</f>
        <v>2233119.8122608294</v>
      </c>
      <c r="M87" s="773">
        <v>0</v>
      </c>
      <c r="N87" s="774">
        <f>L87+M87</f>
        <v>2233119.8122608294</v>
      </c>
      <c r="O87" s="776"/>
      <c r="P87" s="776"/>
      <c r="Q87" s="776"/>
      <c r="R87" s="776"/>
      <c r="S87" s="776"/>
      <c r="T87" s="776"/>
      <c r="U87" s="776"/>
    </row>
    <row r="88" spans="1:21">
      <c r="A88" s="772" t="s">
        <v>873</v>
      </c>
      <c r="C88" s="711" t="s">
        <v>874</v>
      </c>
      <c r="D88" s="777" t="s">
        <v>282</v>
      </c>
      <c r="E88" s="773">
        <f>'Attach GG Support Data Rev 2'!R23</f>
        <v>12040182.021538462</v>
      </c>
      <c r="F88" s="739">
        <f t="shared" si="0"/>
        <v>3.1111414580134569E-2</v>
      </c>
      <c r="G88" s="774">
        <f>E88*F88</f>
        <v>374587.09449236584</v>
      </c>
      <c r="H88" s="773">
        <f>'Attach GG Support Data Rev 2'!R56</f>
        <v>11875493.802298117</v>
      </c>
      <c r="I88" s="739">
        <f t="shared" si="2"/>
        <v>0.10934084382689145</v>
      </c>
      <c r="J88" s="774">
        <f>H88*I88</f>
        <v>1298476.5132042959</v>
      </c>
      <c r="K88" s="775">
        <f>'Attach GG Support Data Rev 2'!R59</f>
        <v>242963.7696766131</v>
      </c>
      <c r="L88" s="774">
        <f>G88+J88+K88</f>
        <v>1916027.3773732749</v>
      </c>
      <c r="M88" s="773">
        <v>0</v>
      </c>
      <c r="N88" s="774">
        <f>L88+M88</f>
        <v>1916027.3773732749</v>
      </c>
      <c r="O88" s="776"/>
      <c r="P88" s="776"/>
      <c r="Q88" s="776"/>
      <c r="R88" s="776"/>
      <c r="S88" s="776"/>
      <c r="T88" s="776"/>
      <c r="U88" s="776"/>
    </row>
    <row r="89" spans="1:21">
      <c r="A89" s="772" t="s">
        <v>875</v>
      </c>
      <c r="C89" s="711" t="s">
        <v>377</v>
      </c>
      <c r="D89" s="777" t="s">
        <v>376</v>
      </c>
      <c r="E89" s="773">
        <f>'Attach GG Support Data Rev 2'!S23</f>
        <v>3221875.7984615387</v>
      </c>
      <c r="F89" s="739">
        <f t="shared" si="0"/>
        <v>3.1111414580134569E-2</v>
      </c>
      <c r="G89" s="774">
        <f>E89*F89</f>
        <v>100237.11369163902</v>
      </c>
      <c r="H89" s="773">
        <f>'Attach GG Support Data Rev 2'!S56</f>
        <v>3219297.5074006435</v>
      </c>
      <c r="I89" s="739">
        <f t="shared" si="2"/>
        <v>0.10934084382689145</v>
      </c>
      <c r="J89" s="774">
        <f>H89*I89</f>
        <v>352000.70598899468</v>
      </c>
      <c r="K89" s="775">
        <f>'Attach GG Support Data Rev 2'!S59</f>
        <v>33517.78379163838</v>
      </c>
      <c r="L89" s="774">
        <f>G89+J89+K89</f>
        <v>485755.60347227211</v>
      </c>
      <c r="M89" s="773">
        <v>0</v>
      </c>
      <c r="N89" s="774">
        <f>L89+M89</f>
        <v>485755.60347227211</v>
      </c>
      <c r="O89" s="776"/>
      <c r="P89" s="776"/>
      <c r="Q89" s="776"/>
      <c r="R89" s="776"/>
      <c r="S89" s="776"/>
      <c r="T89" s="776"/>
      <c r="U89" s="776"/>
    </row>
    <row r="90" spans="1:21">
      <c r="A90" s="772" t="s">
        <v>876</v>
      </c>
      <c r="C90" s="711" t="s">
        <v>877</v>
      </c>
      <c r="D90" s="777" t="s">
        <v>878</v>
      </c>
      <c r="E90" s="773">
        <f>'Attach GG Support Data Rev 2'!S24</f>
        <v>0</v>
      </c>
      <c r="F90" s="739">
        <f t="shared" si="0"/>
        <v>3.1111414580134569E-2</v>
      </c>
      <c r="G90" s="774">
        <f>E90*F90</f>
        <v>0</v>
      </c>
      <c r="H90" s="773">
        <f>'Attach GG Support Data Rev 2'!S57</f>
        <v>0</v>
      </c>
      <c r="I90" s="739">
        <f t="shared" si="2"/>
        <v>0.10934084382689145</v>
      </c>
      <c r="J90" s="774">
        <f>H90*I90</f>
        <v>0</v>
      </c>
      <c r="K90" s="775">
        <f>'Attach GG Support Data Rev 2'!S60</f>
        <v>0</v>
      </c>
      <c r="L90" s="774">
        <f>G90+J90+K90</f>
        <v>0</v>
      </c>
      <c r="M90" s="773">
        <v>-1140903.26</v>
      </c>
      <c r="N90" s="774">
        <f>L90+M90</f>
        <v>-1140903.26</v>
      </c>
      <c r="O90" s="776"/>
      <c r="P90" s="776"/>
      <c r="Q90" s="776"/>
      <c r="R90" s="776"/>
      <c r="S90" s="776"/>
      <c r="T90" s="776"/>
      <c r="U90" s="776"/>
    </row>
    <row r="91" spans="1:21">
      <c r="A91" s="772"/>
      <c r="C91" s="776"/>
      <c r="D91" s="776"/>
      <c r="E91" s="776"/>
      <c r="F91" s="776"/>
      <c r="G91" s="778"/>
      <c r="H91" s="776"/>
      <c r="I91" s="776"/>
      <c r="J91" s="778"/>
      <c r="K91" s="776"/>
      <c r="L91" s="778"/>
      <c r="M91" s="776"/>
      <c r="N91" s="778"/>
      <c r="O91" s="776"/>
      <c r="P91" s="776"/>
      <c r="Q91" s="776"/>
      <c r="R91" s="776"/>
      <c r="S91" s="776"/>
      <c r="T91" s="776"/>
      <c r="U91" s="776"/>
    </row>
    <row r="92" spans="1:21">
      <c r="A92" s="772"/>
      <c r="C92" s="776"/>
      <c r="D92" s="776"/>
      <c r="E92" s="776"/>
      <c r="F92" s="776"/>
      <c r="G92" s="778"/>
      <c r="H92" s="776"/>
      <c r="I92" s="776"/>
      <c r="J92" s="778"/>
      <c r="K92" s="776"/>
      <c r="L92" s="778"/>
      <c r="M92" s="776"/>
      <c r="N92" s="778"/>
      <c r="O92" s="776"/>
      <c r="P92" s="776"/>
      <c r="Q92" s="776"/>
      <c r="R92" s="776"/>
      <c r="S92" s="776"/>
      <c r="T92" s="776"/>
      <c r="U92" s="776"/>
    </row>
    <row r="93" spans="1:21">
      <c r="A93" s="779"/>
      <c r="B93" s="780"/>
      <c r="C93" s="781"/>
      <c r="D93" s="781"/>
      <c r="E93" s="781"/>
      <c r="F93" s="781"/>
      <c r="G93" s="782"/>
      <c r="H93" s="781"/>
      <c r="I93" s="781"/>
      <c r="J93" s="782"/>
      <c r="K93" s="781"/>
      <c r="L93" s="782"/>
      <c r="M93" s="781"/>
      <c r="N93" s="782"/>
      <c r="O93" s="776"/>
      <c r="P93" s="776"/>
      <c r="Q93" s="776"/>
      <c r="R93" s="776"/>
      <c r="S93" s="776"/>
      <c r="T93" s="776"/>
      <c r="U93" s="776"/>
    </row>
    <row r="94" spans="1:21">
      <c r="A94" s="727" t="s">
        <v>879</v>
      </c>
      <c r="B94" s="748"/>
      <c r="C94" s="728" t="s">
        <v>880</v>
      </c>
      <c r="D94" s="728"/>
      <c r="E94" s="743"/>
      <c r="F94" s="743"/>
      <c r="G94" s="719"/>
      <c r="H94" s="719"/>
      <c r="I94" s="719"/>
      <c r="J94" s="719"/>
      <c r="K94" s="719"/>
      <c r="L94" s="751">
        <f>SUM(L73:L93)</f>
        <v>76180656.149380967</v>
      </c>
      <c r="M94" s="972">
        <f>SUM(M73:M93)</f>
        <v>-6625020.6072695674</v>
      </c>
      <c r="N94" s="751">
        <f>SUM(N73:N93)</f>
        <v>69555635.542111367</v>
      </c>
      <c r="O94" s="776"/>
      <c r="P94" s="776"/>
      <c r="Q94" s="776"/>
      <c r="R94" s="776"/>
      <c r="S94" s="776"/>
      <c r="T94" s="776"/>
      <c r="U94" s="776"/>
    </row>
    <row r="95" spans="1:21">
      <c r="A95" s="776"/>
      <c r="B95" s="776"/>
      <c r="C95" s="776"/>
      <c r="D95" s="776"/>
      <c r="E95" s="776"/>
      <c r="F95" s="776"/>
      <c r="G95" s="776"/>
      <c r="H95" s="776"/>
      <c r="I95" s="776"/>
      <c r="J95" s="776"/>
      <c r="K95" s="776"/>
      <c r="L95" s="776"/>
      <c r="M95" s="776"/>
      <c r="N95" s="776"/>
      <c r="O95" s="776"/>
      <c r="P95" s="776"/>
      <c r="Q95" s="776"/>
      <c r="R95" s="776"/>
      <c r="S95" s="776"/>
      <c r="T95" s="776"/>
      <c r="U95" s="776"/>
    </row>
    <row r="96" spans="1:21">
      <c r="A96" s="783">
        <v>3</v>
      </c>
      <c r="B96" s="776"/>
      <c r="C96" s="711" t="s">
        <v>881</v>
      </c>
      <c r="D96" s="776"/>
      <c r="E96" s="776"/>
      <c r="F96" s="776"/>
      <c r="G96" s="776"/>
      <c r="H96" s="776"/>
      <c r="I96" s="776"/>
      <c r="J96" s="776"/>
      <c r="K96" s="776"/>
      <c r="L96" s="751">
        <f>L94</f>
        <v>76180656.149380967</v>
      </c>
      <c r="M96" s="776"/>
      <c r="N96" s="776"/>
      <c r="O96" s="776"/>
      <c r="P96" s="776"/>
      <c r="Q96" s="776"/>
      <c r="R96" s="776"/>
      <c r="S96" s="776"/>
      <c r="T96" s="776"/>
      <c r="U96" s="776"/>
    </row>
    <row r="97" spans="1:21">
      <c r="A97" s="776"/>
      <c r="B97" s="776"/>
      <c r="C97" s="776"/>
      <c r="D97" s="776"/>
      <c r="E97" s="776"/>
      <c r="F97" s="776"/>
      <c r="G97" s="776"/>
      <c r="H97" s="776"/>
      <c r="I97" s="776"/>
      <c r="J97" s="776"/>
      <c r="K97" s="776"/>
      <c r="L97" s="776"/>
      <c r="M97" s="776"/>
      <c r="N97" s="776"/>
      <c r="O97" s="776"/>
      <c r="P97" s="776"/>
      <c r="Q97" s="776"/>
      <c r="R97" s="776"/>
      <c r="S97" s="776"/>
      <c r="T97" s="776"/>
      <c r="U97" s="776"/>
    </row>
    <row r="98" spans="1:21">
      <c r="A98" s="776"/>
      <c r="B98" s="776"/>
      <c r="C98" s="776"/>
      <c r="D98" s="776"/>
      <c r="E98" s="776"/>
      <c r="F98" s="776"/>
      <c r="G98" s="776"/>
      <c r="H98" s="776"/>
      <c r="I98" s="776"/>
      <c r="J98" s="776"/>
      <c r="K98" s="776"/>
      <c r="L98" s="776"/>
      <c r="M98" s="776"/>
      <c r="N98" s="776"/>
      <c r="O98" s="776"/>
      <c r="P98" s="776"/>
      <c r="Q98" s="776"/>
      <c r="R98" s="776"/>
      <c r="S98" s="776"/>
      <c r="T98" s="776"/>
      <c r="U98" s="776"/>
    </row>
    <row r="99" spans="1:21">
      <c r="A99" s="711" t="s">
        <v>688</v>
      </c>
      <c r="B99" s="776"/>
      <c r="C99" s="776"/>
      <c r="D99" s="776"/>
      <c r="E99" s="776"/>
      <c r="F99" s="776"/>
      <c r="G99" s="776"/>
      <c r="H99" s="776"/>
      <c r="I99" s="776"/>
      <c r="J99" s="776"/>
      <c r="K99" s="776"/>
      <c r="L99" s="776"/>
      <c r="M99" s="776"/>
      <c r="N99" s="776"/>
      <c r="O99" s="776"/>
      <c r="P99" s="776"/>
      <c r="Q99" s="776"/>
      <c r="R99" s="776"/>
      <c r="S99" s="776"/>
      <c r="T99" s="776"/>
      <c r="U99" s="776"/>
    </row>
    <row r="100" spans="1:21" ht="15.75" thickBot="1">
      <c r="A100" s="784" t="s">
        <v>689</v>
      </c>
      <c r="B100" s="776"/>
      <c r="C100" s="776"/>
      <c r="D100" s="776"/>
      <c r="E100" s="776"/>
      <c r="F100" s="776"/>
      <c r="G100" s="776"/>
      <c r="H100" s="776"/>
      <c r="I100" s="776"/>
      <c r="J100" s="776"/>
      <c r="K100" s="776"/>
      <c r="L100" s="776"/>
      <c r="M100" s="776"/>
      <c r="N100" s="776"/>
      <c r="O100" s="776"/>
      <c r="P100" s="776"/>
      <c r="Q100" s="776"/>
      <c r="R100" s="776"/>
      <c r="S100" s="776"/>
      <c r="T100" s="776"/>
      <c r="U100" s="776"/>
    </row>
    <row r="101" spans="1:21" ht="33" customHeight="1">
      <c r="A101" s="785" t="s">
        <v>366</v>
      </c>
      <c r="C101" s="1019" t="s">
        <v>882</v>
      </c>
      <c r="D101" s="1019"/>
      <c r="E101" s="1019"/>
      <c r="F101" s="1019"/>
      <c r="G101" s="1019"/>
      <c r="H101" s="1019"/>
      <c r="I101" s="1019"/>
      <c r="J101" s="1019"/>
      <c r="K101" s="1019"/>
      <c r="L101" s="1019"/>
      <c r="M101" s="1019"/>
      <c r="N101" s="1019"/>
      <c r="O101" s="776"/>
      <c r="P101" s="776"/>
      <c r="Q101" s="776"/>
      <c r="R101" s="776"/>
      <c r="S101" s="776"/>
      <c r="T101" s="776"/>
      <c r="U101" s="776"/>
    </row>
    <row r="102" spans="1:21" ht="34.5" customHeight="1">
      <c r="A102" s="785" t="s">
        <v>367</v>
      </c>
      <c r="C102" s="1019" t="s">
        <v>883</v>
      </c>
      <c r="D102" s="1019"/>
      <c r="E102" s="1019"/>
      <c r="F102" s="1019"/>
      <c r="G102" s="1019"/>
      <c r="H102" s="1019"/>
      <c r="I102" s="1019"/>
      <c r="J102" s="1019"/>
      <c r="K102" s="1019"/>
      <c r="L102" s="1019"/>
      <c r="M102" s="1019"/>
      <c r="N102" s="1019"/>
      <c r="O102" s="776"/>
      <c r="P102" s="776"/>
      <c r="Q102" s="776"/>
      <c r="R102" s="776"/>
      <c r="S102" s="776"/>
      <c r="T102" s="776"/>
      <c r="U102" s="776"/>
    </row>
    <row r="103" spans="1:21" ht="34.5" customHeight="1">
      <c r="A103" s="785" t="s">
        <v>692</v>
      </c>
      <c r="C103" s="1019" t="s">
        <v>884</v>
      </c>
      <c r="D103" s="1019"/>
      <c r="E103" s="1019"/>
      <c r="F103" s="1019"/>
      <c r="G103" s="1019"/>
      <c r="H103" s="1019"/>
      <c r="I103" s="1019"/>
      <c r="J103" s="1019"/>
      <c r="K103" s="1019"/>
      <c r="L103" s="1019"/>
      <c r="M103" s="1019"/>
      <c r="N103" s="1019"/>
      <c r="O103" s="776"/>
      <c r="P103" s="776"/>
      <c r="Q103" s="776"/>
      <c r="R103" s="776"/>
      <c r="S103" s="776"/>
      <c r="T103" s="776"/>
      <c r="U103" s="776"/>
    </row>
    <row r="104" spans="1:21">
      <c r="A104" s="785" t="s">
        <v>694</v>
      </c>
      <c r="C104" s="1020" t="s">
        <v>885</v>
      </c>
      <c r="D104" s="1020"/>
      <c r="E104" s="1020"/>
      <c r="F104" s="1020"/>
      <c r="G104" s="1020"/>
      <c r="H104" s="1020"/>
      <c r="I104" s="1020"/>
      <c r="J104" s="1020"/>
      <c r="K104" s="1020"/>
      <c r="L104" s="1020"/>
      <c r="M104" s="1020"/>
      <c r="N104" s="1020"/>
      <c r="O104" s="776"/>
      <c r="P104" s="776"/>
      <c r="Q104" s="776"/>
      <c r="R104" s="776"/>
      <c r="S104" s="776"/>
      <c r="T104" s="776"/>
      <c r="U104" s="776"/>
    </row>
    <row r="105" spans="1:21">
      <c r="A105" s="743" t="s">
        <v>696</v>
      </c>
      <c r="C105" s="1018" t="s">
        <v>886</v>
      </c>
      <c r="D105" s="1018"/>
      <c r="E105" s="1018"/>
      <c r="F105" s="1018"/>
      <c r="G105" s="1018"/>
      <c r="H105" s="1018"/>
      <c r="I105" s="1018"/>
      <c r="J105" s="1018"/>
      <c r="K105" s="1018"/>
      <c r="L105" s="1018"/>
      <c r="M105" s="1018"/>
      <c r="N105" s="1018"/>
      <c r="O105" s="776"/>
      <c r="P105" s="776"/>
      <c r="Q105" s="776"/>
      <c r="R105" s="776"/>
      <c r="S105" s="776"/>
      <c r="T105" s="776"/>
      <c r="U105" s="776"/>
    </row>
    <row r="106" spans="1:21">
      <c r="A106" s="743" t="s">
        <v>698</v>
      </c>
      <c r="C106" s="1018" t="s">
        <v>887</v>
      </c>
      <c r="D106" s="1018"/>
      <c r="E106" s="1018"/>
      <c r="F106" s="1018"/>
      <c r="G106" s="1018"/>
      <c r="H106" s="1018"/>
      <c r="I106" s="1018"/>
      <c r="J106" s="1018"/>
      <c r="K106" s="1018"/>
      <c r="L106" s="1018"/>
      <c r="M106" s="1018"/>
      <c r="N106" s="1018"/>
      <c r="O106" s="776"/>
      <c r="P106" s="776"/>
      <c r="Q106" s="776"/>
      <c r="R106" s="776"/>
      <c r="S106" s="776"/>
      <c r="T106" s="776"/>
      <c r="U106" s="776"/>
    </row>
    <row r="107" spans="1:21">
      <c r="A107" s="743" t="s">
        <v>702</v>
      </c>
      <c r="C107" s="1018" t="s">
        <v>888</v>
      </c>
      <c r="D107" s="1018"/>
      <c r="E107" s="1018"/>
      <c r="F107" s="1018"/>
      <c r="G107" s="1018"/>
      <c r="H107" s="1018"/>
      <c r="I107" s="1018"/>
      <c r="J107" s="1018"/>
      <c r="K107" s="1018"/>
      <c r="L107" s="1018"/>
      <c r="M107" s="1018"/>
      <c r="N107" s="1018"/>
      <c r="O107" s="776"/>
      <c r="P107" s="776"/>
      <c r="Q107" s="776"/>
      <c r="R107" s="776"/>
      <c r="S107" s="776"/>
      <c r="T107" s="776"/>
      <c r="U107" s="776"/>
    </row>
    <row r="108" spans="1:21">
      <c r="A108" s="743" t="s">
        <v>704</v>
      </c>
      <c r="C108" s="1018" t="s">
        <v>889</v>
      </c>
      <c r="D108" s="1018"/>
      <c r="E108" s="1018"/>
      <c r="F108" s="1018"/>
      <c r="G108" s="1018"/>
      <c r="H108" s="1018"/>
      <c r="I108" s="1018"/>
      <c r="J108" s="1018"/>
      <c r="K108" s="1018"/>
      <c r="L108" s="1018"/>
      <c r="M108" s="1018"/>
      <c r="N108" s="1018"/>
      <c r="O108" s="776"/>
      <c r="P108" s="776"/>
      <c r="Q108" s="776"/>
      <c r="R108" s="776"/>
      <c r="S108" s="776"/>
      <c r="T108" s="776"/>
      <c r="U108" s="776"/>
    </row>
    <row r="109" spans="1:21">
      <c r="A109" s="786"/>
      <c r="B109" s="776"/>
      <c r="C109" s="776"/>
      <c r="D109" s="776"/>
      <c r="E109" s="776"/>
      <c r="F109" s="776"/>
      <c r="G109" s="776"/>
      <c r="H109" s="776"/>
      <c r="I109" s="776"/>
      <c r="J109" s="776"/>
      <c r="K109" s="776"/>
      <c r="L109" s="776"/>
      <c r="M109" s="776"/>
      <c r="N109" s="776"/>
      <c r="O109" s="776"/>
      <c r="P109" s="776"/>
      <c r="Q109" s="776"/>
      <c r="R109" s="776"/>
      <c r="S109" s="776"/>
      <c r="T109" s="776"/>
      <c r="U109" s="776"/>
    </row>
    <row r="110" spans="1:21">
      <c r="A110" s="753"/>
      <c r="C110" s="727"/>
      <c r="D110" s="727"/>
      <c r="E110" s="743"/>
      <c r="F110" s="743"/>
      <c r="G110" s="719"/>
      <c r="J110" s="738"/>
      <c r="M110" s="719"/>
      <c r="N110" s="754"/>
      <c r="O110" s="776"/>
      <c r="P110" s="776"/>
      <c r="Q110" s="776"/>
      <c r="R110" s="776"/>
      <c r="S110" s="776"/>
      <c r="T110" s="776"/>
      <c r="U110" s="776"/>
    </row>
    <row r="111" spans="1:21" ht="15.75">
      <c r="A111" s="753"/>
      <c r="C111" s="727"/>
      <c r="D111" s="727"/>
      <c r="E111" s="743"/>
      <c r="F111" s="743"/>
      <c r="G111" s="719"/>
      <c r="J111" s="738"/>
      <c r="M111" s="719"/>
      <c r="N111" s="740"/>
      <c r="O111" s="776"/>
      <c r="P111" s="776"/>
      <c r="Q111" s="776"/>
      <c r="R111" s="776"/>
      <c r="S111" s="776"/>
      <c r="T111" s="776"/>
      <c r="U111" s="776"/>
    </row>
    <row r="112" spans="1:21">
      <c r="C112" s="776"/>
      <c r="D112" s="776"/>
      <c r="E112" s="776"/>
      <c r="F112" s="776"/>
      <c r="G112" s="776"/>
      <c r="H112" s="776"/>
      <c r="I112" s="776"/>
      <c r="J112" s="776"/>
      <c r="K112" s="776"/>
      <c r="L112" s="776"/>
      <c r="M112" s="776"/>
      <c r="N112" s="776"/>
      <c r="O112" s="776"/>
      <c r="P112" s="776"/>
      <c r="Q112" s="776"/>
      <c r="R112" s="776"/>
      <c r="S112" s="776"/>
      <c r="T112" s="776"/>
      <c r="U112" s="776"/>
    </row>
    <row r="113" spans="3:21">
      <c r="C113" s="776"/>
      <c r="D113" s="776"/>
      <c r="E113" s="776"/>
      <c r="F113" s="776"/>
      <c r="G113" s="776"/>
      <c r="H113" s="776"/>
      <c r="I113" s="776"/>
      <c r="J113" s="776"/>
      <c r="K113" s="776"/>
      <c r="L113" s="776"/>
      <c r="M113" s="776"/>
      <c r="N113" s="776"/>
      <c r="O113" s="776"/>
      <c r="P113" s="776"/>
      <c r="Q113" s="776"/>
      <c r="R113" s="776"/>
      <c r="S113" s="776"/>
      <c r="T113" s="776"/>
      <c r="U113" s="776"/>
    </row>
    <row r="114" spans="3:21">
      <c r="C114" s="776"/>
      <c r="D114" s="776"/>
      <c r="E114" s="776"/>
      <c r="F114" s="776"/>
      <c r="G114" s="776"/>
      <c r="H114" s="776"/>
      <c r="I114" s="776"/>
      <c r="J114" s="776"/>
      <c r="K114" s="776"/>
      <c r="L114" s="776"/>
      <c r="M114" s="776"/>
      <c r="N114" s="776"/>
      <c r="O114" s="776"/>
      <c r="P114" s="776"/>
      <c r="Q114" s="776"/>
      <c r="R114" s="776"/>
      <c r="S114" s="776"/>
      <c r="T114" s="776"/>
      <c r="U114" s="776"/>
    </row>
    <row r="115" spans="3:21">
      <c r="C115" s="776"/>
      <c r="D115" s="776"/>
      <c r="E115" s="776"/>
      <c r="F115" s="776"/>
      <c r="G115" s="776"/>
      <c r="H115" s="776"/>
      <c r="I115" s="776"/>
      <c r="J115" s="776"/>
      <c r="K115" s="776"/>
      <c r="L115" s="776"/>
      <c r="M115" s="776"/>
      <c r="N115" s="776"/>
      <c r="O115" s="776"/>
      <c r="P115" s="776"/>
      <c r="Q115" s="776"/>
      <c r="R115" s="776"/>
      <c r="S115" s="776"/>
      <c r="T115" s="776"/>
      <c r="U115" s="776"/>
    </row>
    <row r="116" spans="3:21">
      <c r="C116" s="776"/>
      <c r="D116" s="776"/>
      <c r="E116" s="776"/>
      <c r="F116" s="776"/>
      <c r="G116" s="776"/>
      <c r="H116" s="776"/>
      <c r="I116" s="776"/>
      <c r="J116" s="776"/>
      <c r="K116" s="776"/>
      <c r="L116" s="776"/>
      <c r="M116" s="776"/>
      <c r="N116" s="776"/>
      <c r="O116" s="776"/>
      <c r="P116" s="776"/>
      <c r="Q116" s="776"/>
      <c r="R116" s="776"/>
      <c r="S116" s="776"/>
      <c r="T116" s="776"/>
      <c r="U116" s="776"/>
    </row>
    <row r="117" spans="3:21">
      <c r="C117" s="776"/>
      <c r="D117" s="776"/>
      <c r="E117" s="776"/>
      <c r="F117" s="776"/>
      <c r="G117" s="776"/>
      <c r="H117" s="776"/>
      <c r="I117" s="776"/>
      <c r="J117" s="776"/>
      <c r="K117" s="776"/>
      <c r="L117" s="776"/>
      <c r="M117" s="776"/>
      <c r="N117" s="776"/>
      <c r="O117" s="776"/>
      <c r="P117" s="776"/>
      <c r="Q117" s="776"/>
      <c r="R117" s="776"/>
      <c r="S117" s="776"/>
      <c r="T117" s="776"/>
      <c r="U117" s="776"/>
    </row>
    <row r="118" spans="3:21">
      <c r="C118" s="776"/>
      <c r="D118" s="776"/>
      <c r="E118" s="776"/>
      <c r="F118" s="776"/>
      <c r="G118" s="776"/>
      <c r="H118" s="776"/>
      <c r="I118" s="776"/>
      <c r="J118" s="776"/>
      <c r="K118" s="776"/>
      <c r="L118" s="776"/>
      <c r="M118" s="776"/>
      <c r="N118" s="776"/>
      <c r="O118" s="776"/>
      <c r="P118" s="776"/>
      <c r="Q118" s="776"/>
      <c r="R118" s="776"/>
      <c r="S118" s="776"/>
      <c r="T118" s="776"/>
      <c r="U118" s="776"/>
    </row>
    <row r="119" spans="3:21">
      <c r="C119" s="776"/>
      <c r="D119" s="776"/>
      <c r="E119" s="776"/>
      <c r="F119" s="776"/>
      <c r="G119" s="776"/>
      <c r="H119" s="776"/>
      <c r="I119" s="776"/>
      <c r="J119" s="776"/>
      <c r="K119" s="776"/>
      <c r="L119" s="776"/>
      <c r="M119" s="776"/>
      <c r="N119" s="776"/>
      <c r="O119" s="776"/>
      <c r="P119" s="776"/>
      <c r="Q119" s="776"/>
      <c r="R119" s="776"/>
      <c r="S119" s="776"/>
      <c r="T119" s="776"/>
      <c r="U119" s="776"/>
    </row>
    <row r="120" spans="3:21">
      <c r="C120" s="776"/>
      <c r="D120" s="776"/>
      <c r="E120" s="776"/>
      <c r="F120" s="776"/>
      <c r="G120" s="776"/>
      <c r="H120" s="776"/>
      <c r="I120" s="776"/>
      <c r="J120" s="776"/>
      <c r="K120" s="776"/>
      <c r="L120" s="776"/>
      <c r="M120" s="776"/>
      <c r="N120" s="776"/>
      <c r="O120" s="776"/>
      <c r="P120" s="776"/>
      <c r="Q120" s="776"/>
      <c r="R120" s="776"/>
      <c r="S120" s="776"/>
      <c r="T120" s="776"/>
      <c r="U120" s="776"/>
    </row>
    <row r="121" spans="3:21">
      <c r="C121" s="776"/>
      <c r="D121" s="776"/>
      <c r="E121" s="776"/>
      <c r="F121" s="776"/>
      <c r="G121" s="776"/>
      <c r="H121" s="776"/>
      <c r="I121" s="776"/>
      <c r="J121" s="776"/>
      <c r="K121" s="776"/>
      <c r="L121" s="776"/>
      <c r="M121" s="776"/>
      <c r="N121" s="776"/>
      <c r="O121" s="776"/>
      <c r="P121" s="776"/>
      <c r="Q121" s="776"/>
      <c r="R121" s="776"/>
      <c r="S121" s="776"/>
      <c r="T121" s="776"/>
      <c r="U121" s="776"/>
    </row>
    <row r="122" spans="3:21">
      <c r="C122" s="776"/>
      <c r="D122" s="776"/>
      <c r="E122" s="776"/>
      <c r="F122" s="776"/>
      <c r="G122" s="776"/>
      <c r="H122" s="776"/>
      <c r="I122" s="776"/>
      <c r="J122" s="776"/>
      <c r="K122" s="776"/>
      <c r="L122" s="776"/>
      <c r="M122" s="776"/>
      <c r="N122" s="776"/>
      <c r="O122" s="776"/>
      <c r="P122" s="776"/>
      <c r="Q122" s="776"/>
      <c r="R122" s="776"/>
      <c r="S122" s="776"/>
      <c r="T122" s="776"/>
      <c r="U122" s="776"/>
    </row>
    <row r="123" spans="3:21">
      <c r="C123" s="776"/>
      <c r="D123" s="776"/>
      <c r="E123" s="776"/>
      <c r="F123" s="776"/>
      <c r="G123" s="776"/>
      <c r="H123" s="776"/>
      <c r="I123" s="776"/>
      <c r="J123" s="776"/>
      <c r="K123" s="776"/>
      <c r="L123" s="776"/>
      <c r="M123" s="776"/>
      <c r="N123" s="776"/>
      <c r="O123" s="776"/>
      <c r="P123" s="776"/>
      <c r="Q123" s="776"/>
      <c r="R123" s="776"/>
      <c r="S123" s="776"/>
      <c r="T123" s="776"/>
      <c r="U123" s="776"/>
    </row>
    <row r="124" spans="3:21">
      <c r="C124" s="776"/>
      <c r="D124" s="776"/>
      <c r="E124" s="776"/>
      <c r="F124" s="776"/>
      <c r="G124" s="776"/>
      <c r="H124" s="776"/>
      <c r="I124" s="776"/>
      <c r="J124" s="776"/>
      <c r="K124" s="776"/>
      <c r="L124" s="776"/>
      <c r="M124" s="776"/>
      <c r="N124" s="776"/>
      <c r="O124" s="776"/>
      <c r="P124" s="776"/>
      <c r="Q124" s="776"/>
      <c r="R124" s="776"/>
      <c r="S124" s="776"/>
      <c r="T124" s="776"/>
      <c r="U124" s="776"/>
    </row>
    <row r="125" spans="3:21">
      <c r="C125" s="776"/>
      <c r="D125" s="776"/>
      <c r="E125" s="776"/>
      <c r="F125" s="776"/>
      <c r="G125" s="776"/>
      <c r="H125" s="776"/>
      <c r="I125" s="776"/>
      <c r="J125" s="776"/>
      <c r="K125" s="776"/>
      <c r="L125" s="776"/>
      <c r="M125" s="776"/>
      <c r="N125" s="776"/>
      <c r="O125" s="776"/>
      <c r="P125" s="776"/>
      <c r="Q125" s="776"/>
      <c r="R125" s="776"/>
      <c r="S125" s="776"/>
      <c r="T125" s="776"/>
      <c r="U125" s="776"/>
    </row>
    <row r="126" spans="3:21">
      <c r="C126" s="776"/>
      <c r="D126" s="776"/>
      <c r="E126" s="776"/>
      <c r="F126" s="776"/>
      <c r="G126" s="776"/>
      <c r="H126" s="776"/>
      <c r="I126" s="776"/>
      <c r="J126" s="776"/>
      <c r="K126" s="776"/>
      <c r="L126" s="776"/>
      <c r="M126" s="776"/>
      <c r="N126" s="776"/>
      <c r="O126" s="776"/>
      <c r="P126" s="776"/>
      <c r="Q126" s="776"/>
      <c r="R126" s="776"/>
      <c r="S126" s="776"/>
      <c r="T126" s="776"/>
      <c r="U126" s="776"/>
    </row>
    <row r="127" spans="3:21">
      <c r="C127" s="776"/>
      <c r="D127" s="776"/>
      <c r="E127" s="776"/>
      <c r="F127" s="776"/>
      <c r="G127" s="776"/>
      <c r="H127" s="776"/>
      <c r="I127" s="776"/>
      <c r="J127" s="776"/>
      <c r="K127" s="776"/>
      <c r="L127" s="776"/>
      <c r="M127" s="776"/>
      <c r="N127" s="776"/>
      <c r="O127" s="776"/>
      <c r="P127" s="776"/>
      <c r="Q127" s="776"/>
      <c r="R127" s="776"/>
      <c r="S127" s="776"/>
      <c r="T127" s="776"/>
      <c r="U127" s="776"/>
    </row>
    <row r="128" spans="3:21">
      <c r="C128" s="776"/>
      <c r="D128" s="776"/>
      <c r="E128" s="776"/>
      <c r="F128" s="776"/>
      <c r="G128" s="776"/>
      <c r="H128" s="776"/>
      <c r="I128" s="776"/>
      <c r="J128" s="776"/>
      <c r="K128" s="776"/>
      <c r="L128" s="776"/>
      <c r="M128" s="776"/>
      <c r="N128" s="776"/>
      <c r="O128" s="776"/>
      <c r="P128" s="776"/>
      <c r="Q128" s="776"/>
      <c r="R128" s="776"/>
      <c r="S128" s="776"/>
      <c r="T128" s="776"/>
      <c r="U128" s="776"/>
    </row>
    <row r="129" spans="3:21">
      <c r="C129" s="776"/>
      <c r="D129" s="776"/>
      <c r="E129" s="776"/>
      <c r="F129" s="776"/>
      <c r="G129" s="776"/>
      <c r="H129" s="776"/>
      <c r="I129" s="776"/>
      <c r="J129" s="776"/>
      <c r="K129" s="776"/>
      <c r="L129" s="776"/>
      <c r="M129" s="776"/>
      <c r="N129" s="776"/>
      <c r="O129" s="776"/>
      <c r="P129" s="776"/>
      <c r="Q129" s="776"/>
      <c r="R129" s="776"/>
      <c r="S129" s="776"/>
      <c r="T129" s="776"/>
      <c r="U129" s="776"/>
    </row>
    <row r="130" spans="3:21">
      <c r="C130" s="776"/>
      <c r="D130" s="776"/>
      <c r="E130" s="776"/>
      <c r="F130" s="776"/>
      <c r="G130" s="776"/>
      <c r="H130" s="776"/>
      <c r="I130" s="776"/>
      <c r="J130" s="776"/>
      <c r="K130" s="776"/>
      <c r="L130" s="776"/>
      <c r="M130" s="776"/>
      <c r="N130" s="776"/>
      <c r="O130" s="776"/>
      <c r="P130" s="776"/>
      <c r="Q130" s="776"/>
      <c r="R130" s="776"/>
      <c r="S130" s="776"/>
      <c r="T130" s="776"/>
      <c r="U130" s="776"/>
    </row>
    <row r="131" spans="3:21">
      <c r="C131" s="776"/>
      <c r="D131" s="776"/>
      <c r="E131" s="776"/>
      <c r="F131" s="776"/>
      <c r="G131" s="776"/>
      <c r="H131" s="776"/>
      <c r="I131" s="776"/>
      <c r="J131" s="776"/>
      <c r="K131" s="776"/>
      <c r="L131" s="776"/>
      <c r="M131" s="776"/>
      <c r="N131" s="776"/>
      <c r="O131" s="776"/>
      <c r="P131" s="776"/>
      <c r="Q131" s="776"/>
      <c r="R131" s="776"/>
      <c r="S131" s="776"/>
      <c r="T131" s="776"/>
      <c r="U131" s="776"/>
    </row>
    <row r="132" spans="3:21">
      <c r="C132" s="776"/>
      <c r="D132" s="776"/>
      <c r="E132" s="776"/>
      <c r="F132" s="776"/>
      <c r="G132" s="776"/>
      <c r="H132" s="776"/>
      <c r="I132" s="776"/>
      <c r="J132" s="776"/>
      <c r="K132" s="776"/>
      <c r="L132" s="776"/>
      <c r="M132" s="776"/>
      <c r="N132" s="776"/>
      <c r="O132" s="776"/>
      <c r="P132" s="776"/>
      <c r="Q132" s="776"/>
      <c r="R132" s="776"/>
      <c r="S132" s="776"/>
      <c r="T132" s="776"/>
      <c r="U132" s="776"/>
    </row>
    <row r="133" spans="3:21">
      <c r="C133" s="776"/>
      <c r="D133" s="776"/>
      <c r="E133" s="776"/>
      <c r="F133" s="776"/>
      <c r="G133" s="776"/>
      <c r="H133" s="776"/>
      <c r="I133" s="776"/>
      <c r="J133" s="776"/>
      <c r="K133" s="776"/>
      <c r="L133" s="776"/>
      <c r="M133" s="776"/>
      <c r="N133" s="776"/>
      <c r="O133" s="776"/>
      <c r="P133" s="776"/>
      <c r="Q133" s="776"/>
      <c r="R133" s="776"/>
      <c r="S133" s="776"/>
      <c r="T133" s="776"/>
      <c r="U133" s="776"/>
    </row>
    <row r="134" spans="3:21">
      <c r="C134" s="776"/>
      <c r="D134" s="776"/>
      <c r="E134" s="776"/>
      <c r="F134" s="776"/>
      <c r="G134" s="776"/>
      <c r="H134" s="776"/>
      <c r="I134" s="776"/>
      <c r="J134" s="776"/>
      <c r="K134" s="776"/>
      <c r="L134" s="776"/>
      <c r="M134" s="776"/>
      <c r="N134" s="776"/>
      <c r="O134" s="776"/>
      <c r="P134" s="776"/>
      <c r="Q134" s="776"/>
      <c r="R134" s="776"/>
      <c r="S134" s="776"/>
      <c r="T134" s="776"/>
      <c r="U134" s="776"/>
    </row>
    <row r="135" spans="3:21">
      <c r="C135" s="776"/>
      <c r="D135" s="776"/>
      <c r="E135" s="776"/>
      <c r="F135" s="776"/>
      <c r="G135" s="776"/>
      <c r="H135" s="776"/>
      <c r="I135" s="776"/>
      <c r="J135" s="776"/>
      <c r="K135" s="776"/>
      <c r="L135" s="776"/>
      <c r="M135" s="776"/>
      <c r="N135" s="776"/>
      <c r="O135" s="776"/>
      <c r="P135" s="776"/>
      <c r="Q135" s="776"/>
      <c r="R135" s="776"/>
      <c r="S135" s="776"/>
      <c r="T135" s="776"/>
      <c r="U135" s="776"/>
    </row>
    <row r="136" spans="3:21">
      <c r="C136" s="776"/>
      <c r="D136" s="776"/>
      <c r="E136" s="776"/>
      <c r="F136" s="776"/>
      <c r="G136" s="776"/>
      <c r="H136" s="776"/>
      <c r="I136" s="776"/>
      <c r="J136" s="776"/>
      <c r="K136" s="776"/>
      <c r="L136" s="776"/>
      <c r="M136" s="776"/>
      <c r="N136" s="776"/>
      <c r="O136" s="776"/>
      <c r="P136" s="776"/>
      <c r="Q136" s="776"/>
      <c r="R136" s="776"/>
      <c r="S136" s="776"/>
      <c r="T136" s="776"/>
      <c r="U136" s="776"/>
    </row>
    <row r="137" spans="3:21">
      <c r="C137" s="776"/>
      <c r="D137" s="776"/>
      <c r="E137" s="776"/>
      <c r="F137" s="776"/>
      <c r="G137" s="776"/>
      <c r="H137" s="776"/>
      <c r="I137" s="776"/>
      <c r="J137" s="776"/>
      <c r="K137" s="776"/>
      <c r="L137" s="776"/>
      <c r="M137" s="776"/>
      <c r="N137" s="776"/>
      <c r="O137" s="776"/>
      <c r="P137" s="776"/>
      <c r="Q137" s="776"/>
      <c r="R137" s="776"/>
      <c r="S137" s="776"/>
      <c r="T137" s="776"/>
      <c r="U137" s="776"/>
    </row>
    <row r="138" spans="3:21">
      <c r="C138" s="776"/>
      <c r="D138" s="776"/>
      <c r="E138" s="776"/>
      <c r="F138" s="776"/>
      <c r="G138" s="776"/>
      <c r="H138" s="776"/>
      <c r="I138" s="776"/>
      <c r="J138" s="776"/>
      <c r="K138" s="776"/>
      <c r="L138" s="776"/>
      <c r="M138" s="776"/>
      <c r="N138" s="776"/>
      <c r="O138" s="776"/>
      <c r="P138" s="776"/>
      <c r="Q138" s="776"/>
      <c r="R138" s="776"/>
      <c r="S138" s="776"/>
      <c r="T138" s="776"/>
      <c r="U138" s="776"/>
    </row>
    <row r="139" spans="3:21">
      <c r="C139" s="776"/>
      <c r="D139" s="776"/>
      <c r="E139" s="776"/>
      <c r="F139" s="776"/>
      <c r="G139" s="776"/>
      <c r="H139" s="776"/>
      <c r="I139" s="776"/>
      <c r="J139" s="776"/>
      <c r="K139" s="776"/>
      <c r="L139" s="776"/>
      <c r="M139" s="776"/>
      <c r="N139" s="776"/>
      <c r="O139" s="776"/>
      <c r="P139" s="776"/>
      <c r="Q139" s="776"/>
      <c r="R139" s="776"/>
      <c r="S139" s="776"/>
      <c r="T139" s="776"/>
      <c r="U139" s="776"/>
    </row>
    <row r="140" spans="3:21">
      <c r="C140" s="776"/>
      <c r="D140" s="776"/>
      <c r="E140" s="776"/>
      <c r="F140" s="776"/>
      <c r="G140" s="776"/>
      <c r="H140" s="776"/>
      <c r="I140" s="776"/>
      <c r="J140" s="776"/>
      <c r="K140" s="776"/>
      <c r="L140" s="776"/>
      <c r="M140" s="776"/>
      <c r="N140" s="776"/>
      <c r="O140" s="776"/>
      <c r="P140" s="776"/>
      <c r="Q140" s="776"/>
      <c r="R140" s="776"/>
      <c r="S140" s="776"/>
      <c r="T140" s="776"/>
      <c r="U140" s="776"/>
    </row>
    <row r="141" spans="3:21">
      <c r="C141" s="776"/>
      <c r="D141" s="776"/>
      <c r="E141" s="776"/>
      <c r="F141" s="776"/>
      <c r="G141" s="776"/>
      <c r="H141" s="776"/>
      <c r="I141" s="776"/>
      <c r="J141" s="776"/>
      <c r="K141" s="776"/>
      <c r="L141" s="776"/>
      <c r="M141" s="776"/>
      <c r="N141" s="776"/>
      <c r="O141" s="776"/>
      <c r="P141" s="776"/>
      <c r="Q141" s="776"/>
      <c r="R141" s="776"/>
      <c r="S141" s="776"/>
      <c r="T141" s="776"/>
      <c r="U141" s="776"/>
    </row>
    <row r="142" spans="3:21">
      <c r="C142" s="776"/>
      <c r="D142" s="776"/>
      <c r="E142" s="776"/>
      <c r="F142" s="776"/>
      <c r="G142" s="776"/>
      <c r="H142" s="776"/>
      <c r="I142" s="776"/>
      <c r="J142" s="776"/>
      <c r="K142" s="776"/>
      <c r="L142" s="776"/>
      <c r="M142" s="776"/>
      <c r="N142" s="776"/>
      <c r="O142" s="776"/>
      <c r="P142" s="776"/>
      <c r="Q142" s="776"/>
      <c r="R142" s="776"/>
      <c r="S142" s="776"/>
      <c r="T142" s="776"/>
      <c r="U142" s="776"/>
    </row>
    <row r="143" spans="3:21">
      <c r="C143" s="776"/>
      <c r="D143" s="776"/>
      <c r="E143" s="776"/>
      <c r="F143" s="776"/>
      <c r="G143" s="776"/>
      <c r="H143" s="776"/>
      <c r="I143" s="776"/>
      <c r="J143" s="776"/>
      <c r="K143" s="776"/>
      <c r="L143" s="776"/>
      <c r="M143" s="776"/>
      <c r="N143" s="776"/>
      <c r="O143" s="776"/>
      <c r="P143" s="776"/>
      <c r="Q143" s="776"/>
      <c r="R143" s="776"/>
      <c r="S143" s="776"/>
      <c r="T143" s="776"/>
      <c r="U143" s="776"/>
    </row>
    <row r="144" spans="3:21">
      <c r="C144" s="776"/>
      <c r="D144" s="776"/>
      <c r="E144" s="776"/>
      <c r="F144" s="776"/>
      <c r="G144" s="776"/>
      <c r="H144" s="776"/>
      <c r="I144" s="776"/>
      <c r="J144" s="776"/>
      <c r="K144" s="776"/>
      <c r="L144" s="776"/>
      <c r="M144" s="776"/>
      <c r="N144" s="776"/>
      <c r="O144" s="776"/>
      <c r="P144" s="776"/>
      <c r="Q144" s="776"/>
      <c r="R144" s="776"/>
      <c r="S144" s="776"/>
      <c r="T144" s="776"/>
      <c r="U144" s="776"/>
    </row>
    <row r="145" spans="3:21">
      <c r="C145" s="776"/>
      <c r="D145" s="776"/>
      <c r="E145" s="776"/>
      <c r="F145" s="776"/>
      <c r="G145" s="776"/>
      <c r="H145" s="776"/>
      <c r="I145" s="776"/>
      <c r="J145" s="776"/>
      <c r="K145" s="776"/>
      <c r="L145" s="776"/>
      <c r="M145" s="776"/>
      <c r="N145" s="776"/>
      <c r="O145" s="776"/>
      <c r="P145" s="776"/>
      <c r="Q145" s="776"/>
      <c r="R145" s="776"/>
      <c r="S145" s="776"/>
      <c r="T145" s="776"/>
      <c r="U145" s="776"/>
    </row>
    <row r="146" spans="3:21">
      <c r="C146" s="776"/>
      <c r="D146" s="776"/>
      <c r="E146" s="776"/>
      <c r="F146" s="776"/>
      <c r="G146" s="776"/>
      <c r="H146" s="776"/>
      <c r="I146" s="776"/>
      <c r="J146" s="776"/>
      <c r="K146" s="776"/>
      <c r="L146" s="776"/>
      <c r="M146" s="776"/>
      <c r="N146" s="776"/>
      <c r="O146" s="776"/>
      <c r="P146" s="776"/>
      <c r="Q146" s="776"/>
      <c r="R146" s="776"/>
      <c r="S146" s="776"/>
      <c r="T146" s="776"/>
      <c r="U146" s="776"/>
    </row>
    <row r="147" spans="3:21">
      <c r="C147" s="776"/>
      <c r="D147" s="776"/>
      <c r="E147" s="776"/>
      <c r="F147" s="776"/>
      <c r="G147" s="776"/>
      <c r="H147" s="776"/>
      <c r="I147" s="776"/>
      <c r="J147" s="776"/>
      <c r="K147" s="776"/>
      <c r="L147" s="776"/>
      <c r="M147" s="776"/>
      <c r="N147" s="776"/>
      <c r="O147" s="776"/>
      <c r="P147" s="776"/>
      <c r="Q147" s="776"/>
      <c r="R147" s="776"/>
      <c r="S147" s="776"/>
      <c r="T147" s="776"/>
      <c r="U147" s="776"/>
    </row>
    <row r="148" spans="3:21">
      <c r="C148" s="776"/>
      <c r="D148" s="776"/>
      <c r="E148" s="776"/>
      <c r="F148" s="776"/>
      <c r="G148" s="776"/>
      <c r="H148" s="776"/>
      <c r="I148" s="776"/>
      <c r="J148" s="776"/>
      <c r="K148" s="776"/>
      <c r="L148" s="776"/>
      <c r="M148" s="776"/>
      <c r="N148" s="776"/>
      <c r="O148" s="776"/>
      <c r="P148" s="776"/>
      <c r="Q148" s="776"/>
      <c r="R148" s="776"/>
      <c r="S148" s="776"/>
      <c r="T148" s="776"/>
      <c r="U148" s="776"/>
    </row>
    <row r="149" spans="3:21">
      <c r="C149" s="776"/>
      <c r="D149" s="776"/>
      <c r="E149" s="776"/>
      <c r="F149" s="776"/>
      <c r="G149" s="776"/>
      <c r="H149" s="776"/>
      <c r="I149" s="776"/>
      <c r="J149" s="776"/>
      <c r="K149" s="776"/>
      <c r="L149" s="776"/>
      <c r="M149" s="776"/>
      <c r="N149" s="776"/>
      <c r="O149" s="776"/>
      <c r="P149" s="776"/>
      <c r="Q149" s="776"/>
      <c r="R149" s="776"/>
      <c r="S149" s="776"/>
      <c r="T149" s="776"/>
      <c r="U149" s="776"/>
    </row>
    <row r="150" spans="3:21">
      <c r="C150" s="776"/>
      <c r="D150" s="776"/>
      <c r="E150" s="776"/>
      <c r="F150" s="776"/>
      <c r="G150" s="776"/>
      <c r="H150" s="776"/>
      <c r="I150" s="776"/>
      <c r="J150" s="776"/>
      <c r="K150" s="776"/>
      <c r="L150" s="776"/>
      <c r="M150" s="776"/>
      <c r="N150" s="776"/>
      <c r="O150" s="776"/>
      <c r="P150" s="776"/>
      <c r="Q150" s="776"/>
      <c r="R150" s="776"/>
      <c r="S150" s="776"/>
      <c r="T150" s="776"/>
      <c r="U150" s="776"/>
    </row>
    <row r="151" spans="3:21">
      <c r="C151" s="776"/>
      <c r="D151" s="776"/>
      <c r="E151" s="776"/>
      <c r="F151" s="776"/>
      <c r="G151" s="776"/>
      <c r="H151" s="776"/>
      <c r="I151" s="776"/>
      <c r="J151" s="776"/>
      <c r="K151" s="776"/>
      <c r="L151" s="776"/>
      <c r="M151" s="776"/>
      <c r="N151" s="776"/>
      <c r="O151" s="776"/>
      <c r="P151" s="776"/>
      <c r="Q151" s="776"/>
      <c r="R151" s="776"/>
      <c r="S151" s="776"/>
      <c r="T151" s="776"/>
      <c r="U151" s="776"/>
    </row>
    <row r="152" spans="3:21">
      <c r="C152" s="776"/>
      <c r="D152" s="776"/>
      <c r="E152" s="776"/>
      <c r="F152" s="776"/>
      <c r="G152" s="776"/>
      <c r="H152" s="776"/>
      <c r="I152" s="776"/>
      <c r="J152" s="776"/>
      <c r="K152" s="776"/>
      <c r="L152" s="776"/>
      <c r="M152" s="776"/>
      <c r="N152" s="776"/>
      <c r="O152" s="776"/>
      <c r="P152" s="776"/>
      <c r="Q152" s="776"/>
      <c r="R152" s="776"/>
      <c r="S152" s="776"/>
      <c r="T152" s="776"/>
      <c r="U152" s="776"/>
    </row>
    <row r="153" spans="3:21">
      <c r="C153" s="776"/>
      <c r="D153" s="776"/>
      <c r="E153" s="776"/>
      <c r="F153" s="776"/>
      <c r="G153" s="776"/>
      <c r="H153" s="776"/>
      <c r="I153" s="776"/>
      <c r="J153" s="776"/>
      <c r="K153" s="776"/>
      <c r="L153" s="776"/>
      <c r="M153" s="776"/>
      <c r="N153" s="776"/>
      <c r="O153" s="776"/>
      <c r="P153" s="776"/>
      <c r="Q153" s="776"/>
      <c r="R153" s="776"/>
      <c r="S153" s="776"/>
      <c r="T153" s="776"/>
      <c r="U153" s="776"/>
    </row>
    <row r="154" spans="3:21">
      <c r="C154" s="776"/>
      <c r="D154" s="776"/>
      <c r="E154" s="776"/>
      <c r="F154" s="776"/>
      <c r="G154" s="776"/>
      <c r="H154" s="776"/>
      <c r="I154" s="776"/>
      <c r="J154" s="776"/>
      <c r="K154" s="776"/>
      <c r="L154" s="776"/>
      <c r="M154" s="776"/>
      <c r="N154" s="776"/>
      <c r="O154" s="776"/>
      <c r="P154" s="776"/>
      <c r="Q154" s="776"/>
      <c r="R154" s="776"/>
      <c r="S154" s="776"/>
      <c r="T154" s="776"/>
      <c r="U154" s="776"/>
    </row>
    <row r="155" spans="3:21">
      <c r="C155" s="776"/>
      <c r="D155" s="776"/>
      <c r="E155" s="776"/>
      <c r="F155" s="776"/>
      <c r="G155" s="776"/>
      <c r="H155" s="776"/>
      <c r="I155" s="776"/>
      <c r="J155" s="776"/>
      <c r="K155" s="776"/>
      <c r="L155" s="776"/>
      <c r="M155" s="776"/>
      <c r="N155" s="776"/>
      <c r="O155" s="776"/>
      <c r="P155" s="776"/>
      <c r="Q155" s="776"/>
      <c r="R155" s="776"/>
      <c r="S155" s="776"/>
      <c r="T155" s="776"/>
      <c r="U155" s="776"/>
    </row>
    <row r="156" spans="3:21">
      <c r="C156" s="776"/>
      <c r="D156" s="776"/>
      <c r="E156" s="776"/>
      <c r="F156" s="776"/>
      <c r="G156" s="776"/>
      <c r="H156" s="776"/>
      <c r="I156" s="776"/>
      <c r="J156" s="776"/>
      <c r="K156" s="776"/>
      <c r="L156" s="776"/>
      <c r="M156" s="776"/>
      <c r="N156" s="776"/>
      <c r="O156" s="776"/>
      <c r="P156" s="776"/>
      <c r="Q156" s="776"/>
      <c r="R156" s="776"/>
      <c r="S156" s="776"/>
      <c r="T156" s="776"/>
      <c r="U156" s="776"/>
    </row>
    <row r="157" spans="3:21">
      <c r="C157" s="776"/>
      <c r="D157" s="776"/>
      <c r="E157" s="776"/>
      <c r="F157" s="776"/>
      <c r="G157" s="776"/>
      <c r="H157" s="776"/>
      <c r="I157" s="776"/>
      <c r="J157" s="776"/>
      <c r="K157" s="776"/>
      <c r="L157" s="776"/>
      <c r="M157" s="776"/>
      <c r="N157" s="776"/>
      <c r="O157" s="776"/>
      <c r="P157" s="776"/>
      <c r="Q157" s="776"/>
      <c r="R157" s="776"/>
      <c r="S157" s="776"/>
      <c r="T157" s="776"/>
      <c r="U157" s="776"/>
    </row>
    <row r="158" spans="3:21">
      <c r="C158" s="776"/>
      <c r="D158" s="776"/>
      <c r="E158" s="776"/>
      <c r="F158" s="776"/>
      <c r="G158" s="776"/>
      <c r="H158" s="776"/>
      <c r="I158" s="776"/>
      <c r="J158" s="776"/>
      <c r="K158" s="776"/>
      <c r="L158" s="776"/>
      <c r="M158" s="776"/>
      <c r="N158" s="776"/>
      <c r="O158" s="776"/>
      <c r="P158" s="776"/>
      <c r="Q158" s="776"/>
      <c r="R158" s="776"/>
      <c r="S158" s="776"/>
      <c r="T158" s="776"/>
      <c r="U158" s="776"/>
    </row>
    <row r="159" spans="3:21">
      <c r="C159" s="776"/>
      <c r="D159" s="776"/>
      <c r="E159" s="776"/>
      <c r="F159" s="776"/>
      <c r="G159" s="776"/>
      <c r="H159" s="776"/>
      <c r="I159" s="776"/>
      <c r="J159" s="776"/>
      <c r="K159" s="776"/>
      <c r="L159" s="776"/>
      <c r="M159" s="776"/>
      <c r="N159" s="776"/>
      <c r="O159" s="776"/>
      <c r="P159" s="776"/>
      <c r="Q159" s="776"/>
      <c r="R159" s="776"/>
      <c r="S159" s="776"/>
      <c r="T159" s="776"/>
      <c r="U159" s="776"/>
    </row>
    <row r="160" spans="3:21">
      <c r="C160" s="776"/>
      <c r="D160" s="776"/>
      <c r="E160" s="776"/>
      <c r="F160" s="776"/>
      <c r="G160" s="776"/>
      <c r="H160" s="776"/>
      <c r="I160" s="776"/>
      <c r="J160" s="776"/>
      <c r="K160" s="776"/>
      <c r="L160" s="776"/>
      <c r="M160" s="776"/>
      <c r="N160" s="776"/>
      <c r="O160" s="776"/>
      <c r="P160" s="776"/>
      <c r="Q160" s="776"/>
      <c r="R160" s="776"/>
      <c r="S160" s="776"/>
      <c r="T160" s="776"/>
      <c r="U160" s="776"/>
    </row>
    <row r="161" spans="3:21">
      <c r="C161" s="776"/>
      <c r="D161" s="776"/>
      <c r="E161" s="776"/>
      <c r="F161" s="776"/>
      <c r="G161" s="776"/>
      <c r="H161" s="776"/>
      <c r="I161" s="776"/>
      <c r="J161" s="776"/>
      <c r="K161" s="776"/>
      <c r="L161" s="776"/>
      <c r="M161" s="776"/>
      <c r="N161" s="776"/>
      <c r="O161" s="776"/>
      <c r="P161" s="776"/>
      <c r="Q161" s="776"/>
      <c r="R161" s="776"/>
      <c r="S161" s="776"/>
      <c r="T161" s="776"/>
      <c r="U161" s="776"/>
    </row>
    <row r="162" spans="3:21">
      <c r="C162" s="776"/>
      <c r="D162" s="776"/>
      <c r="E162" s="776"/>
      <c r="F162" s="776"/>
      <c r="G162" s="776"/>
      <c r="H162" s="776"/>
      <c r="I162" s="776"/>
      <c r="J162" s="776"/>
      <c r="K162" s="776"/>
      <c r="L162" s="776"/>
      <c r="M162" s="776"/>
      <c r="N162" s="776"/>
      <c r="O162" s="776"/>
      <c r="P162" s="776"/>
      <c r="Q162" s="776"/>
      <c r="R162" s="776"/>
      <c r="S162" s="776"/>
      <c r="T162" s="776"/>
      <c r="U162" s="776"/>
    </row>
    <row r="163" spans="3:21">
      <c r="C163" s="776"/>
      <c r="D163" s="776"/>
      <c r="E163" s="776"/>
      <c r="F163" s="776"/>
      <c r="G163" s="776"/>
      <c r="H163" s="776"/>
      <c r="I163" s="776"/>
      <c r="J163" s="776"/>
      <c r="K163" s="776"/>
      <c r="L163" s="776"/>
      <c r="M163" s="776"/>
      <c r="N163" s="776"/>
      <c r="O163" s="776"/>
      <c r="P163" s="776"/>
      <c r="Q163" s="776"/>
      <c r="R163" s="776"/>
      <c r="S163" s="776"/>
      <c r="T163" s="776"/>
      <c r="U163" s="776"/>
    </row>
    <row r="164" spans="3:21">
      <c r="C164" s="776"/>
      <c r="D164" s="776"/>
      <c r="E164" s="776"/>
      <c r="F164" s="776"/>
      <c r="G164" s="776"/>
      <c r="H164" s="776"/>
      <c r="I164" s="776"/>
      <c r="J164" s="776"/>
      <c r="K164" s="776"/>
      <c r="L164" s="776"/>
      <c r="M164" s="776"/>
      <c r="N164" s="776"/>
      <c r="O164" s="776"/>
      <c r="P164" s="776"/>
      <c r="Q164" s="776"/>
      <c r="R164" s="776"/>
      <c r="S164" s="776"/>
      <c r="T164" s="776"/>
      <c r="U164" s="776"/>
    </row>
    <row r="165" spans="3:21">
      <c r="C165" s="776"/>
      <c r="D165" s="776"/>
      <c r="E165" s="776"/>
      <c r="F165" s="776"/>
      <c r="G165" s="776"/>
      <c r="H165" s="776"/>
      <c r="I165" s="776"/>
      <c r="J165" s="776"/>
      <c r="K165" s="776"/>
      <c r="L165" s="776"/>
      <c r="M165" s="776"/>
      <c r="N165" s="776"/>
      <c r="O165" s="776"/>
      <c r="P165" s="776"/>
      <c r="Q165" s="776"/>
      <c r="R165" s="776"/>
      <c r="S165" s="776"/>
      <c r="T165" s="776"/>
      <c r="U165" s="776"/>
    </row>
    <row r="166" spans="3:21">
      <c r="C166" s="776"/>
      <c r="D166" s="776"/>
      <c r="E166" s="776"/>
      <c r="F166" s="776"/>
      <c r="G166" s="776"/>
      <c r="H166" s="776"/>
      <c r="I166" s="776"/>
      <c r="J166" s="776"/>
      <c r="K166" s="776"/>
      <c r="L166" s="776"/>
      <c r="M166" s="776"/>
      <c r="N166" s="776"/>
      <c r="O166" s="776"/>
      <c r="P166" s="776"/>
      <c r="Q166" s="776"/>
      <c r="R166" s="776"/>
      <c r="S166" s="776"/>
      <c r="T166" s="776"/>
      <c r="U166" s="776"/>
    </row>
    <row r="167" spans="3:21">
      <c r="C167" s="776"/>
      <c r="D167" s="776"/>
      <c r="E167" s="776"/>
      <c r="F167" s="776"/>
      <c r="G167" s="776"/>
      <c r="H167" s="776"/>
      <c r="I167" s="776"/>
      <c r="J167" s="776"/>
      <c r="K167" s="776"/>
      <c r="L167" s="776"/>
      <c r="M167" s="776"/>
      <c r="N167" s="776"/>
      <c r="O167" s="776"/>
      <c r="P167" s="776"/>
      <c r="Q167" s="776"/>
      <c r="R167" s="776"/>
      <c r="S167" s="776"/>
      <c r="T167" s="776"/>
      <c r="U167" s="776"/>
    </row>
    <row r="168" spans="3:21">
      <c r="C168" s="776"/>
      <c r="D168" s="776"/>
      <c r="E168" s="776"/>
      <c r="F168" s="776"/>
      <c r="G168" s="776"/>
      <c r="H168" s="776"/>
      <c r="I168" s="776"/>
      <c r="J168" s="776"/>
      <c r="K168" s="776"/>
      <c r="L168" s="776"/>
      <c r="M168" s="776"/>
      <c r="N168" s="776"/>
      <c r="O168" s="776"/>
      <c r="P168" s="776"/>
      <c r="Q168" s="776"/>
      <c r="R168" s="776"/>
      <c r="S168" s="776"/>
      <c r="T168" s="776"/>
      <c r="U168" s="776"/>
    </row>
    <row r="169" spans="3:21">
      <c r="C169" s="776"/>
      <c r="D169" s="776"/>
      <c r="E169" s="776"/>
      <c r="F169" s="776"/>
      <c r="G169" s="776"/>
      <c r="H169" s="776"/>
      <c r="I169" s="776"/>
      <c r="J169" s="776"/>
      <c r="K169" s="776"/>
      <c r="L169" s="776"/>
      <c r="M169" s="776"/>
      <c r="N169" s="776"/>
      <c r="O169" s="776"/>
      <c r="P169" s="776"/>
      <c r="Q169" s="776"/>
      <c r="R169" s="776"/>
      <c r="S169" s="776"/>
      <c r="T169" s="776"/>
      <c r="U169" s="776"/>
    </row>
    <row r="170" spans="3:21">
      <c r="C170" s="776"/>
      <c r="D170" s="776"/>
      <c r="E170" s="776"/>
      <c r="F170" s="776"/>
      <c r="G170" s="776"/>
      <c r="H170" s="776"/>
      <c r="I170" s="776"/>
      <c r="J170" s="776"/>
      <c r="K170" s="776"/>
      <c r="L170" s="776"/>
      <c r="M170" s="776"/>
      <c r="N170" s="776"/>
      <c r="O170" s="776"/>
      <c r="P170" s="776"/>
      <c r="Q170" s="776"/>
      <c r="R170" s="776"/>
      <c r="S170" s="776"/>
      <c r="T170" s="776"/>
      <c r="U170" s="776"/>
    </row>
    <row r="171" spans="3:21">
      <c r="C171" s="776"/>
      <c r="D171" s="776"/>
      <c r="E171" s="776"/>
      <c r="F171" s="776"/>
      <c r="G171" s="776"/>
      <c r="H171" s="776"/>
      <c r="I171" s="776"/>
      <c r="J171" s="776"/>
      <c r="K171" s="776"/>
      <c r="L171" s="776"/>
      <c r="M171" s="776"/>
      <c r="N171" s="776"/>
      <c r="O171" s="776"/>
      <c r="P171" s="776"/>
      <c r="Q171" s="776"/>
      <c r="R171" s="776"/>
      <c r="S171" s="776"/>
      <c r="T171" s="776"/>
      <c r="U171" s="776"/>
    </row>
    <row r="172" spans="3:21">
      <c r="C172" s="776"/>
      <c r="D172" s="776"/>
      <c r="E172" s="776"/>
      <c r="F172" s="776"/>
      <c r="G172" s="776"/>
      <c r="H172" s="776"/>
      <c r="I172" s="776"/>
      <c r="J172" s="776"/>
      <c r="K172" s="776"/>
      <c r="L172" s="776"/>
      <c r="M172" s="776"/>
      <c r="N172" s="776"/>
      <c r="O172" s="776"/>
      <c r="P172" s="776"/>
      <c r="Q172" s="776"/>
      <c r="R172" s="776"/>
      <c r="S172" s="776"/>
      <c r="T172" s="776"/>
      <c r="U172" s="776"/>
    </row>
    <row r="173" spans="3:21">
      <c r="C173" s="776"/>
      <c r="D173" s="776"/>
      <c r="E173" s="776"/>
      <c r="F173" s="776"/>
      <c r="G173" s="776"/>
      <c r="H173" s="776"/>
      <c r="I173" s="776"/>
      <c r="J173" s="776"/>
      <c r="K173" s="776"/>
      <c r="L173" s="776"/>
      <c r="M173" s="776"/>
      <c r="N173" s="776"/>
      <c r="O173" s="776"/>
      <c r="P173" s="776"/>
      <c r="Q173" s="776"/>
      <c r="R173" s="776"/>
      <c r="S173" s="776"/>
      <c r="T173" s="776"/>
      <c r="U173" s="776"/>
    </row>
    <row r="174" spans="3:21">
      <c r="C174" s="776"/>
      <c r="D174" s="776"/>
      <c r="E174" s="776"/>
      <c r="F174" s="776"/>
      <c r="G174" s="776"/>
      <c r="H174" s="776"/>
      <c r="I174" s="776"/>
      <c r="J174" s="776"/>
      <c r="K174" s="776"/>
      <c r="L174" s="776"/>
      <c r="M174" s="776"/>
      <c r="N174" s="776"/>
      <c r="O174" s="776"/>
      <c r="P174" s="776"/>
      <c r="Q174" s="776"/>
      <c r="R174" s="776"/>
      <c r="S174" s="776"/>
      <c r="T174" s="776"/>
      <c r="U174" s="776"/>
    </row>
    <row r="175" spans="3:21">
      <c r="C175" s="776"/>
      <c r="D175" s="776"/>
      <c r="E175" s="776"/>
      <c r="F175" s="776"/>
      <c r="G175" s="776"/>
      <c r="H175" s="776"/>
      <c r="I175" s="776"/>
      <c r="J175" s="776"/>
      <c r="K175" s="776"/>
      <c r="L175" s="776"/>
      <c r="M175" s="776"/>
      <c r="N175" s="776"/>
      <c r="O175" s="776"/>
      <c r="P175" s="776"/>
      <c r="Q175" s="776"/>
      <c r="R175" s="776"/>
      <c r="S175" s="776"/>
      <c r="T175" s="776"/>
      <c r="U175" s="776"/>
    </row>
    <row r="176" spans="3:21">
      <c r="C176" s="776"/>
      <c r="D176" s="776"/>
      <c r="E176" s="776"/>
      <c r="F176" s="776"/>
      <c r="G176" s="776"/>
      <c r="H176" s="776"/>
      <c r="I176" s="776"/>
      <c r="J176" s="776"/>
      <c r="K176" s="776"/>
      <c r="L176" s="776"/>
      <c r="M176" s="776"/>
      <c r="N176" s="776"/>
      <c r="O176" s="776"/>
      <c r="P176" s="776"/>
      <c r="Q176" s="776"/>
      <c r="R176" s="776"/>
      <c r="S176" s="776"/>
      <c r="T176" s="776"/>
      <c r="U176" s="776"/>
    </row>
    <row r="177" spans="3:21">
      <c r="C177" s="776"/>
      <c r="D177" s="776"/>
      <c r="E177" s="776"/>
      <c r="F177" s="776"/>
      <c r="G177" s="776"/>
      <c r="H177" s="776"/>
      <c r="I177" s="776"/>
      <c r="J177" s="776"/>
      <c r="K177" s="776"/>
      <c r="L177" s="776"/>
      <c r="M177" s="776"/>
      <c r="N177" s="776"/>
      <c r="O177" s="776"/>
      <c r="P177" s="776"/>
      <c r="Q177" s="776"/>
      <c r="R177" s="776"/>
      <c r="S177" s="776"/>
      <c r="T177" s="776"/>
      <c r="U177" s="776"/>
    </row>
    <row r="178" spans="3:21">
      <c r="C178" s="776"/>
      <c r="D178" s="776"/>
      <c r="E178" s="776"/>
      <c r="F178" s="776"/>
      <c r="G178" s="776"/>
      <c r="H178" s="776"/>
      <c r="I178" s="776"/>
      <c r="J178" s="776"/>
      <c r="K178" s="776"/>
      <c r="L178" s="776"/>
      <c r="M178" s="776"/>
      <c r="N178" s="776"/>
      <c r="O178" s="776"/>
      <c r="P178" s="776"/>
      <c r="Q178" s="776"/>
      <c r="R178" s="776"/>
      <c r="S178" s="776"/>
      <c r="T178" s="776"/>
      <c r="U178" s="776"/>
    </row>
    <row r="179" spans="3:21">
      <c r="C179" s="776"/>
      <c r="D179" s="776"/>
      <c r="E179" s="776"/>
      <c r="F179" s="776"/>
      <c r="G179" s="776"/>
      <c r="H179" s="776"/>
      <c r="I179" s="776"/>
      <c r="J179" s="776"/>
      <c r="K179" s="776"/>
      <c r="L179" s="776"/>
      <c r="M179" s="776"/>
      <c r="N179" s="776"/>
      <c r="O179" s="776"/>
      <c r="P179" s="776"/>
      <c r="Q179" s="776"/>
      <c r="R179" s="776"/>
      <c r="S179" s="776"/>
      <c r="T179" s="776"/>
      <c r="U179" s="776"/>
    </row>
    <row r="180" spans="3:21">
      <c r="C180" s="776"/>
      <c r="D180" s="776"/>
      <c r="E180" s="776"/>
      <c r="F180" s="776"/>
      <c r="G180" s="776"/>
      <c r="H180" s="776"/>
      <c r="I180" s="776"/>
      <c r="J180" s="776"/>
      <c r="K180" s="776"/>
      <c r="L180" s="776"/>
      <c r="M180" s="776"/>
      <c r="N180" s="776"/>
      <c r="O180" s="776"/>
      <c r="P180" s="776"/>
      <c r="Q180" s="776"/>
      <c r="R180" s="776"/>
      <c r="S180" s="776"/>
      <c r="T180" s="776"/>
      <c r="U180" s="776"/>
    </row>
    <row r="181" spans="3:21">
      <c r="C181" s="776"/>
      <c r="D181" s="776"/>
      <c r="E181" s="776"/>
      <c r="F181" s="776"/>
      <c r="G181" s="776"/>
      <c r="H181" s="776"/>
      <c r="I181" s="776"/>
      <c r="J181" s="776"/>
      <c r="K181" s="776"/>
      <c r="L181" s="776"/>
      <c r="M181" s="776"/>
      <c r="N181" s="776"/>
      <c r="O181" s="776"/>
      <c r="P181" s="776"/>
      <c r="Q181" s="776"/>
      <c r="R181" s="776"/>
      <c r="S181" s="776"/>
      <c r="T181" s="776"/>
      <c r="U181" s="776"/>
    </row>
    <row r="182" spans="3:21">
      <c r="C182" s="776"/>
      <c r="D182" s="776"/>
      <c r="E182" s="776"/>
      <c r="F182" s="776"/>
      <c r="G182" s="776"/>
      <c r="H182" s="776"/>
      <c r="I182" s="776"/>
      <c r="J182" s="776"/>
      <c r="K182" s="776"/>
      <c r="L182" s="776"/>
      <c r="M182" s="776"/>
      <c r="N182" s="776"/>
      <c r="O182" s="776"/>
      <c r="P182" s="776"/>
      <c r="Q182" s="776"/>
      <c r="R182" s="776"/>
      <c r="S182" s="776"/>
      <c r="T182" s="776"/>
      <c r="U182" s="776"/>
    </row>
    <row r="183" spans="3:21">
      <c r="C183" s="776"/>
      <c r="D183" s="776"/>
      <c r="E183" s="776"/>
      <c r="F183" s="776"/>
      <c r="G183" s="776"/>
      <c r="H183" s="776"/>
      <c r="I183" s="776"/>
      <c r="J183" s="776"/>
      <c r="K183" s="776"/>
      <c r="L183" s="776"/>
      <c r="M183" s="776"/>
      <c r="N183" s="776"/>
      <c r="O183" s="776"/>
      <c r="P183" s="776"/>
      <c r="Q183" s="776"/>
      <c r="R183" s="776"/>
      <c r="S183" s="776"/>
      <c r="T183" s="776"/>
      <c r="U183" s="776"/>
    </row>
    <row r="184" spans="3:21">
      <c r="C184" s="776"/>
      <c r="D184" s="776"/>
      <c r="E184" s="776"/>
      <c r="F184" s="776"/>
      <c r="G184" s="776"/>
      <c r="H184" s="776"/>
      <c r="I184" s="776"/>
      <c r="J184" s="776"/>
      <c r="K184" s="776"/>
      <c r="L184" s="776"/>
      <c r="M184" s="776"/>
      <c r="N184" s="776"/>
      <c r="O184" s="776"/>
      <c r="P184" s="776"/>
      <c r="Q184" s="776"/>
      <c r="R184" s="776"/>
      <c r="S184" s="776"/>
      <c r="T184" s="776"/>
      <c r="U184" s="776"/>
    </row>
    <row r="185" spans="3:21">
      <c r="C185" s="776"/>
      <c r="D185" s="776"/>
      <c r="E185" s="776"/>
      <c r="F185" s="776"/>
      <c r="G185" s="776"/>
      <c r="H185" s="776"/>
      <c r="I185" s="776"/>
      <c r="J185" s="776"/>
      <c r="K185" s="776"/>
      <c r="L185" s="776"/>
      <c r="M185" s="776"/>
      <c r="N185" s="776"/>
      <c r="O185" s="776"/>
      <c r="P185" s="776"/>
      <c r="Q185" s="776"/>
      <c r="R185" s="776"/>
      <c r="S185" s="776"/>
      <c r="T185" s="776"/>
      <c r="U185" s="776"/>
    </row>
    <row r="186" spans="3:21">
      <c r="C186" s="776"/>
      <c r="D186" s="776"/>
      <c r="E186" s="776"/>
      <c r="F186" s="776"/>
      <c r="G186" s="776"/>
      <c r="H186" s="776"/>
      <c r="I186" s="776"/>
      <c r="J186" s="776"/>
      <c r="K186" s="776"/>
      <c r="L186" s="776"/>
      <c r="M186" s="776"/>
      <c r="N186" s="776"/>
      <c r="O186" s="776"/>
      <c r="P186" s="776"/>
      <c r="Q186" s="776"/>
      <c r="R186" s="776"/>
      <c r="S186" s="776"/>
      <c r="T186" s="776"/>
      <c r="U186" s="776"/>
    </row>
    <row r="187" spans="3:21">
      <c r="C187" s="776"/>
      <c r="D187" s="776"/>
      <c r="E187" s="776"/>
      <c r="F187" s="776"/>
      <c r="G187" s="776"/>
      <c r="H187" s="776"/>
      <c r="I187" s="776"/>
      <c r="J187" s="776"/>
      <c r="K187" s="776"/>
      <c r="L187" s="776"/>
      <c r="M187" s="776"/>
      <c r="N187" s="776"/>
      <c r="O187" s="776"/>
      <c r="P187" s="776"/>
      <c r="Q187" s="776"/>
      <c r="R187" s="776"/>
      <c r="S187" s="776"/>
      <c r="T187" s="776"/>
      <c r="U187" s="776"/>
    </row>
    <row r="188" spans="3:21">
      <c r="C188" s="776"/>
      <c r="D188" s="776"/>
      <c r="E188" s="776"/>
      <c r="F188" s="776"/>
      <c r="G188" s="776"/>
      <c r="H188" s="776"/>
      <c r="I188" s="776"/>
      <c r="J188" s="776"/>
      <c r="K188" s="776"/>
      <c r="L188" s="776"/>
      <c r="M188" s="776"/>
      <c r="N188" s="776"/>
      <c r="O188" s="776"/>
      <c r="P188" s="776"/>
      <c r="Q188" s="776"/>
      <c r="R188" s="776"/>
      <c r="S188" s="776"/>
      <c r="T188" s="776"/>
      <c r="U188" s="776"/>
    </row>
    <row r="189" spans="3:21">
      <c r="C189" s="776"/>
      <c r="D189" s="776"/>
      <c r="E189" s="776"/>
      <c r="F189" s="776"/>
      <c r="G189" s="776"/>
      <c r="H189" s="776"/>
      <c r="I189" s="776"/>
      <c r="J189" s="776"/>
      <c r="K189" s="776"/>
      <c r="L189" s="776"/>
      <c r="M189" s="776"/>
      <c r="N189" s="776"/>
      <c r="O189" s="776"/>
      <c r="P189" s="776"/>
      <c r="Q189" s="776"/>
      <c r="R189" s="776"/>
      <c r="S189" s="776"/>
      <c r="T189" s="776"/>
      <c r="U189" s="776"/>
    </row>
    <row r="190" spans="3:21">
      <c r="C190" s="776"/>
      <c r="D190" s="776"/>
      <c r="E190" s="776"/>
      <c r="F190" s="776"/>
      <c r="G190" s="776"/>
      <c r="H190" s="776"/>
      <c r="I190" s="776"/>
      <c r="J190" s="776"/>
      <c r="K190" s="776"/>
      <c r="L190" s="776"/>
      <c r="M190" s="776"/>
      <c r="N190" s="776"/>
      <c r="O190" s="776"/>
      <c r="P190" s="776"/>
      <c r="Q190" s="776"/>
      <c r="R190" s="776"/>
      <c r="S190" s="776"/>
      <c r="T190" s="776"/>
      <c r="U190" s="776"/>
    </row>
    <row r="191" spans="3:21">
      <c r="C191" s="776"/>
      <c r="D191" s="776"/>
      <c r="E191" s="776"/>
      <c r="F191" s="776"/>
      <c r="G191" s="776"/>
      <c r="H191" s="776"/>
      <c r="I191" s="776"/>
      <c r="J191" s="776"/>
      <c r="K191" s="776"/>
      <c r="L191" s="776"/>
      <c r="M191" s="776"/>
      <c r="N191" s="776"/>
      <c r="O191" s="776"/>
      <c r="P191" s="776"/>
      <c r="Q191" s="776"/>
      <c r="R191" s="776"/>
      <c r="S191" s="776"/>
      <c r="T191" s="776"/>
      <c r="U191" s="776"/>
    </row>
    <row r="192" spans="3:21">
      <c r="C192" s="776"/>
      <c r="D192" s="776"/>
      <c r="E192" s="776"/>
      <c r="F192" s="776"/>
      <c r="G192" s="776"/>
      <c r="H192" s="776"/>
      <c r="I192" s="776"/>
      <c r="J192" s="776"/>
      <c r="K192" s="776"/>
      <c r="L192" s="776"/>
      <c r="M192" s="776"/>
      <c r="N192" s="776"/>
      <c r="O192" s="776"/>
      <c r="P192" s="776"/>
      <c r="Q192" s="776"/>
      <c r="R192" s="776"/>
      <c r="S192" s="776"/>
      <c r="T192" s="776"/>
      <c r="U192" s="776"/>
    </row>
    <row r="193" spans="3:21">
      <c r="C193" s="776"/>
      <c r="D193" s="776"/>
      <c r="E193" s="776"/>
      <c r="F193" s="776"/>
      <c r="G193" s="776"/>
      <c r="H193" s="776"/>
      <c r="I193" s="776"/>
      <c r="J193" s="776"/>
      <c r="K193" s="776"/>
      <c r="L193" s="776"/>
      <c r="M193" s="776"/>
      <c r="N193" s="776"/>
      <c r="O193" s="776"/>
      <c r="P193" s="776"/>
      <c r="Q193" s="776"/>
      <c r="R193" s="776"/>
      <c r="S193" s="776"/>
      <c r="T193" s="776"/>
      <c r="U193" s="776"/>
    </row>
    <row r="194" spans="3:21">
      <c r="C194" s="776"/>
      <c r="D194" s="776"/>
      <c r="E194" s="776"/>
      <c r="F194" s="776"/>
      <c r="G194" s="776"/>
      <c r="H194" s="776"/>
      <c r="I194" s="776"/>
      <c r="J194" s="776"/>
      <c r="K194" s="776"/>
      <c r="L194" s="776"/>
      <c r="M194" s="776"/>
      <c r="N194" s="776"/>
      <c r="O194" s="776"/>
      <c r="P194" s="776"/>
      <c r="Q194" s="776"/>
      <c r="R194" s="776"/>
      <c r="S194" s="776"/>
      <c r="T194" s="776"/>
      <c r="U194" s="776"/>
    </row>
    <row r="195" spans="3:21">
      <c r="C195" s="776"/>
      <c r="D195" s="776"/>
      <c r="E195" s="776"/>
      <c r="F195" s="776"/>
      <c r="G195" s="776"/>
      <c r="H195" s="776"/>
      <c r="I195" s="776"/>
      <c r="J195" s="776"/>
      <c r="K195" s="776"/>
      <c r="L195" s="776"/>
      <c r="M195" s="776"/>
      <c r="N195" s="776"/>
      <c r="O195" s="776"/>
      <c r="P195" s="776"/>
      <c r="Q195" s="776"/>
      <c r="R195" s="776"/>
      <c r="S195" s="776"/>
      <c r="T195" s="776"/>
      <c r="U195" s="776"/>
    </row>
    <row r="196" spans="3:21">
      <c r="C196" s="776"/>
      <c r="D196" s="776"/>
      <c r="E196" s="776"/>
      <c r="F196" s="776"/>
      <c r="G196" s="776"/>
      <c r="H196" s="776"/>
      <c r="I196" s="776"/>
      <c r="J196" s="776"/>
      <c r="K196" s="776"/>
      <c r="L196" s="776"/>
      <c r="M196" s="776"/>
      <c r="N196" s="776"/>
      <c r="O196" s="776"/>
      <c r="P196" s="776"/>
      <c r="Q196" s="776"/>
      <c r="R196" s="776"/>
      <c r="S196" s="776"/>
      <c r="T196" s="776"/>
      <c r="U196" s="776"/>
    </row>
    <row r="197" spans="3:21">
      <c r="C197" s="776"/>
      <c r="D197" s="776"/>
      <c r="E197" s="776"/>
      <c r="F197" s="776"/>
      <c r="G197" s="776"/>
      <c r="H197" s="776"/>
      <c r="I197" s="776"/>
      <c r="J197" s="776"/>
      <c r="K197" s="776"/>
      <c r="L197" s="776"/>
      <c r="M197" s="776"/>
      <c r="N197" s="776"/>
      <c r="O197" s="776"/>
      <c r="P197" s="776"/>
      <c r="Q197" s="776"/>
      <c r="R197" s="776"/>
      <c r="S197" s="776"/>
      <c r="T197" s="776"/>
      <c r="U197" s="776"/>
    </row>
    <row r="198" spans="3:21">
      <c r="C198" s="776"/>
      <c r="D198" s="776"/>
      <c r="E198" s="776"/>
      <c r="F198" s="776"/>
      <c r="G198" s="776"/>
      <c r="H198" s="776"/>
      <c r="I198" s="776"/>
      <c r="J198" s="776"/>
      <c r="K198" s="776"/>
      <c r="L198" s="776"/>
      <c r="M198" s="776"/>
      <c r="N198" s="776"/>
      <c r="O198" s="776"/>
      <c r="P198" s="776"/>
      <c r="Q198" s="776"/>
      <c r="R198" s="776"/>
      <c r="S198" s="776"/>
      <c r="T198" s="776"/>
      <c r="U198" s="776"/>
    </row>
    <row r="199" spans="3:21">
      <c r="C199" s="776"/>
      <c r="D199" s="776"/>
      <c r="E199" s="776"/>
      <c r="F199" s="776"/>
      <c r="G199" s="776"/>
      <c r="H199" s="776"/>
      <c r="I199" s="776"/>
      <c r="J199" s="776"/>
      <c r="K199" s="776"/>
      <c r="L199" s="776"/>
      <c r="M199" s="776"/>
      <c r="N199" s="776"/>
      <c r="O199" s="776"/>
      <c r="P199" s="776"/>
      <c r="Q199" s="776"/>
      <c r="R199" s="776"/>
      <c r="S199" s="776"/>
      <c r="T199" s="776"/>
      <c r="U199" s="776"/>
    </row>
    <row r="200" spans="3:21">
      <c r="C200" s="776"/>
      <c r="D200" s="776"/>
      <c r="E200" s="776"/>
      <c r="F200" s="776"/>
      <c r="G200" s="776"/>
      <c r="H200" s="776"/>
      <c r="I200" s="776"/>
      <c r="J200" s="776"/>
      <c r="K200" s="776"/>
      <c r="L200" s="776"/>
      <c r="M200" s="776"/>
      <c r="N200" s="776"/>
      <c r="O200" s="776"/>
      <c r="P200" s="776"/>
      <c r="Q200" s="776"/>
      <c r="R200" s="776"/>
      <c r="S200" s="776"/>
      <c r="T200" s="776"/>
      <c r="U200" s="776"/>
    </row>
    <row r="201" spans="3:21">
      <c r="C201" s="776"/>
      <c r="D201" s="776"/>
      <c r="E201" s="776"/>
      <c r="F201" s="776"/>
      <c r="G201" s="776"/>
      <c r="H201" s="776"/>
      <c r="I201" s="776"/>
      <c r="J201" s="776"/>
      <c r="K201" s="776"/>
      <c r="L201" s="776"/>
      <c r="M201" s="776"/>
      <c r="N201" s="776"/>
      <c r="O201" s="776"/>
      <c r="P201" s="776"/>
      <c r="Q201" s="776"/>
      <c r="R201" s="776"/>
      <c r="S201" s="776"/>
      <c r="T201" s="776"/>
      <c r="U201" s="776"/>
    </row>
    <row r="202" spans="3:21">
      <c r="C202" s="776"/>
      <c r="D202" s="776"/>
      <c r="E202" s="776"/>
      <c r="F202" s="776"/>
      <c r="G202" s="776"/>
      <c r="H202" s="776"/>
      <c r="I202" s="776"/>
      <c r="J202" s="776"/>
      <c r="K202" s="776"/>
      <c r="L202" s="776"/>
      <c r="M202" s="776"/>
      <c r="N202" s="776"/>
      <c r="O202" s="776"/>
      <c r="P202" s="776"/>
      <c r="Q202" s="776"/>
      <c r="R202" s="776"/>
      <c r="S202" s="776"/>
      <c r="T202" s="776"/>
      <c r="U202" s="776"/>
    </row>
    <row r="203" spans="3:21">
      <c r="C203" s="776"/>
      <c r="D203" s="776"/>
      <c r="E203" s="776"/>
      <c r="F203" s="776"/>
      <c r="G203" s="776"/>
      <c r="H203" s="776"/>
      <c r="I203" s="776"/>
      <c r="J203" s="776"/>
      <c r="K203" s="776"/>
      <c r="L203" s="776"/>
      <c r="M203" s="776"/>
      <c r="N203" s="776"/>
      <c r="O203" s="776"/>
      <c r="P203" s="776"/>
      <c r="Q203" s="776"/>
      <c r="R203" s="776"/>
      <c r="S203" s="776"/>
      <c r="T203" s="776"/>
      <c r="U203" s="776"/>
    </row>
    <row r="204" spans="3:21">
      <c r="C204" s="776"/>
      <c r="D204" s="776"/>
      <c r="E204" s="776"/>
      <c r="F204" s="776"/>
      <c r="G204" s="776"/>
      <c r="H204" s="776"/>
      <c r="I204" s="776"/>
      <c r="J204" s="776"/>
      <c r="K204" s="776"/>
      <c r="L204" s="776"/>
      <c r="M204" s="776"/>
      <c r="N204" s="776"/>
      <c r="O204" s="776"/>
      <c r="P204" s="776"/>
      <c r="Q204" s="776"/>
      <c r="R204" s="776"/>
      <c r="S204" s="776"/>
      <c r="T204" s="776"/>
      <c r="U204" s="776"/>
    </row>
    <row r="205" spans="3:21">
      <c r="C205" s="776"/>
      <c r="D205" s="776"/>
      <c r="E205" s="776"/>
      <c r="F205" s="776"/>
      <c r="G205" s="776"/>
      <c r="H205" s="776"/>
      <c r="I205" s="776"/>
      <c r="J205" s="776"/>
      <c r="K205" s="776"/>
      <c r="L205" s="776"/>
      <c r="M205" s="776"/>
      <c r="N205" s="776"/>
      <c r="O205" s="776"/>
      <c r="P205" s="776"/>
      <c r="Q205" s="776"/>
      <c r="R205" s="776"/>
      <c r="S205" s="776"/>
      <c r="T205" s="776"/>
      <c r="U205" s="776"/>
    </row>
    <row r="206" spans="3:21">
      <c r="C206" s="776"/>
      <c r="D206" s="776"/>
      <c r="E206" s="776"/>
      <c r="F206" s="776"/>
      <c r="G206" s="776"/>
      <c r="H206" s="776"/>
      <c r="I206" s="776"/>
      <c r="J206" s="776"/>
      <c r="K206" s="776"/>
      <c r="L206" s="776"/>
      <c r="M206" s="776"/>
      <c r="N206" s="776"/>
      <c r="O206" s="776"/>
      <c r="P206" s="776"/>
      <c r="Q206" s="776"/>
      <c r="R206" s="776"/>
      <c r="S206" s="776"/>
      <c r="T206" s="776"/>
      <c r="U206" s="776"/>
    </row>
    <row r="207" spans="3:21">
      <c r="C207" s="776"/>
      <c r="D207" s="776"/>
      <c r="E207" s="776"/>
      <c r="F207" s="776"/>
      <c r="G207" s="776"/>
      <c r="H207" s="776"/>
      <c r="I207" s="776"/>
      <c r="J207" s="776"/>
      <c r="K207" s="776"/>
      <c r="L207" s="776"/>
      <c r="M207" s="776"/>
      <c r="N207" s="776"/>
      <c r="O207" s="776"/>
      <c r="P207" s="776"/>
      <c r="Q207" s="776"/>
      <c r="R207" s="776"/>
      <c r="S207" s="776"/>
      <c r="T207" s="776"/>
      <c r="U207" s="776"/>
    </row>
    <row r="208" spans="3:21">
      <c r="C208" s="776"/>
      <c r="D208" s="776"/>
      <c r="E208" s="776"/>
      <c r="F208" s="776"/>
      <c r="G208" s="776"/>
      <c r="H208" s="776"/>
      <c r="I208" s="776"/>
      <c r="J208" s="776"/>
      <c r="K208" s="776"/>
      <c r="L208" s="776"/>
      <c r="M208" s="776"/>
      <c r="N208" s="776"/>
      <c r="O208" s="776"/>
      <c r="P208" s="776"/>
      <c r="Q208" s="776"/>
      <c r="R208" s="776"/>
      <c r="S208" s="776"/>
      <c r="T208" s="776"/>
      <c r="U208" s="776"/>
    </row>
    <row r="209" spans="3:21">
      <c r="C209" s="776"/>
      <c r="D209" s="776"/>
      <c r="E209" s="776"/>
      <c r="F209" s="776"/>
      <c r="G209" s="776"/>
      <c r="H209" s="776"/>
      <c r="I209" s="776"/>
      <c r="J209" s="776"/>
      <c r="K209" s="776"/>
      <c r="L209" s="776"/>
      <c r="M209" s="776"/>
      <c r="N209" s="776"/>
      <c r="O209" s="776"/>
      <c r="P209" s="776"/>
      <c r="Q209" s="776"/>
      <c r="R209" s="776"/>
      <c r="S209" s="776"/>
      <c r="T209" s="776"/>
      <c r="U209" s="776"/>
    </row>
    <row r="210" spans="3:21">
      <c r="C210" s="776"/>
      <c r="D210" s="776"/>
      <c r="E210" s="776"/>
      <c r="F210" s="776"/>
      <c r="G210" s="776"/>
      <c r="H210" s="776"/>
      <c r="I210" s="776"/>
      <c r="J210" s="776"/>
      <c r="K210" s="776"/>
      <c r="L210" s="776"/>
      <c r="M210" s="776"/>
      <c r="N210" s="776"/>
      <c r="O210" s="776"/>
      <c r="P210" s="776"/>
      <c r="Q210" s="776"/>
      <c r="R210" s="776"/>
      <c r="S210" s="776"/>
      <c r="T210" s="776"/>
      <c r="U210" s="776"/>
    </row>
    <row r="211" spans="3:21">
      <c r="C211" s="776"/>
      <c r="D211" s="776"/>
      <c r="E211" s="776"/>
      <c r="F211" s="776"/>
      <c r="G211" s="776"/>
      <c r="H211" s="776"/>
      <c r="I211" s="776"/>
      <c r="J211" s="776"/>
      <c r="K211" s="776"/>
      <c r="L211" s="776"/>
      <c r="M211" s="776"/>
      <c r="N211" s="776"/>
      <c r="O211" s="776"/>
      <c r="P211" s="776"/>
      <c r="Q211" s="776"/>
      <c r="R211" s="776"/>
      <c r="S211" s="776"/>
      <c r="T211" s="776"/>
      <c r="U211" s="776"/>
    </row>
    <row r="212" spans="3:21">
      <c r="C212" s="776"/>
      <c r="D212" s="776"/>
      <c r="E212" s="776"/>
      <c r="F212" s="776"/>
      <c r="G212" s="776"/>
      <c r="H212" s="776"/>
      <c r="I212" s="776"/>
      <c r="J212" s="776"/>
      <c r="K212" s="776"/>
      <c r="L212" s="776"/>
      <c r="M212" s="776"/>
      <c r="N212" s="776"/>
      <c r="O212" s="776"/>
      <c r="P212" s="776"/>
      <c r="Q212" s="776"/>
      <c r="R212" s="776"/>
      <c r="S212" s="776"/>
      <c r="T212" s="776"/>
      <c r="U212" s="776"/>
    </row>
    <row r="213" spans="3:21">
      <c r="C213" s="776"/>
      <c r="D213" s="776"/>
      <c r="E213" s="776"/>
      <c r="F213" s="776"/>
      <c r="G213" s="776"/>
      <c r="H213" s="776"/>
      <c r="I213" s="776"/>
      <c r="J213" s="776"/>
      <c r="K213" s="776"/>
      <c r="L213" s="776"/>
      <c r="M213" s="776"/>
      <c r="N213" s="776"/>
      <c r="O213" s="776"/>
      <c r="P213" s="776"/>
      <c r="Q213" s="776"/>
      <c r="R213" s="776"/>
      <c r="S213" s="776"/>
      <c r="T213" s="776"/>
      <c r="U213" s="776"/>
    </row>
    <row r="214" spans="3:21">
      <c r="C214" s="776"/>
      <c r="D214" s="776"/>
      <c r="E214" s="776"/>
      <c r="F214" s="776"/>
      <c r="G214" s="776"/>
      <c r="H214" s="776"/>
      <c r="I214" s="776"/>
      <c r="J214" s="776"/>
      <c r="K214" s="776"/>
      <c r="L214" s="776"/>
      <c r="M214" s="776"/>
      <c r="N214" s="776"/>
      <c r="O214" s="776"/>
      <c r="P214" s="776"/>
      <c r="Q214" s="776"/>
      <c r="R214" s="776"/>
      <c r="S214" s="776"/>
      <c r="T214" s="776"/>
      <c r="U214" s="776"/>
    </row>
    <row r="215" spans="3:21">
      <c r="C215" s="776"/>
      <c r="D215" s="776"/>
      <c r="E215" s="776"/>
      <c r="F215" s="776"/>
      <c r="G215" s="776"/>
      <c r="H215" s="776"/>
      <c r="I215" s="776"/>
      <c r="J215" s="776"/>
      <c r="K215" s="776"/>
      <c r="L215" s="776"/>
      <c r="M215" s="776"/>
      <c r="N215" s="776"/>
      <c r="O215" s="776"/>
      <c r="P215" s="776"/>
      <c r="Q215" s="776"/>
      <c r="R215" s="776"/>
      <c r="S215" s="776"/>
      <c r="T215" s="776"/>
      <c r="U215" s="776"/>
    </row>
    <row r="216" spans="3:21">
      <c r="C216" s="776"/>
      <c r="D216" s="776"/>
      <c r="E216" s="776"/>
      <c r="F216" s="776"/>
      <c r="G216" s="776"/>
      <c r="H216" s="776"/>
      <c r="I216" s="776"/>
      <c r="J216" s="776"/>
      <c r="K216" s="776"/>
      <c r="L216" s="776"/>
      <c r="M216" s="776"/>
      <c r="N216" s="776"/>
      <c r="O216" s="776"/>
      <c r="P216" s="776"/>
      <c r="Q216" s="776"/>
      <c r="R216" s="776"/>
      <c r="S216" s="776"/>
      <c r="T216" s="776"/>
      <c r="U216" s="776"/>
    </row>
    <row r="217" spans="3:21">
      <c r="C217" s="776"/>
      <c r="D217" s="776"/>
      <c r="E217" s="776"/>
      <c r="F217" s="776"/>
      <c r="G217" s="776"/>
      <c r="H217" s="776"/>
      <c r="I217" s="776"/>
      <c r="J217" s="776"/>
      <c r="K217" s="776"/>
      <c r="L217" s="776"/>
      <c r="M217" s="776"/>
      <c r="N217" s="776"/>
      <c r="O217" s="776"/>
      <c r="P217" s="776"/>
      <c r="Q217" s="776"/>
      <c r="R217" s="776"/>
      <c r="S217" s="776"/>
      <c r="T217" s="776"/>
      <c r="U217" s="776"/>
    </row>
    <row r="218" spans="3:21">
      <c r="C218" s="776"/>
      <c r="D218" s="776"/>
      <c r="E218" s="776"/>
      <c r="F218" s="776"/>
      <c r="G218" s="776"/>
      <c r="H218" s="776"/>
      <c r="I218" s="776"/>
      <c r="J218" s="776"/>
      <c r="K218" s="776"/>
      <c r="L218" s="776"/>
      <c r="M218" s="776"/>
      <c r="N218" s="776"/>
      <c r="O218" s="776"/>
      <c r="P218" s="776"/>
      <c r="Q218" s="776"/>
      <c r="R218" s="776"/>
      <c r="S218" s="776"/>
      <c r="T218" s="776"/>
      <c r="U218" s="776"/>
    </row>
    <row r="219" spans="3:21">
      <c r="C219" s="776"/>
      <c r="D219" s="776"/>
      <c r="E219" s="776"/>
      <c r="F219" s="776"/>
      <c r="G219" s="776"/>
      <c r="H219" s="776"/>
      <c r="I219" s="776"/>
      <c r="J219" s="776"/>
      <c r="K219" s="776"/>
      <c r="L219" s="776"/>
      <c r="M219" s="776"/>
      <c r="N219" s="776"/>
      <c r="O219" s="776"/>
      <c r="P219" s="776"/>
      <c r="Q219" s="776"/>
      <c r="R219" s="776"/>
      <c r="S219" s="776"/>
      <c r="T219" s="776"/>
      <c r="U219" s="776"/>
    </row>
    <row r="220" spans="3:21">
      <c r="C220" s="776"/>
      <c r="D220" s="776"/>
      <c r="E220" s="776"/>
      <c r="F220" s="776"/>
      <c r="G220" s="776"/>
      <c r="H220" s="776"/>
      <c r="I220" s="776"/>
      <c r="J220" s="776"/>
      <c r="K220" s="776"/>
      <c r="L220" s="776"/>
      <c r="M220" s="776"/>
      <c r="N220" s="776"/>
      <c r="O220" s="776"/>
      <c r="P220" s="776"/>
      <c r="Q220" s="776"/>
      <c r="R220" s="776"/>
      <c r="S220" s="776"/>
      <c r="T220" s="776"/>
      <c r="U220" s="776"/>
    </row>
    <row r="221" spans="3:21">
      <c r="C221" s="776"/>
      <c r="D221" s="776"/>
      <c r="E221" s="776"/>
      <c r="F221" s="776"/>
      <c r="G221" s="776"/>
      <c r="H221" s="776"/>
      <c r="I221" s="776"/>
      <c r="J221" s="776"/>
      <c r="K221" s="776"/>
      <c r="L221" s="776"/>
      <c r="M221" s="776"/>
      <c r="N221" s="776"/>
      <c r="O221" s="776"/>
      <c r="P221" s="776"/>
      <c r="Q221" s="776"/>
      <c r="R221" s="776"/>
      <c r="S221" s="776"/>
      <c r="T221" s="776"/>
      <c r="U221" s="776"/>
    </row>
    <row r="222" spans="3:21">
      <c r="C222" s="776"/>
      <c r="D222" s="776"/>
      <c r="E222" s="776"/>
      <c r="F222" s="776"/>
      <c r="G222" s="776"/>
      <c r="H222" s="776"/>
      <c r="I222" s="776"/>
      <c r="J222" s="776"/>
      <c r="K222" s="776"/>
      <c r="L222" s="776"/>
      <c r="M222" s="776"/>
      <c r="N222" s="776"/>
      <c r="O222" s="776"/>
      <c r="P222" s="776"/>
      <c r="Q222" s="776"/>
      <c r="R222" s="776"/>
      <c r="S222" s="776"/>
      <c r="T222" s="776"/>
      <c r="U222" s="776"/>
    </row>
    <row r="223" spans="3:21">
      <c r="C223" s="776"/>
      <c r="D223" s="776"/>
      <c r="E223" s="776"/>
      <c r="F223" s="776"/>
      <c r="G223" s="776"/>
      <c r="H223" s="776"/>
      <c r="I223" s="776"/>
      <c r="J223" s="776"/>
      <c r="K223" s="776"/>
      <c r="L223" s="776"/>
      <c r="M223" s="776"/>
      <c r="N223" s="776"/>
      <c r="O223" s="776"/>
      <c r="P223" s="776"/>
      <c r="Q223" s="776"/>
      <c r="R223" s="776"/>
      <c r="S223" s="776"/>
      <c r="T223" s="776"/>
      <c r="U223" s="776"/>
    </row>
    <row r="224" spans="3:21">
      <c r="C224" s="776"/>
      <c r="D224" s="776"/>
      <c r="E224" s="776"/>
      <c r="F224" s="776"/>
      <c r="G224" s="776"/>
      <c r="H224" s="776"/>
      <c r="I224" s="776"/>
      <c r="J224" s="776"/>
      <c r="K224" s="776"/>
      <c r="L224" s="776"/>
      <c r="M224" s="776"/>
      <c r="N224" s="776"/>
      <c r="O224" s="776"/>
      <c r="P224" s="776"/>
      <c r="Q224" s="776"/>
      <c r="R224" s="776"/>
      <c r="S224" s="776"/>
      <c r="T224" s="776"/>
      <c r="U224" s="776"/>
    </row>
    <row r="225" spans="3:21">
      <c r="C225" s="776"/>
      <c r="D225" s="776"/>
      <c r="E225" s="776"/>
      <c r="F225" s="776"/>
      <c r="G225" s="776"/>
      <c r="H225" s="776"/>
      <c r="I225" s="776"/>
      <c r="J225" s="776"/>
      <c r="K225" s="776"/>
      <c r="L225" s="776"/>
      <c r="M225" s="776"/>
      <c r="N225" s="776"/>
      <c r="O225" s="776"/>
      <c r="P225" s="776"/>
      <c r="Q225" s="776"/>
      <c r="R225" s="776"/>
      <c r="S225" s="776"/>
      <c r="T225" s="776"/>
      <c r="U225" s="776"/>
    </row>
    <row r="226" spans="3:21">
      <c r="C226" s="776"/>
      <c r="D226" s="776"/>
      <c r="E226" s="776"/>
      <c r="F226" s="776"/>
      <c r="G226" s="776"/>
      <c r="H226" s="776"/>
      <c r="I226" s="776"/>
      <c r="J226" s="776"/>
      <c r="K226" s="776"/>
      <c r="L226" s="776"/>
      <c r="M226" s="776"/>
      <c r="N226" s="776"/>
      <c r="O226" s="776"/>
      <c r="P226" s="776"/>
      <c r="Q226" s="776"/>
      <c r="R226" s="776"/>
      <c r="S226" s="776"/>
      <c r="T226" s="776"/>
      <c r="U226" s="776"/>
    </row>
    <row r="227" spans="3:21">
      <c r="C227" s="776"/>
      <c r="D227" s="776"/>
      <c r="E227" s="776"/>
      <c r="F227" s="776"/>
      <c r="G227" s="776"/>
      <c r="H227" s="776"/>
      <c r="I227" s="776"/>
      <c r="J227" s="776"/>
      <c r="K227" s="776"/>
      <c r="L227" s="776"/>
      <c r="M227" s="776"/>
      <c r="N227" s="776"/>
      <c r="O227" s="776"/>
      <c r="P227" s="776"/>
      <c r="Q227" s="776"/>
      <c r="R227" s="776"/>
      <c r="S227" s="776"/>
      <c r="T227" s="776"/>
      <c r="U227" s="776"/>
    </row>
    <row r="228" spans="3:21">
      <c r="C228" s="776"/>
      <c r="D228" s="776"/>
      <c r="E228" s="776"/>
      <c r="F228" s="776"/>
      <c r="G228" s="776"/>
      <c r="H228" s="776"/>
      <c r="I228" s="776"/>
      <c r="J228" s="776"/>
      <c r="K228" s="776"/>
      <c r="L228" s="776"/>
      <c r="M228" s="776"/>
      <c r="N228" s="776"/>
      <c r="O228" s="776"/>
      <c r="P228" s="776"/>
      <c r="Q228" s="776"/>
      <c r="R228" s="776"/>
      <c r="S228" s="776"/>
      <c r="T228" s="776"/>
      <c r="U228" s="776"/>
    </row>
    <row r="229" spans="3:21">
      <c r="C229" s="776"/>
      <c r="D229" s="776"/>
      <c r="E229" s="776"/>
      <c r="F229" s="776"/>
      <c r="G229" s="776"/>
      <c r="H229" s="776"/>
      <c r="I229" s="776"/>
      <c r="J229" s="776"/>
      <c r="K229" s="776"/>
      <c r="L229" s="776"/>
      <c r="M229" s="776"/>
      <c r="N229" s="776"/>
      <c r="O229" s="776"/>
      <c r="P229" s="776"/>
      <c r="Q229" s="776"/>
      <c r="R229" s="776"/>
      <c r="S229" s="776"/>
      <c r="T229" s="776"/>
      <c r="U229" s="776"/>
    </row>
    <row r="230" spans="3:21">
      <c r="C230" s="776"/>
      <c r="D230" s="776"/>
      <c r="E230" s="776"/>
      <c r="F230" s="776"/>
      <c r="G230" s="776"/>
      <c r="H230" s="776"/>
      <c r="I230" s="776"/>
      <c r="J230" s="776"/>
      <c r="K230" s="776"/>
      <c r="L230" s="776"/>
      <c r="M230" s="776"/>
      <c r="N230" s="776"/>
      <c r="O230" s="776"/>
      <c r="P230" s="776"/>
      <c r="Q230" s="776"/>
      <c r="R230" s="776"/>
      <c r="S230" s="776"/>
      <c r="T230" s="776"/>
      <c r="U230" s="776"/>
    </row>
    <row r="231" spans="3:21">
      <c r="C231" s="776"/>
      <c r="D231" s="776"/>
      <c r="E231" s="776"/>
      <c r="F231" s="776"/>
      <c r="G231" s="776"/>
      <c r="H231" s="776"/>
      <c r="I231" s="776"/>
      <c r="J231" s="776"/>
      <c r="K231" s="776"/>
      <c r="L231" s="776"/>
      <c r="M231" s="776"/>
      <c r="N231" s="776"/>
      <c r="O231" s="776"/>
      <c r="P231" s="776"/>
      <c r="Q231" s="776"/>
      <c r="R231" s="776"/>
      <c r="S231" s="776"/>
      <c r="T231" s="776"/>
      <c r="U231" s="776"/>
    </row>
    <row r="232" spans="3:21">
      <c r="C232" s="776"/>
      <c r="D232" s="776"/>
      <c r="E232" s="776"/>
      <c r="F232" s="776"/>
      <c r="G232" s="776"/>
      <c r="H232" s="776"/>
      <c r="I232" s="776"/>
      <c r="J232" s="776"/>
      <c r="K232" s="776"/>
      <c r="L232" s="776"/>
      <c r="M232" s="776"/>
      <c r="N232" s="776"/>
      <c r="O232" s="776"/>
      <c r="P232" s="776"/>
      <c r="Q232" s="776"/>
      <c r="R232" s="776"/>
      <c r="S232" s="776"/>
      <c r="T232" s="776"/>
      <c r="U232" s="776"/>
    </row>
    <row r="233" spans="3:21">
      <c r="C233" s="776"/>
      <c r="D233" s="776"/>
      <c r="E233" s="776"/>
      <c r="F233" s="776"/>
      <c r="G233" s="776"/>
      <c r="H233" s="776"/>
      <c r="I233" s="776"/>
      <c r="J233" s="776"/>
      <c r="K233" s="776"/>
      <c r="L233" s="776"/>
      <c r="M233" s="776"/>
      <c r="N233" s="776"/>
      <c r="O233" s="776"/>
      <c r="P233" s="776"/>
      <c r="Q233" s="776"/>
      <c r="R233" s="776"/>
      <c r="S233" s="776"/>
      <c r="T233" s="776"/>
      <c r="U233" s="776"/>
    </row>
    <row r="234" spans="3:21">
      <c r="C234" s="776"/>
      <c r="D234" s="776"/>
      <c r="E234" s="776"/>
      <c r="F234" s="776"/>
      <c r="G234" s="776"/>
      <c r="H234" s="776"/>
      <c r="I234" s="776"/>
      <c r="J234" s="776"/>
      <c r="K234" s="776"/>
      <c r="L234" s="776"/>
      <c r="M234" s="776"/>
      <c r="N234" s="776"/>
      <c r="O234" s="776"/>
      <c r="P234" s="776"/>
      <c r="Q234" s="776"/>
      <c r="R234" s="776"/>
      <c r="S234" s="776"/>
      <c r="T234" s="776"/>
      <c r="U234" s="776"/>
    </row>
    <row r="235" spans="3:21">
      <c r="C235" s="776"/>
      <c r="D235" s="776"/>
      <c r="E235" s="776"/>
      <c r="F235" s="776"/>
      <c r="G235" s="776"/>
      <c r="H235" s="776"/>
      <c r="I235" s="776"/>
      <c r="J235" s="776"/>
      <c r="K235" s="776"/>
      <c r="L235" s="776"/>
      <c r="M235" s="776"/>
      <c r="N235" s="776"/>
      <c r="O235" s="776"/>
      <c r="P235" s="776"/>
      <c r="Q235" s="776"/>
      <c r="R235" s="776"/>
      <c r="S235" s="776"/>
      <c r="T235" s="776"/>
      <c r="U235" s="776"/>
    </row>
    <row r="236" spans="3:21">
      <c r="C236" s="776"/>
      <c r="D236" s="776"/>
      <c r="E236" s="776"/>
      <c r="F236" s="776"/>
      <c r="G236" s="776"/>
      <c r="H236" s="776"/>
      <c r="I236" s="776"/>
      <c r="J236" s="776"/>
      <c r="K236" s="776"/>
      <c r="L236" s="776"/>
      <c r="M236" s="776"/>
      <c r="N236" s="776"/>
      <c r="O236" s="776"/>
      <c r="P236" s="776"/>
      <c r="Q236" s="776"/>
      <c r="R236" s="776"/>
      <c r="S236" s="776"/>
      <c r="T236" s="776"/>
      <c r="U236" s="776"/>
    </row>
    <row r="237" spans="3:21">
      <c r="C237" s="776"/>
      <c r="D237" s="776"/>
      <c r="E237" s="776"/>
      <c r="F237" s="776"/>
      <c r="G237" s="776"/>
      <c r="H237" s="776"/>
      <c r="I237" s="776"/>
      <c r="J237" s="776"/>
      <c r="K237" s="776"/>
      <c r="L237" s="776"/>
      <c r="M237" s="776"/>
      <c r="N237" s="776"/>
      <c r="O237" s="776"/>
      <c r="P237" s="776"/>
      <c r="Q237" s="776"/>
      <c r="R237" s="776"/>
      <c r="S237" s="776"/>
      <c r="T237" s="776"/>
      <c r="U237" s="776"/>
    </row>
    <row r="238" spans="3:21">
      <c r="C238" s="776"/>
      <c r="D238" s="776"/>
      <c r="E238" s="776"/>
      <c r="F238" s="776"/>
      <c r="G238" s="776"/>
      <c r="H238" s="776"/>
      <c r="I238" s="776"/>
      <c r="J238" s="776"/>
      <c r="K238" s="776"/>
      <c r="L238" s="776"/>
      <c r="M238" s="776"/>
      <c r="N238" s="776"/>
      <c r="O238" s="776"/>
      <c r="P238" s="776"/>
      <c r="Q238" s="776"/>
      <c r="R238" s="776"/>
      <c r="S238" s="776"/>
      <c r="T238" s="776"/>
      <c r="U238" s="776"/>
    </row>
    <row r="239" spans="3:21">
      <c r="C239" s="776"/>
      <c r="D239" s="776"/>
      <c r="E239" s="776"/>
      <c r="F239" s="776"/>
      <c r="G239" s="776"/>
      <c r="H239" s="776"/>
      <c r="I239" s="776"/>
      <c r="J239" s="776"/>
      <c r="K239" s="776"/>
      <c r="L239" s="776"/>
      <c r="M239" s="776"/>
      <c r="N239" s="776"/>
      <c r="O239" s="776"/>
      <c r="P239" s="776"/>
      <c r="Q239" s="776"/>
      <c r="R239" s="776"/>
      <c r="S239" s="776"/>
      <c r="T239" s="776"/>
      <c r="U239" s="776"/>
    </row>
    <row r="240" spans="3:21">
      <c r="C240" s="776"/>
      <c r="D240" s="776"/>
      <c r="E240" s="776"/>
      <c r="F240" s="776"/>
      <c r="G240" s="776"/>
      <c r="H240" s="776"/>
      <c r="I240" s="776"/>
      <c r="J240" s="776"/>
      <c r="K240" s="776"/>
      <c r="L240" s="776"/>
      <c r="M240" s="776"/>
      <c r="N240" s="776"/>
      <c r="O240" s="776"/>
      <c r="P240" s="776"/>
      <c r="Q240" s="776"/>
      <c r="R240" s="776"/>
      <c r="S240" s="776"/>
      <c r="T240" s="776"/>
      <c r="U240" s="776"/>
    </row>
    <row r="241" spans="3:21">
      <c r="C241" s="776"/>
      <c r="D241" s="776"/>
      <c r="E241" s="776"/>
      <c r="F241" s="776"/>
      <c r="G241" s="776"/>
      <c r="H241" s="776"/>
      <c r="I241" s="776"/>
      <c r="J241" s="776"/>
      <c r="K241" s="776"/>
      <c r="L241" s="776"/>
      <c r="M241" s="776"/>
      <c r="N241" s="776"/>
      <c r="O241" s="776"/>
      <c r="P241" s="776"/>
      <c r="Q241" s="776"/>
      <c r="R241" s="776"/>
      <c r="S241" s="776"/>
      <c r="T241" s="776"/>
      <c r="U241" s="776"/>
    </row>
    <row r="242" spans="3:21">
      <c r="C242" s="776"/>
      <c r="D242" s="776"/>
      <c r="E242" s="776"/>
      <c r="F242" s="776"/>
      <c r="G242" s="776"/>
      <c r="H242" s="776"/>
      <c r="I242" s="776"/>
      <c r="J242" s="776"/>
      <c r="K242" s="776"/>
      <c r="L242" s="776"/>
      <c r="M242" s="776"/>
      <c r="N242" s="776"/>
      <c r="O242" s="776"/>
      <c r="P242" s="776"/>
      <c r="Q242" s="776"/>
      <c r="R242" s="776"/>
      <c r="S242" s="776"/>
      <c r="T242" s="776"/>
      <c r="U242" s="776"/>
    </row>
    <row r="243" spans="3:21">
      <c r="C243" s="776"/>
      <c r="D243" s="776"/>
      <c r="E243" s="776"/>
      <c r="F243" s="776"/>
      <c r="G243" s="776"/>
      <c r="H243" s="776"/>
      <c r="I243" s="776"/>
      <c r="J243" s="776"/>
      <c r="K243" s="776"/>
      <c r="L243" s="776"/>
      <c r="M243" s="776"/>
      <c r="N243" s="776"/>
      <c r="O243" s="776"/>
      <c r="P243" s="776"/>
      <c r="Q243" s="776"/>
      <c r="R243" s="776"/>
      <c r="S243" s="776"/>
      <c r="T243" s="776"/>
      <c r="U243" s="776"/>
    </row>
    <row r="244" spans="3:21">
      <c r="C244" s="776"/>
      <c r="D244" s="776"/>
      <c r="E244" s="776"/>
      <c r="F244" s="776"/>
      <c r="G244" s="776"/>
      <c r="H244" s="776"/>
      <c r="I244" s="776"/>
      <c r="J244" s="776"/>
      <c r="K244" s="776"/>
      <c r="L244" s="776"/>
      <c r="M244" s="776"/>
      <c r="N244" s="776"/>
      <c r="O244" s="776"/>
      <c r="P244" s="776"/>
      <c r="Q244" s="776"/>
      <c r="R244" s="776"/>
      <c r="S244" s="776"/>
      <c r="T244" s="776"/>
      <c r="U244" s="776"/>
    </row>
    <row r="245" spans="3:21">
      <c r="C245" s="776"/>
      <c r="D245" s="776"/>
      <c r="E245" s="776"/>
      <c r="F245" s="776"/>
      <c r="G245" s="776"/>
      <c r="H245" s="776"/>
      <c r="I245" s="776"/>
      <c r="J245" s="776"/>
      <c r="K245" s="776"/>
      <c r="L245" s="776"/>
      <c r="M245" s="776"/>
      <c r="N245" s="776"/>
      <c r="O245" s="776"/>
      <c r="P245" s="776"/>
      <c r="Q245" s="776"/>
      <c r="R245" s="776"/>
      <c r="S245" s="776"/>
      <c r="T245" s="776"/>
      <c r="U245" s="776"/>
    </row>
    <row r="246" spans="3:21">
      <c r="C246" s="776"/>
      <c r="D246" s="776"/>
      <c r="E246" s="776"/>
      <c r="F246" s="776"/>
      <c r="G246" s="776"/>
      <c r="H246" s="776"/>
      <c r="I246" s="776"/>
      <c r="J246" s="776"/>
      <c r="K246" s="776"/>
      <c r="L246" s="776"/>
      <c r="M246" s="776"/>
      <c r="N246" s="776"/>
      <c r="O246" s="776"/>
      <c r="P246" s="776"/>
      <c r="Q246" s="776"/>
      <c r="R246" s="776"/>
      <c r="S246" s="776"/>
      <c r="T246" s="776"/>
      <c r="U246" s="776"/>
    </row>
    <row r="247" spans="3:21">
      <c r="C247" s="776"/>
      <c r="D247" s="776"/>
      <c r="E247" s="776"/>
      <c r="F247" s="776"/>
      <c r="G247" s="776"/>
      <c r="H247" s="776"/>
      <c r="I247" s="776"/>
      <c r="J247" s="776"/>
      <c r="K247" s="776"/>
      <c r="L247" s="776"/>
      <c r="M247" s="776"/>
      <c r="N247" s="776"/>
      <c r="O247" s="776"/>
      <c r="P247" s="776"/>
      <c r="Q247" s="776"/>
      <c r="R247" s="776"/>
      <c r="S247" s="776"/>
      <c r="T247" s="776"/>
      <c r="U247" s="776"/>
    </row>
    <row r="248" spans="3:21">
      <c r="C248" s="776"/>
      <c r="D248" s="776"/>
      <c r="E248" s="776"/>
      <c r="F248" s="776"/>
      <c r="G248" s="776"/>
      <c r="H248" s="776"/>
      <c r="I248" s="776"/>
      <c r="J248" s="776"/>
      <c r="K248" s="776"/>
      <c r="L248" s="776"/>
      <c r="M248" s="776"/>
      <c r="N248" s="776"/>
      <c r="O248" s="776"/>
      <c r="P248" s="776"/>
      <c r="Q248" s="776"/>
      <c r="R248" s="776"/>
      <c r="S248" s="776"/>
      <c r="T248" s="776"/>
      <c r="U248" s="776"/>
    </row>
    <row r="249" spans="3:21">
      <c r="C249" s="776"/>
      <c r="D249" s="776"/>
      <c r="E249" s="776"/>
      <c r="F249" s="776"/>
      <c r="G249" s="776"/>
      <c r="H249" s="776"/>
      <c r="I249" s="776"/>
      <c r="J249" s="776"/>
      <c r="K249" s="776"/>
      <c r="L249" s="776"/>
      <c r="M249" s="776"/>
      <c r="N249" s="776"/>
      <c r="O249" s="776"/>
      <c r="P249" s="776"/>
      <c r="Q249" s="776"/>
      <c r="R249" s="776"/>
      <c r="S249" s="776"/>
      <c r="T249" s="776"/>
      <c r="U249" s="776"/>
    </row>
    <row r="250" spans="3:21">
      <c r="C250" s="776"/>
      <c r="D250" s="776"/>
      <c r="E250" s="776"/>
      <c r="F250" s="776"/>
      <c r="G250" s="776"/>
      <c r="H250" s="776"/>
      <c r="I250" s="776"/>
      <c r="J250" s="776"/>
      <c r="K250" s="776"/>
      <c r="L250" s="776"/>
      <c r="M250" s="776"/>
      <c r="N250" s="776"/>
      <c r="O250" s="776"/>
      <c r="P250" s="776"/>
      <c r="Q250" s="776"/>
      <c r="R250" s="776"/>
      <c r="S250" s="776"/>
      <c r="T250" s="776"/>
      <c r="U250" s="776"/>
    </row>
    <row r="251" spans="3:21">
      <c r="C251" s="776"/>
      <c r="D251" s="776"/>
      <c r="E251" s="776"/>
      <c r="F251" s="776"/>
      <c r="G251" s="776"/>
      <c r="H251" s="776"/>
      <c r="I251" s="776"/>
      <c r="J251" s="776"/>
      <c r="K251" s="776"/>
      <c r="L251" s="776"/>
      <c r="M251" s="776"/>
      <c r="N251" s="776"/>
      <c r="O251" s="776"/>
      <c r="P251" s="776"/>
      <c r="Q251" s="776"/>
      <c r="R251" s="776"/>
      <c r="S251" s="776"/>
      <c r="T251" s="776"/>
      <c r="U251" s="776"/>
    </row>
    <row r="252" spans="3:21">
      <c r="C252" s="776"/>
      <c r="D252" s="776"/>
      <c r="E252" s="776"/>
      <c r="F252" s="776"/>
      <c r="G252" s="776"/>
      <c r="H252" s="776"/>
      <c r="I252" s="776"/>
      <c r="J252" s="776"/>
      <c r="K252" s="776"/>
      <c r="L252" s="776"/>
      <c r="M252" s="776"/>
      <c r="N252" s="776"/>
      <c r="O252" s="776"/>
      <c r="P252" s="776"/>
      <c r="Q252" s="776"/>
      <c r="R252" s="776"/>
      <c r="S252" s="776"/>
      <c r="T252" s="776"/>
      <c r="U252" s="776"/>
    </row>
    <row r="253" spans="3:21">
      <c r="C253" s="776"/>
      <c r="D253" s="776"/>
      <c r="E253" s="776"/>
      <c r="F253" s="776"/>
      <c r="G253" s="776"/>
      <c r="H253" s="776"/>
      <c r="I253" s="776"/>
      <c r="J253" s="776"/>
      <c r="K253" s="776"/>
      <c r="L253" s="776"/>
      <c r="M253" s="776"/>
      <c r="N253" s="776"/>
      <c r="O253" s="776"/>
      <c r="P253" s="776"/>
      <c r="Q253" s="776"/>
      <c r="R253" s="776"/>
      <c r="S253" s="776"/>
      <c r="T253" s="776"/>
      <c r="U253" s="776"/>
    </row>
    <row r="254" spans="3:21">
      <c r="C254" s="776"/>
      <c r="D254" s="776"/>
      <c r="E254" s="776"/>
      <c r="F254" s="776"/>
      <c r="G254" s="776"/>
      <c r="H254" s="776"/>
      <c r="I254" s="776"/>
      <c r="J254" s="776"/>
      <c r="K254" s="776"/>
      <c r="L254" s="776"/>
      <c r="M254" s="776"/>
      <c r="N254" s="776"/>
      <c r="O254" s="776"/>
      <c r="P254" s="776"/>
      <c r="Q254" s="776"/>
      <c r="R254" s="776"/>
      <c r="S254" s="776"/>
      <c r="T254" s="776"/>
      <c r="U254" s="776"/>
    </row>
    <row r="255" spans="3:21">
      <c r="C255" s="776"/>
      <c r="D255" s="776"/>
      <c r="E255" s="776"/>
      <c r="F255" s="776"/>
      <c r="G255" s="776"/>
      <c r="H255" s="776"/>
      <c r="I255" s="776"/>
      <c r="J255" s="776"/>
      <c r="K255" s="776"/>
      <c r="L255" s="776"/>
      <c r="M255" s="776"/>
      <c r="N255" s="776"/>
      <c r="O255" s="776"/>
      <c r="P255" s="776"/>
      <c r="Q255" s="776"/>
      <c r="R255" s="776"/>
      <c r="S255" s="776"/>
      <c r="T255" s="776"/>
      <c r="U255" s="776"/>
    </row>
    <row r="256" spans="3:21">
      <c r="C256" s="776"/>
      <c r="D256" s="776"/>
      <c r="E256" s="776"/>
      <c r="F256" s="776"/>
      <c r="G256" s="776"/>
      <c r="H256" s="776"/>
      <c r="I256" s="776"/>
      <c r="J256" s="776"/>
      <c r="K256" s="776"/>
      <c r="L256" s="776"/>
      <c r="M256" s="776"/>
      <c r="N256" s="776"/>
      <c r="O256" s="776"/>
      <c r="P256" s="776"/>
      <c r="Q256" s="776"/>
      <c r="R256" s="776"/>
      <c r="S256" s="776"/>
      <c r="T256" s="776"/>
      <c r="U256" s="776"/>
    </row>
    <row r="257" spans="3:21">
      <c r="C257" s="776"/>
      <c r="D257" s="776"/>
      <c r="E257" s="776"/>
      <c r="F257" s="776"/>
      <c r="G257" s="776"/>
      <c r="H257" s="776"/>
      <c r="I257" s="776"/>
      <c r="J257" s="776"/>
      <c r="K257" s="776"/>
      <c r="L257" s="776"/>
      <c r="M257" s="776"/>
      <c r="N257" s="776"/>
      <c r="O257" s="776"/>
      <c r="P257" s="776"/>
      <c r="Q257" s="776"/>
      <c r="R257" s="776"/>
      <c r="S257" s="776"/>
      <c r="T257" s="776"/>
      <c r="U257" s="776"/>
    </row>
    <row r="258" spans="3:21">
      <c r="C258" s="776"/>
      <c r="D258" s="776"/>
      <c r="E258" s="776"/>
      <c r="F258" s="776"/>
      <c r="G258" s="776"/>
      <c r="H258" s="776"/>
      <c r="I258" s="776"/>
      <c r="J258" s="776"/>
      <c r="K258" s="776"/>
      <c r="L258" s="776"/>
      <c r="M258" s="776"/>
      <c r="N258" s="776"/>
      <c r="O258" s="776"/>
      <c r="P258" s="776"/>
      <c r="Q258" s="776"/>
      <c r="R258" s="776"/>
      <c r="S258" s="776"/>
      <c r="T258" s="776"/>
      <c r="U258" s="776"/>
    </row>
    <row r="259" spans="3:21">
      <c r="C259" s="776"/>
      <c r="D259" s="776"/>
      <c r="E259" s="776"/>
      <c r="F259" s="776"/>
      <c r="G259" s="776"/>
      <c r="H259" s="776"/>
      <c r="I259" s="776"/>
      <c r="J259" s="776"/>
      <c r="K259" s="776"/>
      <c r="L259" s="776"/>
      <c r="M259" s="776"/>
      <c r="N259" s="776"/>
      <c r="O259" s="776"/>
      <c r="P259" s="776"/>
      <c r="Q259" s="776"/>
      <c r="R259" s="776"/>
      <c r="S259" s="776"/>
      <c r="T259" s="776"/>
      <c r="U259" s="776"/>
    </row>
    <row r="260" spans="3:21">
      <c r="C260" s="776"/>
      <c r="D260" s="776"/>
      <c r="E260" s="776"/>
      <c r="F260" s="776"/>
      <c r="G260" s="776"/>
      <c r="H260" s="776"/>
      <c r="I260" s="776"/>
      <c r="J260" s="776"/>
      <c r="K260" s="776"/>
      <c r="L260" s="776"/>
      <c r="M260" s="776"/>
      <c r="N260" s="776"/>
      <c r="O260" s="776"/>
      <c r="P260" s="776"/>
      <c r="Q260" s="776"/>
      <c r="R260" s="776"/>
      <c r="S260" s="776"/>
      <c r="T260" s="776"/>
      <c r="U260" s="776"/>
    </row>
    <row r="261" spans="3:21">
      <c r="C261" s="776"/>
      <c r="D261" s="776"/>
      <c r="E261" s="776"/>
      <c r="F261" s="776"/>
      <c r="G261" s="776"/>
      <c r="H261" s="776"/>
      <c r="I261" s="776"/>
      <c r="J261" s="776"/>
      <c r="K261" s="776"/>
      <c r="L261" s="776"/>
      <c r="M261" s="776"/>
      <c r="N261" s="776"/>
      <c r="O261" s="776"/>
      <c r="P261" s="776"/>
      <c r="Q261" s="776"/>
      <c r="R261" s="776"/>
      <c r="S261" s="776"/>
      <c r="T261" s="776"/>
      <c r="U261" s="776"/>
    </row>
    <row r="262" spans="3:21">
      <c r="C262" s="776"/>
      <c r="D262" s="776"/>
      <c r="E262" s="776"/>
      <c r="F262" s="776"/>
      <c r="G262" s="776"/>
      <c r="H262" s="776"/>
      <c r="I262" s="776"/>
      <c r="J262" s="776"/>
      <c r="K262" s="776"/>
      <c r="L262" s="776"/>
      <c r="M262" s="776"/>
      <c r="N262" s="776"/>
      <c r="O262" s="776"/>
      <c r="P262" s="776"/>
      <c r="Q262" s="776"/>
      <c r="R262" s="776"/>
      <c r="S262" s="776"/>
      <c r="T262" s="776"/>
      <c r="U262" s="776"/>
    </row>
    <row r="263" spans="3:21">
      <c r="C263" s="776"/>
      <c r="D263" s="776"/>
      <c r="E263" s="776"/>
      <c r="F263" s="776"/>
      <c r="G263" s="776"/>
      <c r="H263" s="776"/>
      <c r="I263" s="776"/>
      <c r="J263" s="776"/>
      <c r="K263" s="776"/>
      <c r="L263" s="776"/>
      <c r="M263" s="776"/>
      <c r="N263" s="776"/>
      <c r="O263" s="776"/>
      <c r="P263" s="776"/>
      <c r="Q263" s="776"/>
      <c r="R263" s="776"/>
      <c r="S263" s="776"/>
      <c r="T263" s="776"/>
      <c r="U263" s="776"/>
    </row>
    <row r="264" spans="3:21">
      <c r="C264" s="776"/>
      <c r="D264" s="776"/>
      <c r="E264" s="776"/>
      <c r="F264" s="776"/>
      <c r="G264" s="776"/>
      <c r="H264" s="776"/>
      <c r="I264" s="776"/>
      <c r="J264" s="776"/>
      <c r="K264" s="776"/>
      <c r="L264" s="776"/>
      <c r="M264" s="776"/>
      <c r="N264" s="776"/>
      <c r="O264" s="776"/>
      <c r="P264" s="776"/>
      <c r="Q264" s="776"/>
      <c r="R264" s="776"/>
      <c r="S264" s="776"/>
      <c r="T264" s="776"/>
      <c r="U264" s="776"/>
    </row>
    <row r="265" spans="3:21">
      <c r="C265" s="776"/>
      <c r="D265" s="776"/>
      <c r="E265" s="776"/>
      <c r="F265" s="776"/>
      <c r="G265" s="776"/>
      <c r="H265" s="776"/>
      <c r="I265" s="776"/>
      <c r="J265" s="776"/>
      <c r="K265" s="776"/>
      <c r="L265" s="776"/>
      <c r="M265" s="776"/>
      <c r="N265" s="776"/>
      <c r="O265" s="776"/>
      <c r="P265" s="776"/>
      <c r="Q265" s="776"/>
      <c r="R265" s="776"/>
      <c r="S265" s="776"/>
      <c r="T265" s="776"/>
      <c r="U265" s="776"/>
    </row>
    <row r="266" spans="3:21">
      <c r="C266" s="776"/>
      <c r="D266" s="776"/>
      <c r="E266" s="776"/>
      <c r="F266" s="776"/>
      <c r="G266" s="776"/>
      <c r="H266" s="776"/>
      <c r="I266" s="776"/>
      <c r="J266" s="776"/>
      <c r="K266" s="776"/>
      <c r="L266" s="776"/>
      <c r="M266" s="776"/>
      <c r="N266" s="776"/>
      <c r="O266" s="776"/>
      <c r="P266" s="776"/>
      <c r="Q266" s="776"/>
      <c r="R266" s="776"/>
      <c r="S266" s="776"/>
      <c r="T266" s="776"/>
      <c r="U266" s="776"/>
    </row>
    <row r="267" spans="3:21">
      <c r="C267" s="776"/>
      <c r="D267" s="776"/>
      <c r="E267" s="776"/>
      <c r="F267" s="776"/>
      <c r="G267" s="776"/>
      <c r="H267" s="776"/>
      <c r="I267" s="776"/>
      <c r="J267" s="776"/>
      <c r="K267" s="776"/>
      <c r="L267" s="776"/>
      <c r="M267" s="776"/>
      <c r="N267" s="776"/>
      <c r="O267" s="776"/>
      <c r="P267" s="776"/>
      <c r="Q267" s="776"/>
      <c r="R267" s="776"/>
      <c r="S267" s="776"/>
      <c r="T267" s="776"/>
      <c r="U267" s="776"/>
    </row>
    <row r="268" spans="3:21">
      <c r="C268" s="776"/>
      <c r="D268" s="776"/>
      <c r="E268" s="776"/>
      <c r="F268" s="776"/>
      <c r="G268" s="776"/>
      <c r="H268" s="776"/>
      <c r="I268" s="776"/>
      <c r="J268" s="776"/>
      <c r="K268" s="776"/>
      <c r="L268" s="776"/>
      <c r="M268" s="776"/>
      <c r="N268" s="776"/>
      <c r="O268" s="776"/>
      <c r="P268" s="776"/>
      <c r="Q268" s="776"/>
      <c r="R268" s="776"/>
      <c r="S268" s="776"/>
      <c r="T268" s="776"/>
      <c r="U268" s="776"/>
    </row>
    <row r="269" spans="3:21">
      <c r="C269" s="776"/>
      <c r="D269" s="776"/>
      <c r="E269" s="776"/>
      <c r="F269" s="776"/>
      <c r="G269" s="776"/>
      <c r="H269" s="776"/>
      <c r="I269" s="776"/>
      <c r="J269" s="776"/>
      <c r="K269" s="776"/>
      <c r="L269" s="776"/>
      <c r="M269" s="776"/>
      <c r="N269" s="776"/>
      <c r="O269" s="776"/>
      <c r="P269" s="776"/>
      <c r="Q269" s="776"/>
      <c r="R269" s="776"/>
      <c r="S269" s="776"/>
      <c r="T269" s="776"/>
      <c r="U269" s="776"/>
    </row>
    <row r="270" spans="3:21">
      <c r="C270" s="776"/>
      <c r="D270" s="776"/>
      <c r="E270" s="776"/>
      <c r="F270" s="776"/>
      <c r="G270" s="776"/>
      <c r="H270" s="776"/>
      <c r="I270" s="776"/>
      <c r="J270" s="776"/>
      <c r="K270" s="776"/>
      <c r="L270" s="776"/>
      <c r="M270" s="776"/>
      <c r="N270" s="776"/>
      <c r="O270" s="776"/>
      <c r="P270" s="776"/>
      <c r="Q270" s="776"/>
      <c r="R270" s="776"/>
      <c r="S270" s="776"/>
      <c r="T270" s="776"/>
      <c r="U270" s="776"/>
    </row>
    <row r="271" spans="3:21">
      <c r="C271" s="776"/>
      <c r="D271" s="776"/>
      <c r="E271" s="776"/>
      <c r="F271" s="776"/>
      <c r="G271" s="776"/>
      <c r="H271" s="776"/>
      <c r="I271" s="776"/>
      <c r="J271" s="776"/>
      <c r="K271" s="776"/>
      <c r="L271" s="776"/>
      <c r="M271" s="776"/>
      <c r="N271" s="776"/>
      <c r="O271" s="776"/>
      <c r="P271" s="776"/>
      <c r="Q271" s="776"/>
      <c r="R271" s="776"/>
      <c r="S271" s="776"/>
      <c r="T271" s="776"/>
      <c r="U271" s="776"/>
    </row>
    <row r="272" spans="3:21">
      <c r="C272" s="776"/>
      <c r="D272" s="776"/>
      <c r="E272" s="776"/>
      <c r="F272" s="776"/>
      <c r="G272" s="776"/>
      <c r="H272" s="776"/>
      <c r="I272" s="776"/>
      <c r="J272" s="776"/>
      <c r="K272" s="776"/>
      <c r="L272" s="776"/>
      <c r="M272" s="776"/>
      <c r="N272" s="776"/>
      <c r="O272" s="776"/>
      <c r="P272" s="776"/>
      <c r="Q272" s="776"/>
      <c r="R272" s="776"/>
      <c r="S272" s="776"/>
      <c r="T272" s="776"/>
      <c r="U272" s="776"/>
    </row>
    <row r="273" spans="3:21">
      <c r="C273" s="776"/>
      <c r="D273" s="776"/>
      <c r="E273" s="776"/>
      <c r="F273" s="776"/>
      <c r="G273" s="776"/>
      <c r="H273" s="776"/>
      <c r="I273" s="776"/>
      <c r="J273" s="776"/>
      <c r="K273" s="776"/>
      <c r="L273" s="776"/>
      <c r="M273" s="776"/>
      <c r="N273" s="776"/>
      <c r="O273" s="776"/>
      <c r="P273" s="776"/>
      <c r="Q273" s="776"/>
      <c r="R273" s="776"/>
      <c r="S273" s="776"/>
      <c r="T273" s="776"/>
      <c r="U273" s="776"/>
    </row>
    <row r="274" spans="3:21">
      <c r="C274" s="776"/>
      <c r="D274" s="776"/>
      <c r="E274" s="776"/>
      <c r="F274" s="776"/>
      <c r="G274" s="776"/>
      <c r="H274" s="776"/>
      <c r="I274" s="776"/>
      <c r="J274" s="776"/>
      <c r="K274" s="776"/>
      <c r="L274" s="776"/>
      <c r="M274" s="776"/>
      <c r="N274" s="776"/>
      <c r="O274" s="776"/>
      <c r="P274" s="776"/>
      <c r="Q274" s="776"/>
      <c r="R274" s="776"/>
      <c r="S274" s="776"/>
      <c r="T274" s="776"/>
      <c r="U274" s="776"/>
    </row>
    <row r="275" spans="3:21">
      <c r="C275" s="776"/>
      <c r="D275" s="776"/>
      <c r="E275" s="776"/>
      <c r="F275" s="776"/>
      <c r="G275" s="776"/>
      <c r="H275" s="776"/>
      <c r="I275" s="776"/>
      <c r="J275" s="776"/>
      <c r="K275" s="776"/>
      <c r="L275" s="776"/>
      <c r="M275" s="776"/>
      <c r="N275" s="776"/>
      <c r="O275" s="776"/>
      <c r="P275" s="776"/>
      <c r="Q275" s="776"/>
      <c r="R275" s="776"/>
      <c r="S275" s="776"/>
      <c r="T275" s="776"/>
      <c r="U275" s="776"/>
    </row>
    <row r="276" spans="3:21">
      <c r="C276" s="776"/>
      <c r="D276" s="776"/>
      <c r="E276" s="776"/>
      <c r="F276" s="776"/>
      <c r="G276" s="776"/>
      <c r="H276" s="776"/>
      <c r="I276" s="776"/>
      <c r="J276" s="776"/>
      <c r="K276" s="776"/>
      <c r="L276" s="776"/>
      <c r="M276" s="776"/>
      <c r="N276" s="776"/>
      <c r="O276" s="776"/>
      <c r="P276" s="776"/>
      <c r="Q276" s="776"/>
      <c r="R276" s="776"/>
      <c r="S276" s="776"/>
      <c r="T276" s="776"/>
      <c r="U276" s="776"/>
    </row>
    <row r="277" spans="3:21">
      <c r="C277" s="776"/>
      <c r="D277" s="776"/>
      <c r="E277" s="776"/>
      <c r="F277" s="776"/>
      <c r="G277" s="776"/>
      <c r="H277" s="776"/>
      <c r="I277" s="776"/>
      <c r="J277" s="776"/>
      <c r="K277" s="776"/>
      <c r="L277" s="776"/>
      <c r="M277" s="776"/>
      <c r="N277" s="776"/>
      <c r="O277" s="776"/>
      <c r="P277" s="776"/>
      <c r="Q277" s="776"/>
      <c r="R277" s="776"/>
      <c r="S277" s="776"/>
      <c r="T277" s="776"/>
      <c r="U277" s="776"/>
    </row>
    <row r="278" spans="3:21">
      <c r="C278" s="776"/>
      <c r="D278" s="776"/>
      <c r="E278" s="776"/>
      <c r="F278" s="776"/>
      <c r="G278" s="776"/>
      <c r="H278" s="776"/>
      <c r="I278" s="776"/>
      <c r="J278" s="776"/>
      <c r="K278" s="776"/>
      <c r="L278" s="776"/>
      <c r="M278" s="776"/>
      <c r="N278" s="776"/>
      <c r="O278" s="776"/>
      <c r="P278" s="776"/>
      <c r="Q278" s="776"/>
      <c r="R278" s="776"/>
      <c r="S278" s="776"/>
      <c r="T278" s="776"/>
      <c r="U278" s="776"/>
    </row>
    <row r="279" spans="3:21">
      <c r="C279" s="776"/>
      <c r="D279" s="776"/>
      <c r="E279" s="776"/>
      <c r="F279" s="776"/>
      <c r="G279" s="776"/>
      <c r="H279" s="776"/>
      <c r="I279" s="776"/>
      <c r="J279" s="776"/>
      <c r="K279" s="776"/>
      <c r="L279" s="776"/>
      <c r="M279" s="776"/>
      <c r="N279" s="776"/>
      <c r="O279" s="776"/>
      <c r="P279" s="776"/>
      <c r="Q279" s="776"/>
      <c r="R279" s="776"/>
      <c r="S279" s="776"/>
      <c r="T279" s="776"/>
      <c r="U279" s="776"/>
    </row>
    <row r="280" spans="3:21">
      <c r="C280" s="776"/>
      <c r="D280" s="776"/>
      <c r="E280" s="776"/>
      <c r="F280" s="776"/>
      <c r="G280" s="776"/>
      <c r="H280" s="776"/>
      <c r="I280" s="776"/>
      <c r="J280" s="776"/>
      <c r="K280" s="776"/>
      <c r="L280" s="776"/>
      <c r="M280" s="776"/>
      <c r="N280" s="776"/>
      <c r="O280" s="776"/>
      <c r="P280" s="776"/>
      <c r="Q280" s="776"/>
      <c r="R280" s="776"/>
      <c r="S280" s="776"/>
      <c r="T280" s="776"/>
      <c r="U280" s="776"/>
    </row>
    <row r="281" spans="3:21">
      <c r="C281" s="776"/>
      <c r="D281" s="776"/>
      <c r="E281" s="776"/>
      <c r="F281" s="776"/>
      <c r="G281" s="776"/>
      <c r="H281" s="776"/>
      <c r="I281" s="776"/>
      <c r="J281" s="776"/>
      <c r="K281" s="776"/>
      <c r="L281" s="776"/>
      <c r="M281" s="776"/>
      <c r="N281" s="776"/>
      <c r="O281" s="776"/>
      <c r="P281" s="776"/>
      <c r="Q281" s="776"/>
      <c r="R281" s="776"/>
      <c r="S281" s="776"/>
      <c r="T281" s="776"/>
      <c r="U281" s="776"/>
    </row>
    <row r="282" spans="3:21">
      <c r="C282" s="776"/>
      <c r="D282" s="776"/>
      <c r="E282" s="776"/>
      <c r="F282" s="776"/>
      <c r="G282" s="776"/>
      <c r="H282" s="776"/>
      <c r="I282" s="776"/>
      <c r="J282" s="776"/>
      <c r="K282" s="776"/>
      <c r="L282" s="776"/>
      <c r="M282" s="776"/>
      <c r="N282" s="776"/>
      <c r="O282" s="776"/>
      <c r="P282" s="776"/>
      <c r="Q282" s="776"/>
      <c r="R282" s="776"/>
      <c r="S282" s="776"/>
      <c r="T282" s="776"/>
      <c r="U282" s="776"/>
    </row>
    <row r="283" spans="3:21">
      <c r="C283" s="776"/>
      <c r="D283" s="776"/>
      <c r="E283" s="776"/>
      <c r="F283" s="776"/>
      <c r="G283" s="776"/>
      <c r="H283" s="776"/>
      <c r="I283" s="776"/>
      <c r="J283" s="776"/>
      <c r="K283" s="776"/>
      <c r="L283" s="776"/>
      <c r="M283" s="776"/>
      <c r="N283" s="776"/>
      <c r="O283" s="776"/>
      <c r="P283" s="776"/>
      <c r="Q283" s="776"/>
      <c r="R283" s="776"/>
      <c r="S283" s="776"/>
      <c r="T283" s="776"/>
      <c r="U283" s="776"/>
    </row>
    <row r="284" spans="3:21">
      <c r="C284" s="776"/>
      <c r="D284" s="776"/>
      <c r="E284" s="776"/>
      <c r="F284" s="776"/>
      <c r="G284" s="776"/>
      <c r="H284" s="776"/>
      <c r="I284" s="776"/>
      <c r="J284" s="776"/>
      <c r="K284" s="776"/>
      <c r="L284" s="776"/>
      <c r="M284" s="776"/>
      <c r="N284" s="776"/>
      <c r="O284" s="776"/>
      <c r="P284" s="776"/>
      <c r="Q284" s="776"/>
      <c r="R284" s="776"/>
      <c r="S284" s="776"/>
      <c r="T284" s="776"/>
      <c r="U284" s="776"/>
    </row>
    <row r="285" spans="3:21">
      <c r="C285" s="776"/>
      <c r="D285" s="776"/>
      <c r="E285" s="776"/>
      <c r="F285" s="776"/>
      <c r="G285" s="776"/>
      <c r="H285" s="776"/>
      <c r="I285" s="776"/>
      <c r="J285" s="776"/>
      <c r="K285" s="776"/>
      <c r="L285" s="776"/>
      <c r="M285" s="776"/>
      <c r="N285" s="776"/>
      <c r="O285" s="776"/>
      <c r="P285" s="776"/>
      <c r="Q285" s="776"/>
      <c r="R285" s="776"/>
      <c r="S285" s="776"/>
      <c r="T285" s="776"/>
      <c r="U285" s="776"/>
    </row>
    <row r="286" spans="3:21">
      <c r="C286" s="776"/>
      <c r="D286" s="776"/>
      <c r="E286" s="776"/>
      <c r="F286" s="776"/>
      <c r="G286" s="776"/>
      <c r="H286" s="776"/>
      <c r="I286" s="776"/>
      <c r="J286" s="776"/>
      <c r="K286" s="776"/>
      <c r="L286" s="776"/>
      <c r="M286" s="776"/>
      <c r="N286" s="776"/>
      <c r="O286" s="776"/>
      <c r="P286" s="776"/>
      <c r="Q286" s="776"/>
      <c r="R286" s="776"/>
      <c r="S286" s="776"/>
      <c r="T286" s="776"/>
      <c r="U286" s="776"/>
    </row>
    <row r="287" spans="3:21">
      <c r="C287" s="776"/>
      <c r="D287" s="776"/>
      <c r="E287" s="776"/>
      <c r="F287" s="776"/>
      <c r="G287" s="776"/>
      <c r="H287" s="776"/>
      <c r="I287" s="776"/>
      <c r="J287" s="776"/>
      <c r="K287" s="776"/>
      <c r="L287" s="776"/>
      <c r="M287" s="776"/>
      <c r="N287" s="776"/>
      <c r="O287" s="776"/>
      <c r="P287" s="776"/>
      <c r="Q287" s="776"/>
      <c r="R287" s="776"/>
      <c r="S287" s="776"/>
      <c r="T287" s="776"/>
      <c r="U287" s="776"/>
    </row>
    <row r="288" spans="3:21">
      <c r="C288" s="776"/>
      <c r="D288" s="776"/>
      <c r="E288" s="776"/>
      <c r="F288" s="776"/>
      <c r="G288" s="776"/>
      <c r="H288" s="776"/>
      <c r="I288" s="776"/>
      <c r="J288" s="776"/>
      <c r="K288" s="776"/>
      <c r="L288" s="776"/>
      <c r="M288" s="776"/>
      <c r="N288" s="776"/>
      <c r="O288" s="776"/>
      <c r="P288" s="776"/>
      <c r="Q288" s="776"/>
      <c r="R288" s="776"/>
      <c r="S288" s="776"/>
      <c r="T288" s="776"/>
      <c r="U288" s="776"/>
    </row>
    <row r="289" spans="3:21">
      <c r="C289" s="776"/>
      <c r="D289" s="776"/>
      <c r="E289" s="776"/>
      <c r="F289" s="776"/>
      <c r="G289" s="776"/>
      <c r="H289" s="776"/>
      <c r="I289" s="776"/>
      <c r="J289" s="776"/>
      <c r="K289" s="776"/>
      <c r="L289" s="776"/>
      <c r="M289" s="776"/>
      <c r="N289" s="776"/>
      <c r="O289" s="776"/>
      <c r="P289" s="776"/>
      <c r="Q289" s="776"/>
      <c r="R289" s="776"/>
      <c r="S289" s="776"/>
      <c r="T289" s="776"/>
      <c r="U289" s="776"/>
    </row>
    <row r="290" spans="3:21">
      <c r="C290" s="776"/>
      <c r="D290" s="776"/>
      <c r="E290" s="776"/>
      <c r="F290" s="776"/>
      <c r="G290" s="776"/>
      <c r="H290" s="776"/>
      <c r="I290" s="776"/>
      <c r="J290" s="776"/>
      <c r="K290" s="776"/>
      <c r="L290" s="776"/>
      <c r="M290" s="776"/>
      <c r="N290" s="776"/>
      <c r="O290" s="776"/>
      <c r="P290" s="776"/>
      <c r="Q290" s="776"/>
      <c r="R290" s="776"/>
      <c r="S290" s="776"/>
      <c r="T290" s="776"/>
      <c r="U290" s="776"/>
    </row>
    <row r="291" spans="3:21">
      <c r="C291" s="776"/>
      <c r="D291" s="776"/>
      <c r="E291" s="776"/>
      <c r="F291" s="776"/>
      <c r="G291" s="776"/>
      <c r="H291" s="776"/>
      <c r="I291" s="776"/>
      <c r="J291" s="776"/>
      <c r="K291" s="776"/>
      <c r="L291" s="776"/>
      <c r="M291" s="776"/>
      <c r="N291" s="776"/>
      <c r="O291" s="776"/>
      <c r="P291" s="776"/>
      <c r="Q291" s="776"/>
      <c r="R291" s="776"/>
      <c r="S291" s="776"/>
      <c r="T291" s="776"/>
      <c r="U291" s="776"/>
    </row>
    <row r="292" spans="3:21">
      <c r="C292" s="776"/>
      <c r="D292" s="776"/>
      <c r="E292" s="776"/>
      <c r="F292" s="776"/>
      <c r="G292" s="776"/>
      <c r="H292" s="776"/>
      <c r="I292" s="776"/>
      <c r="J292" s="776"/>
      <c r="K292" s="776"/>
      <c r="L292" s="776"/>
      <c r="M292" s="776"/>
      <c r="N292" s="776"/>
      <c r="O292" s="776"/>
      <c r="P292" s="776"/>
      <c r="Q292" s="776"/>
      <c r="R292" s="776"/>
      <c r="S292" s="776"/>
      <c r="T292" s="776"/>
      <c r="U292" s="776"/>
    </row>
    <row r="293" spans="3:21">
      <c r="C293" s="776"/>
      <c r="D293" s="776"/>
      <c r="E293" s="776"/>
      <c r="F293" s="776"/>
      <c r="G293" s="776"/>
      <c r="H293" s="776"/>
      <c r="I293" s="776"/>
      <c r="J293" s="776"/>
      <c r="K293" s="776"/>
      <c r="L293" s="776"/>
      <c r="M293" s="776"/>
      <c r="N293" s="776"/>
      <c r="O293" s="776"/>
      <c r="P293" s="776"/>
      <c r="Q293" s="776"/>
      <c r="R293" s="776"/>
      <c r="S293" s="776"/>
      <c r="T293" s="776"/>
      <c r="U293" s="776"/>
    </row>
    <row r="294" spans="3:21">
      <c r="C294" s="776"/>
      <c r="D294" s="776"/>
      <c r="E294" s="776"/>
      <c r="F294" s="776"/>
      <c r="G294" s="776"/>
      <c r="H294" s="776"/>
      <c r="I294" s="776"/>
      <c r="J294" s="776"/>
      <c r="K294" s="776"/>
      <c r="L294" s="776"/>
      <c r="M294" s="776"/>
      <c r="N294" s="776"/>
      <c r="O294" s="776"/>
      <c r="P294" s="776"/>
      <c r="Q294" s="776"/>
      <c r="R294" s="776"/>
      <c r="S294" s="776"/>
      <c r="T294" s="776"/>
      <c r="U294" s="776"/>
    </row>
    <row r="295" spans="3:21">
      <c r="C295" s="776"/>
      <c r="D295" s="776"/>
      <c r="E295" s="776"/>
      <c r="F295" s="776"/>
      <c r="G295" s="776"/>
      <c r="H295" s="776"/>
      <c r="I295" s="776"/>
      <c r="J295" s="776"/>
      <c r="K295" s="776"/>
      <c r="L295" s="776"/>
      <c r="M295" s="776"/>
      <c r="N295" s="776"/>
      <c r="O295" s="776"/>
      <c r="P295" s="776"/>
      <c r="Q295" s="776"/>
      <c r="R295" s="776"/>
      <c r="S295" s="776"/>
      <c r="T295" s="776"/>
      <c r="U295" s="776"/>
    </row>
    <row r="296" spans="3:21">
      <c r="C296" s="776"/>
      <c r="D296" s="776"/>
      <c r="E296" s="776"/>
      <c r="F296" s="776"/>
      <c r="G296" s="776"/>
      <c r="H296" s="776"/>
      <c r="I296" s="776"/>
      <c r="J296" s="776"/>
      <c r="K296" s="776"/>
      <c r="L296" s="776"/>
      <c r="M296" s="776"/>
      <c r="N296" s="776"/>
      <c r="O296" s="776"/>
      <c r="P296" s="776"/>
      <c r="Q296" s="776"/>
      <c r="R296" s="776"/>
      <c r="S296" s="776"/>
      <c r="T296" s="776"/>
      <c r="U296" s="776"/>
    </row>
    <row r="297" spans="3:21">
      <c r="C297" s="776"/>
      <c r="D297" s="776"/>
      <c r="E297" s="776"/>
      <c r="F297" s="776"/>
      <c r="G297" s="776"/>
      <c r="H297" s="776"/>
      <c r="I297" s="776"/>
      <c r="J297" s="776"/>
      <c r="K297" s="776"/>
      <c r="L297" s="776"/>
      <c r="M297" s="776"/>
      <c r="N297" s="776"/>
      <c r="O297" s="776"/>
      <c r="P297" s="776"/>
      <c r="Q297" s="776"/>
      <c r="R297" s="776"/>
      <c r="S297" s="776"/>
      <c r="T297" s="776"/>
      <c r="U297" s="776"/>
    </row>
    <row r="298" spans="3:21">
      <c r="C298" s="776"/>
      <c r="D298" s="776"/>
      <c r="E298" s="776"/>
      <c r="F298" s="776"/>
      <c r="G298" s="776"/>
      <c r="H298" s="776"/>
      <c r="I298" s="776"/>
      <c r="J298" s="776"/>
      <c r="K298" s="776"/>
      <c r="L298" s="776"/>
      <c r="M298" s="776"/>
      <c r="N298" s="776"/>
      <c r="O298" s="776"/>
      <c r="P298" s="776"/>
      <c r="Q298" s="776"/>
      <c r="R298" s="776"/>
      <c r="S298" s="776"/>
      <c r="T298" s="776"/>
      <c r="U298" s="776"/>
    </row>
    <row r="299" spans="3:21">
      <c r="C299" s="776"/>
      <c r="D299" s="776"/>
      <c r="E299" s="776"/>
      <c r="F299" s="776"/>
      <c r="G299" s="776"/>
      <c r="H299" s="776"/>
      <c r="I299" s="776"/>
      <c r="J299" s="776"/>
      <c r="K299" s="776"/>
      <c r="L299" s="776"/>
      <c r="M299" s="776"/>
      <c r="N299" s="776"/>
      <c r="O299" s="776"/>
      <c r="P299" s="776"/>
      <c r="Q299" s="776"/>
      <c r="R299" s="776"/>
      <c r="S299" s="776"/>
      <c r="T299" s="776"/>
      <c r="U299" s="776"/>
    </row>
    <row r="300" spans="3:21">
      <c r="C300" s="776"/>
      <c r="D300" s="776"/>
      <c r="E300" s="776"/>
      <c r="F300" s="776"/>
      <c r="G300" s="776"/>
      <c r="H300" s="776"/>
      <c r="I300" s="776"/>
      <c r="J300" s="776"/>
      <c r="K300" s="776"/>
      <c r="L300" s="776"/>
      <c r="M300" s="776"/>
      <c r="N300" s="776"/>
    </row>
    <row r="301" spans="3:21">
      <c r="C301" s="776"/>
      <c r="D301" s="776"/>
      <c r="E301" s="776"/>
      <c r="F301" s="776"/>
      <c r="G301" s="776"/>
      <c r="H301" s="776"/>
      <c r="I301" s="776"/>
      <c r="J301" s="776"/>
      <c r="K301" s="776"/>
      <c r="L301" s="776"/>
      <c r="M301" s="776"/>
      <c r="N301" s="776"/>
    </row>
    <row r="302" spans="3:21">
      <c r="C302" s="776"/>
      <c r="D302" s="776"/>
      <c r="E302" s="776"/>
      <c r="F302" s="776"/>
      <c r="G302" s="776"/>
      <c r="H302" s="776"/>
      <c r="I302" s="776"/>
      <c r="J302" s="776"/>
      <c r="K302" s="776"/>
      <c r="L302" s="776"/>
      <c r="M302" s="776"/>
      <c r="N302" s="776"/>
    </row>
    <row r="303" spans="3:21">
      <c r="C303" s="776"/>
      <c r="D303" s="776"/>
      <c r="E303" s="776"/>
      <c r="F303" s="776"/>
      <c r="G303" s="776"/>
      <c r="H303" s="776"/>
      <c r="I303" s="776"/>
      <c r="J303" s="776"/>
      <c r="K303" s="776"/>
      <c r="L303" s="776"/>
      <c r="M303" s="776"/>
      <c r="N303" s="776"/>
    </row>
    <row r="304" spans="3:21">
      <c r="C304" s="776"/>
      <c r="D304" s="776"/>
      <c r="E304" s="776"/>
      <c r="F304" s="776"/>
      <c r="G304" s="776"/>
      <c r="H304" s="776"/>
      <c r="I304" s="776"/>
      <c r="J304" s="776"/>
      <c r="K304" s="776"/>
      <c r="L304" s="776"/>
      <c r="M304" s="776"/>
      <c r="N304" s="776"/>
    </row>
    <row r="305" spans="3:14">
      <c r="C305" s="776"/>
      <c r="D305" s="776"/>
      <c r="E305" s="776"/>
      <c r="F305" s="776"/>
      <c r="G305" s="776"/>
      <c r="H305" s="776"/>
      <c r="I305" s="776"/>
      <c r="J305" s="776"/>
      <c r="K305" s="776"/>
      <c r="L305" s="776"/>
      <c r="M305" s="776"/>
      <c r="N305" s="776"/>
    </row>
    <row r="306" spans="3:14">
      <c r="C306" s="776"/>
      <c r="D306" s="776"/>
      <c r="E306" s="776"/>
      <c r="F306" s="776"/>
      <c r="G306" s="776"/>
      <c r="H306" s="776"/>
      <c r="I306" s="776"/>
      <c r="J306" s="776"/>
      <c r="K306" s="776"/>
      <c r="L306" s="776"/>
      <c r="M306" s="776"/>
      <c r="N306" s="776"/>
    </row>
    <row r="307" spans="3:14">
      <c r="C307" s="776"/>
      <c r="D307" s="776"/>
      <c r="E307" s="776"/>
      <c r="F307" s="776"/>
      <c r="G307" s="776"/>
      <c r="H307" s="776"/>
      <c r="I307" s="776"/>
      <c r="J307" s="776"/>
      <c r="K307" s="776"/>
      <c r="L307" s="776"/>
      <c r="M307" s="776"/>
      <c r="N307" s="776"/>
    </row>
  </sheetData>
  <mergeCells count="8">
    <mergeCell ref="C107:N107"/>
    <mergeCell ref="C108:N108"/>
    <mergeCell ref="C101:N101"/>
    <mergeCell ref="C102:N102"/>
    <mergeCell ref="C103:N103"/>
    <mergeCell ref="C104:N104"/>
    <mergeCell ref="C105:N105"/>
    <mergeCell ref="C106:N106"/>
  </mergeCells>
  <phoneticPr fontId="13" type="noConversion"/>
  <pageMargins left="0.75" right="0.75" top="1" bottom="1" header="0.5" footer="0.5"/>
  <pageSetup scale="51"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U65"/>
  <sheetViews>
    <sheetView showGridLines="0" topLeftCell="C19" zoomScale="90" workbookViewId="0">
      <selection activeCell="M67" sqref="M67"/>
    </sheetView>
  </sheetViews>
  <sheetFormatPr defaultRowHeight="12.75"/>
  <cols>
    <col min="1" max="1" width="16" style="790" customWidth="1"/>
    <col min="2" max="2" width="25.5546875" style="790" customWidth="1"/>
    <col min="3" max="19" width="10.77734375" style="790" customWidth="1"/>
    <col min="20" max="20" width="7.109375" style="790" hidden="1" customWidth="1"/>
    <col min="21" max="21" width="10.88671875" style="790" bestFit="1" customWidth="1"/>
    <col min="22" max="16384" width="8.88671875" style="790"/>
  </cols>
  <sheetData>
    <row r="1" spans="1:20" s="788" customFormat="1" ht="18">
      <c r="A1" s="787" t="s">
        <v>890</v>
      </c>
    </row>
    <row r="2" spans="1:20">
      <c r="A2" s="789"/>
    </row>
    <row r="3" spans="1:20">
      <c r="A3" s="791" t="s">
        <v>891</v>
      </c>
      <c r="B3" s="792" t="s">
        <v>892</v>
      </c>
      <c r="C3" s="793"/>
      <c r="D3" s="793"/>
      <c r="E3" s="793"/>
    </row>
    <row r="4" spans="1:20">
      <c r="A4" s="789"/>
      <c r="B4" s="793"/>
      <c r="C4" s="793"/>
      <c r="D4" s="793"/>
      <c r="E4" s="793"/>
    </row>
    <row r="5" spans="1:20">
      <c r="A5" s="791" t="s">
        <v>893</v>
      </c>
      <c r="B5" s="794" t="s">
        <v>385</v>
      </c>
      <c r="C5" s="793"/>
      <c r="D5" s="793"/>
      <c r="E5" s="793"/>
    </row>
    <row r="6" spans="1:20">
      <c r="A6" s="789"/>
      <c r="B6" s="793"/>
      <c r="C6" s="793"/>
      <c r="D6" s="795"/>
      <c r="E6" s="795"/>
      <c r="F6" s="796"/>
      <c r="G6" s="796"/>
      <c r="H6" s="796"/>
      <c r="I6" s="796"/>
      <c r="J6" s="796"/>
      <c r="K6" s="796"/>
      <c r="L6" s="796"/>
      <c r="M6" s="796"/>
      <c r="N6" s="796"/>
      <c r="O6" s="796"/>
      <c r="P6" s="796"/>
      <c r="Q6" s="796"/>
      <c r="R6" s="796"/>
      <c r="S6" s="796"/>
      <c r="T6" s="487" t="s">
        <v>894</v>
      </c>
    </row>
    <row r="7" spans="1:20">
      <c r="A7" s="797"/>
      <c r="B7" s="798" t="s">
        <v>895</v>
      </c>
      <c r="C7" s="799" t="s">
        <v>270</v>
      </c>
      <c r="D7" s="799" t="s">
        <v>271</v>
      </c>
      <c r="E7" s="799" t="s">
        <v>272</v>
      </c>
      <c r="F7" s="799" t="s">
        <v>273</v>
      </c>
      <c r="G7" s="799" t="s">
        <v>274</v>
      </c>
      <c r="H7" s="799" t="s">
        <v>858</v>
      </c>
      <c r="I7" s="799" t="s">
        <v>861</v>
      </c>
      <c r="J7" s="799" t="s">
        <v>275</v>
      </c>
      <c r="K7" s="799" t="s">
        <v>276</v>
      </c>
      <c r="L7" s="799" t="s">
        <v>277</v>
      </c>
      <c r="M7" s="799" t="s">
        <v>278</v>
      </c>
      <c r="N7" s="799" t="s">
        <v>279</v>
      </c>
      <c r="O7" s="799" t="s">
        <v>280</v>
      </c>
      <c r="P7" s="799" t="s">
        <v>292</v>
      </c>
      <c r="Q7" s="799" t="s">
        <v>281</v>
      </c>
      <c r="R7" s="799" t="s">
        <v>282</v>
      </c>
      <c r="S7" s="799" t="s">
        <v>896</v>
      </c>
      <c r="T7" s="800" t="s">
        <v>897</v>
      </c>
    </row>
    <row r="8" spans="1:20">
      <c r="A8" s="797"/>
      <c r="B8" s="798" t="s">
        <v>898</v>
      </c>
      <c r="C8" s="801" t="s">
        <v>1053</v>
      </c>
      <c r="D8" s="801" t="s">
        <v>1053</v>
      </c>
      <c r="E8" s="801" t="s">
        <v>1053</v>
      </c>
      <c r="F8" s="801" t="s">
        <v>1053</v>
      </c>
      <c r="G8" s="801" t="s">
        <v>1053</v>
      </c>
      <c r="H8" s="801" t="s">
        <v>1053</v>
      </c>
      <c r="I8" s="801" t="s">
        <v>1053</v>
      </c>
      <c r="J8" s="801" t="s">
        <v>1053</v>
      </c>
      <c r="K8" s="801" t="s">
        <v>1053</v>
      </c>
      <c r="L8" s="801" t="s">
        <v>1053</v>
      </c>
      <c r="M8" s="801" t="s">
        <v>1053</v>
      </c>
      <c r="N8" s="801" t="s">
        <v>1053</v>
      </c>
      <c r="O8" s="801" t="s">
        <v>1053</v>
      </c>
      <c r="P8" s="801" t="s">
        <v>1053</v>
      </c>
      <c r="Q8" s="801" t="s">
        <v>1053</v>
      </c>
      <c r="R8" s="801" t="s">
        <v>1053</v>
      </c>
      <c r="S8" s="801" t="s">
        <v>1053</v>
      </c>
    </row>
    <row r="9" spans="1:20" ht="15" customHeight="1">
      <c r="A9" s="797"/>
      <c r="B9" s="798" t="s">
        <v>899</v>
      </c>
      <c r="C9" s="801" t="s">
        <v>897</v>
      </c>
      <c r="D9" s="801" t="s">
        <v>897</v>
      </c>
      <c r="E9" s="801" t="s">
        <v>894</v>
      </c>
      <c r="F9" s="801" t="s">
        <v>894</v>
      </c>
      <c r="G9" s="801" t="s">
        <v>894</v>
      </c>
      <c r="H9" s="801" t="s">
        <v>894</v>
      </c>
      <c r="I9" s="801" t="s">
        <v>894</v>
      </c>
      <c r="J9" s="801" t="s">
        <v>894</v>
      </c>
      <c r="K9" s="801" t="s">
        <v>897</v>
      </c>
      <c r="L9" s="801" t="s">
        <v>897</v>
      </c>
      <c r="M9" s="801" t="s">
        <v>897</v>
      </c>
      <c r="N9" s="801" t="s">
        <v>897</v>
      </c>
      <c r="O9" s="801" t="s">
        <v>894</v>
      </c>
      <c r="P9" s="801" t="s">
        <v>897</v>
      </c>
      <c r="Q9" s="801" t="s">
        <v>897</v>
      </c>
      <c r="R9" s="801" t="s">
        <v>897</v>
      </c>
      <c r="S9" s="801" t="s">
        <v>897</v>
      </c>
    </row>
    <row r="10" spans="1:20">
      <c r="A10" s="802" t="s">
        <v>398</v>
      </c>
      <c r="B10" s="803" t="str">
        <f xml:space="preserve"> "December " &amp; B3-1</f>
        <v>December 2014</v>
      </c>
      <c r="C10" s="804">
        <v>7072818.7000000002</v>
      </c>
      <c r="D10" s="805">
        <v>3487897.51</v>
      </c>
      <c r="E10" s="804">
        <v>4462295.25</v>
      </c>
      <c r="F10" s="805">
        <v>7706681.2699999996</v>
      </c>
      <c r="G10" s="804">
        <v>29911878.143377006</v>
      </c>
      <c r="H10" s="805">
        <v>197269897.91778597</v>
      </c>
      <c r="I10" s="804">
        <v>170588528.71747121</v>
      </c>
      <c r="J10" s="805">
        <v>468201.81</v>
      </c>
      <c r="K10" s="804">
        <v>127736.33</v>
      </c>
      <c r="L10" s="805">
        <v>47486.63</v>
      </c>
      <c r="M10" s="804">
        <v>230828.44</v>
      </c>
      <c r="N10" s="805">
        <v>3892128.07</v>
      </c>
      <c r="O10" s="804">
        <v>20367745.75</v>
      </c>
      <c r="P10" s="805">
        <v>309681</v>
      </c>
      <c r="Q10" s="804">
        <v>13685162.280000001</v>
      </c>
      <c r="R10" s="805">
        <v>6984785.4700000007</v>
      </c>
      <c r="S10" s="804">
        <v>0</v>
      </c>
    </row>
    <row r="11" spans="1:20">
      <c r="A11" s="806" t="s">
        <v>900</v>
      </c>
      <c r="B11" s="807" t="str">
        <f xml:space="preserve"> "January " &amp; B3</f>
        <v>January 2015</v>
      </c>
      <c r="C11" s="808">
        <v>7072818.7000000002</v>
      </c>
      <c r="D11" s="809">
        <v>3487897.51</v>
      </c>
      <c r="E11" s="808">
        <v>4462295.25</v>
      </c>
      <c r="F11" s="809">
        <v>7706681.2699999996</v>
      </c>
      <c r="G11" s="808">
        <v>29911878.143377006</v>
      </c>
      <c r="H11" s="809">
        <v>198713792.54428598</v>
      </c>
      <c r="I11" s="808">
        <v>178356855.51747119</v>
      </c>
      <c r="J11" s="809">
        <v>468201.81</v>
      </c>
      <c r="K11" s="808">
        <v>127736.33</v>
      </c>
      <c r="L11" s="809">
        <v>47486.63</v>
      </c>
      <c r="M11" s="808">
        <v>230828.44</v>
      </c>
      <c r="N11" s="809">
        <v>3892128.07</v>
      </c>
      <c r="O11" s="808">
        <v>20367745.75</v>
      </c>
      <c r="P11" s="809">
        <v>309681</v>
      </c>
      <c r="Q11" s="808">
        <v>14018340.280000001</v>
      </c>
      <c r="R11" s="809">
        <v>6984785.4700000007</v>
      </c>
      <c r="S11" s="808">
        <v>0</v>
      </c>
    </row>
    <row r="12" spans="1:20">
      <c r="A12" s="806"/>
      <c r="B12" s="810" t="s">
        <v>47</v>
      </c>
      <c r="C12" s="808">
        <v>7072818.7000000002</v>
      </c>
      <c r="D12" s="809">
        <v>3487897.51</v>
      </c>
      <c r="E12" s="808">
        <v>4462295.25</v>
      </c>
      <c r="F12" s="809">
        <v>7706681.2699999996</v>
      </c>
      <c r="G12" s="808">
        <v>29911878.143377006</v>
      </c>
      <c r="H12" s="809">
        <v>199939230.061786</v>
      </c>
      <c r="I12" s="808">
        <v>183465308.01747119</v>
      </c>
      <c r="J12" s="809">
        <v>468201.81</v>
      </c>
      <c r="K12" s="808">
        <v>127736.33</v>
      </c>
      <c r="L12" s="809">
        <v>47486.63</v>
      </c>
      <c r="M12" s="808">
        <v>230828.44</v>
      </c>
      <c r="N12" s="809">
        <v>3892128.07</v>
      </c>
      <c r="O12" s="808">
        <v>20367745.75</v>
      </c>
      <c r="P12" s="809">
        <v>309681</v>
      </c>
      <c r="Q12" s="808">
        <v>14035485.280000001</v>
      </c>
      <c r="R12" s="809">
        <v>6984785.4700000007</v>
      </c>
      <c r="S12" s="808">
        <v>0</v>
      </c>
    </row>
    <row r="13" spans="1:20">
      <c r="A13" s="806"/>
      <c r="B13" s="810" t="s">
        <v>347</v>
      </c>
      <c r="C13" s="808">
        <v>7072818.7000000002</v>
      </c>
      <c r="D13" s="809">
        <v>3487897.51</v>
      </c>
      <c r="E13" s="808">
        <v>4462295.25</v>
      </c>
      <c r="F13" s="809">
        <v>7706681.2699999996</v>
      </c>
      <c r="G13" s="808">
        <v>29911878.143377006</v>
      </c>
      <c r="H13" s="809">
        <v>202086785.71578598</v>
      </c>
      <c r="I13" s="808">
        <v>188615015.81747121</v>
      </c>
      <c r="J13" s="809">
        <v>468201.81</v>
      </c>
      <c r="K13" s="808">
        <v>127736.33</v>
      </c>
      <c r="L13" s="809">
        <v>47486.63</v>
      </c>
      <c r="M13" s="808">
        <v>230828.44</v>
      </c>
      <c r="N13" s="809">
        <v>3892128.07</v>
      </c>
      <c r="O13" s="808">
        <v>20367745.75</v>
      </c>
      <c r="P13" s="809">
        <v>309681</v>
      </c>
      <c r="Q13" s="808">
        <v>14035485.280000001</v>
      </c>
      <c r="R13" s="809">
        <v>6984785.4700000007</v>
      </c>
      <c r="S13" s="808">
        <v>0</v>
      </c>
    </row>
    <row r="14" spans="1:20">
      <c r="A14" s="806"/>
      <c r="B14" s="810" t="s">
        <v>49</v>
      </c>
      <c r="C14" s="808">
        <v>7072818.7000000002</v>
      </c>
      <c r="D14" s="809">
        <v>3487897.51</v>
      </c>
      <c r="E14" s="808">
        <v>4462295.25</v>
      </c>
      <c r="F14" s="809">
        <v>7706681.2699999996</v>
      </c>
      <c r="G14" s="808">
        <v>29911878.143377006</v>
      </c>
      <c r="H14" s="809">
        <v>203307789.34728602</v>
      </c>
      <c r="I14" s="808">
        <v>193434693.51747119</v>
      </c>
      <c r="J14" s="809">
        <v>468201.81</v>
      </c>
      <c r="K14" s="808">
        <v>127736.33</v>
      </c>
      <c r="L14" s="809">
        <v>47486.63</v>
      </c>
      <c r="M14" s="808">
        <v>230828.44</v>
      </c>
      <c r="N14" s="809">
        <v>3892128.07</v>
      </c>
      <c r="O14" s="808">
        <v>20367745.75</v>
      </c>
      <c r="P14" s="809">
        <v>309681</v>
      </c>
      <c r="Q14" s="808">
        <v>14035485.280000001</v>
      </c>
      <c r="R14" s="809">
        <v>6984785.4700000007</v>
      </c>
      <c r="S14" s="808">
        <v>0</v>
      </c>
    </row>
    <row r="15" spans="1:20">
      <c r="A15" s="806"/>
      <c r="B15" s="810" t="s">
        <v>21</v>
      </c>
      <c r="C15" s="808">
        <v>7072818.7000000002</v>
      </c>
      <c r="D15" s="809">
        <v>3487897.51</v>
      </c>
      <c r="E15" s="808">
        <v>4462295.25</v>
      </c>
      <c r="F15" s="809">
        <v>7706681.2699999996</v>
      </c>
      <c r="G15" s="808">
        <v>29911878.143377006</v>
      </c>
      <c r="H15" s="809">
        <v>191882640.00751415</v>
      </c>
      <c r="I15" s="808">
        <v>198553465.11247122</v>
      </c>
      <c r="J15" s="809">
        <v>468201.81</v>
      </c>
      <c r="K15" s="808">
        <v>127736.33</v>
      </c>
      <c r="L15" s="809">
        <v>47486.63</v>
      </c>
      <c r="M15" s="808">
        <v>230828.44</v>
      </c>
      <c r="N15" s="809">
        <v>3892128.07</v>
      </c>
      <c r="O15" s="808">
        <v>20367745.75</v>
      </c>
      <c r="P15" s="809">
        <v>309681</v>
      </c>
      <c r="Q15" s="808">
        <v>14035485.280000001</v>
      </c>
      <c r="R15" s="809">
        <v>7121664.3500000006</v>
      </c>
      <c r="S15" s="808">
        <v>0</v>
      </c>
    </row>
    <row r="16" spans="1:20">
      <c r="A16" s="806"/>
      <c r="B16" s="810" t="s">
        <v>50</v>
      </c>
      <c r="C16" s="808">
        <v>7072818.7000000002</v>
      </c>
      <c r="D16" s="809">
        <v>3487897.51</v>
      </c>
      <c r="E16" s="808">
        <v>4462295.25</v>
      </c>
      <c r="F16" s="809">
        <v>7706681.2699999996</v>
      </c>
      <c r="G16" s="808">
        <v>29911878.143377006</v>
      </c>
      <c r="H16" s="809">
        <v>192458238.94701412</v>
      </c>
      <c r="I16" s="808">
        <v>195482832.43798089</v>
      </c>
      <c r="J16" s="809">
        <v>468201.81</v>
      </c>
      <c r="K16" s="808">
        <v>127736.33</v>
      </c>
      <c r="L16" s="809">
        <v>47486.63</v>
      </c>
      <c r="M16" s="808">
        <v>230828.44</v>
      </c>
      <c r="N16" s="809">
        <v>3892128.07</v>
      </c>
      <c r="O16" s="808">
        <v>20367745.75</v>
      </c>
      <c r="P16" s="809">
        <v>309681</v>
      </c>
      <c r="Q16" s="808">
        <v>14035485.280000001</v>
      </c>
      <c r="R16" s="809">
        <v>16323850.940000001</v>
      </c>
      <c r="S16" s="808">
        <v>0</v>
      </c>
    </row>
    <row r="17" spans="1:19">
      <c r="A17" s="806"/>
      <c r="B17" s="810" t="s">
        <v>51</v>
      </c>
      <c r="C17" s="808">
        <v>7072818.7000000002</v>
      </c>
      <c r="D17" s="809">
        <v>3487897.51</v>
      </c>
      <c r="E17" s="808">
        <v>4462295.25</v>
      </c>
      <c r="F17" s="809">
        <v>7706681.2699999996</v>
      </c>
      <c r="G17" s="808">
        <v>29911878.143377006</v>
      </c>
      <c r="H17" s="809">
        <v>193007762.16451415</v>
      </c>
      <c r="I17" s="808">
        <v>200639665.93798089</v>
      </c>
      <c r="J17" s="809">
        <v>468201.81</v>
      </c>
      <c r="K17" s="808">
        <v>127736.33</v>
      </c>
      <c r="L17" s="809">
        <v>47486.63</v>
      </c>
      <c r="M17" s="808">
        <v>230828.44</v>
      </c>
      <c r="N17" s="809">
        <v>3892128.07</v>
      </c>
      <c r="O17" s="808">
        <v>20367745.75</v>
      </c>
      <c r="P17" s="809">
        <v>309681</v>
      </c>
      <c r="Q17" s="808">
        <v>14035485.280000001</v>
      </c>
      <c r="R17" s="809">
        <v>16345998.940000001</v>
      </c>
      <c r="S17" s="808">
        <v>0</v>
      </c>
    </row>
    <row r="18" spans="1:19">
      <c r="A18" s="806"/>
      <c r="B18" s="810" t="s">
        <v>341</v>
      </c>
      <c r="C18" s="808">
        <v>7072818.7000000002</v>
      </c>
      <c r="D18" s="809">
        <v>3487897.51</v>
      </c>
      <c r="E18" s="808">
        <v>4462295.25</v>
      </c>
      <c r="F18" s="809">
        <v>7706681.2699999996</v>
      </c>
      <c r="G18" s="808">
        <v>29911878.143377006</v>
      </c>
      <c r="H18" s="809">
        <v>193362949.97551414</v>
      </c>
      <c r="I18" s="808">
        <v>204582174.43798089</v>
      </c>
      <c r="J18" s="809">
        <v>468201.81</v>
      </c>
      <c r="K18" s="808">
        <v>127736.33</v>
      </c>
      <c r="L18" s="809">
        <v>47486.63</v>
      </c>
      <c r="M18" s="808">
        <v>230828.44</v>
      </c>
      <c r="N18" s="809">
        <v>3892128.07</v>
      </c>
      <c r="O18" s="808">
        <v>20367745.75</v>
      </c>
      <c r="P18" s="809">
        <v>309681</v>
      </c>
      <c r="Q18" s="808">
        <v>14035485.280000001</v>
      </c>
      <c r="R18" s="809">
        <v>16361384.940000001</v>
      </c>
      <c r="S18" s="808">
        <v>0</v>
      </c>
    </row>
    <row r="19" spans="1:19">
      <c r="A19" s="806"/>
      <c r="B19" s="810" t="s">
        <v>53</v>
      </c>
      <c r="C19" s="808">
        <v>7072818.7000000002</v>
      </c>
      <c r="D19" s="809">
        <v>3487897.51</v>
      </c>
      <c r="E19" s="808">
        <v>4462295.25</v>
      </c>
      <c r="F19" s="809">
        <v>7706681.2699999996</v>
      </c>
      <c r="G19" s="808">
        <v>29911878.143377006</v>
      </c>
      <c r="H19" s="809">
        <v>193362949.97551414</v>
      </c>
      <c r="I19" s="808">
        <v>205409714.43798089</v>
      </c>
      <c r="J19" s="809">
        <v>468201.81</v>
      </c>
      <c r="K19" s="808">
        <v>127736.33</v>
      </c>
      <c r="L19" s="809">
        <v>47486.63</v>
      </c>
      <c r="M19" s="808">
        <v>230828.44</v>
      </c>
      <c r="N19" s="809">
        <v>3892128.07</v>
      </c>
      <c r="O19" s="808">
        <v>20367745.75</v>
      </c>
      <c r="P19" s="809">
        <v>309681</v>
      </c>
      <c r="Q19" s="808">
        <v>14035485.280000001</v>
      </c>
      <c r="R19" s="809">
        <v>16361384.940000001</v>
      </c>
      <c r="S19" s="808">
        <v>0</v>
      </c>
    </row>
    <row r="20" spans="1:19">
      <c r="A20" s="806"/>
      <c r="B20" s="810" t="s">
        <v>54</v>
      </c>
      <c r="C20" s="808">
        <v>7072818.7000000002</v>
      </c>
      <c r="D20" s="809">
        <v>3487897.51</v>
      </c>
      <c r="E20" s="808">
        <v>4462295.25</v>
      </c>
      <c r="F20" s="809">
        <v>7706681.2699999996</v>
      </c>
      <c r="G20" s="808">
        <v>29911878.143377006</v>
      </c>
      <c r="H20" s="809">
        <v>193362949.97551414</v>
      </c>
      <c r="I20" s="808">
        <v>205968303.93798089</v>
      </c>
      <c r="J20" s="809">
        <v>468201.81</v>
      </c>
      <c r="K20" s="808">
        <v>127736.33</v>
      </c>
      <c r="L20" s="809">
        <v>47486.63</v>
      </c>
      <c r="M20" s="808">
        <v>230828.44</v>
      </c>
      <c r="N20" s="809">
        <v>3892128.07</v>
      </c>
      <c r="O20" s="808">
        <v>20367745.75</v>
      </c>
      <c r="P20" s="809">
        <v>309681</v>
      </c>
      <c r="Q20" s="808">
        <v>14035485.280000001</v>
      </c>
      <c r="R20" s="809">
        <v>16361384.940000001</v>
      </c>
      <c r="S20" s="808">
        <v>0</v>
      </c>
    </row>
    <row r="21" spans="1:19">
      <c r="A21" s="806"/>
      <c r="B21" s="810" t="s">
        <v>55</v>
      </c>
      <c r="C21" s="808">
        <v>7072818.7000000002</v>
      </c>
      <c r="D21" s="809">
        <v>3487897.51</v>
      </c>
      <c r="E21" s="808">
        <v>4462295.25</v>
      </c>
      <c r="F21" s="809">
        <v>7706681.2699999996</v>
      </c>
      <c r="G21" s="808">
        <v>29911878.143377006</v>
      </c>
      <c r="H21" s="809">
        <v>193362949.97551414</v>
      </c>
      <c r="I21" s="808">
        <v>206065449.93798086</v>
      </c>
      <c r="J21" s="809">
        <v>468201.81</v>
      </c>
      <c r="K21" s="808">
        <v>127736.33</v>
      </c>
      <c r="L21" s="809">
        <v>47486.63</v>
      </c>
      <c r="M21" s="808">
        <v>230828.44</v>
      </c>
      <c r="N21" s="809">
        <v>3892128.07</v>
      </c>
      <c r="O21" s="808">
        <v>20367745.75</v>
      </c>
      <c r="P21" s="809">
        <v>309681</v>
      </c>
      <c r="Q21" s="808">
        <v>14035485.280000001</v>
      </c>
      <c r="R21" s="809">
        <v>16361384.940000001</v>
      </c>
      <c r="S21" s="808">
        <v>0</v>
      </c>
    </row>
    <row r="22" spans="1:19">
      <c r="A22" s="811"/>
      <c r="B22" s="812" t="str">
        <f xml:space="preserve"> "December " &amp; B3</f>
        <v>December 2015</v>
      </c>
      <c r="C22" s="813">
        <v>7072818.7000000002</v>
      </c>
      <c r="D22" s="814">
        <v>3487897.51</v>
      </c>
      <c r="E22" s="813">
        <v>4462295.25</v>
      </c>
      <c r="F22" s="814">
        <v>7706681.2699999996</v>
      </c>
      <c r="G22" s="813">
        <v>29911878.143377006</v>
      </c>
      <c r="H22" s="814">
        <v>193362949.97551414</v>
      </c>
      <c r="I22" s="813">
        <v>206065449.93798086</v>
      </c>
      <c r="J22" s="814">
        <v>468201.81</v>
      </c>
      <c r="K22" s="813">
        <v>127736.33</v>
      </c>
      <c r="L22" s="814">
        <v>47486.63</v>
      </c>
      <c r="M22" s="813">
        <v>230828.44</v>
      </c>
      <c r="N22" s="814">
        <v>3892128.07</v>
      </c>
      <c r="O22" s="813">
        <v>20367745.75</v>
      </c>
      <c r="P22" s="814">
        <v>309681</v>
      </c>
      <c r="Q22" s="813">
        <v>14035485.280000001</v>
      </c>
      <c r="R22" s="814">
        <v>16361384.940000001</v>
      </c>
      <c r="S22" s="813">
        <v>41884385.380000003</v>
      </c>
    </row>
    <row r="23" spans="1:19">
      <c r="A23" s="815"/>
      <c r="B23" s="816" t="s">
        <v>29</v>
      </c>
      <c r="C23" s="817">
        <f>AVERAGE(C10:C22)</f>
        <v>7072818.700000002</v>
      </c>
      <c r="D23" s="818">
        <f>AVERAGE(D10:D22)</f>
        <v>3487897.5099999984</v>
      </c>
      <c r="E23" s="817">
        <f t="shared" ref="E23:S23" si="0">AVERAGE(E10:E22)</f>
        <v>4462295.25</v>
      </c>
      <c r="F23" s="818">
        <f t="shared" si="0"/>
        <v>7706681.2699999968</v>
      </c>
      <c r="G23" s="817">
        <f t="shared" si="0"/>
        <v>29911878.143377006</v>
      </c>
      <c r="H23" s="818">
        <f t="shared" si="0"/>
        <v>195806222.04488787</v>
      </c>
      <c r="I23" s="817">
        <f t="shared" si="0"/>
        <v>195171342.90505332</v>
      </c>
      <c r="J23" s="818">
        <f t="shared" si="0"/>
        <v>468201.80999999988</v>
      </c>
      <c r="K23" s="817">
        <f t="shared" si="0"/>
        <v>127736.33000000002</v>
      </c>
      <c r="L23" s="818">
        <f t="shared" si="0"/>
        <v>47486.63</v>
      </c>
      <c r="M23" s="817">
        <f t="shared" si="0"/>
        <v>230828.43999999997</v>
      </c>
      <c r="N23" s="818">
        <f t="shared" si="0"/>
        <v>3892128.07</v>
      </c>
      <c r="O23" s="817">
        <f t="shared" si="0"/>
        <v>20367745.75</v>
      </c>
      <c r="P23" s="818">
        <f t="shared" si="0"/>
        <v>309681</v>
      </c>
      <c r="Q23" s="817">
        <f t="shared" si="0"/>
        <v>14007218.510769231</v>
      </c>
      <c r="R23" s="818">
        <f t="shared" si="0"/>
        <v>12040182.021538462</v>
      </c>
      <c r="S23" s="817">
        <f t="shared" si="0"/>
        <v>3221875.7984615387</v>
      </c>
    </row>
    <row r="24" spans="1:19">
      <c r="A24" s="815"/>
      <c r="B24" s="816"/>
      <c r="C24" s="819"/>
      <c r="D24" s="819"/>
      <c r="E24" s="819"/>
      <c r="F24" s="819"/>
      <c r="G24" s="819"/>
      <c r="H24" s="819"/>
      <c r="I24" s="819"/>
      <c r="J24" s="819"/>
      <c r="K24" s="819"/>
      <c r="L24" s="819"/>
      <c r="M24" s="819"/>
      <c r="N24" s="819"/>
      <c r="O24" s="819"/>
      <c r="P24" s="819"/>
      <c r="Q24" s="819"/>
      <c r="R24" s="819"/>
      <c r="S24" s="819"/>
    </row>
    <row r="25" spans="1:19">
      <c r="A25" s="815"/>
      <c r="B25" s="816"/>
      <c r="C25" s="819"/>
      <c r="D25" s="819"/>
      <c r="E25" s="819"/>
      <c r="F25" s="819"/>
      <c r="G25" s="819"/>
      <c r="H25" s="819"/>
      <c r="I25" s="819"/>
      <c r="J25" s="819"/>
      <c r="K25" s="819"/>
      <c r="L25" s="819"/>
      <c r="M25" s="819"/>
      <c r="N25" s="819"/>
      <c r="O25" s="819"/>
      <c r="P25" s="819"/>
      <c r="Q25" s="819"/>
      <c r="R25" s="819"/>
      <c r="S25" s="819"/>
    </row>
    <row r="26" spans="1:19">
      <c r="A26" s="802" t="s">
        <v>1036</v>
      </c>
      <c r="B26" s="803" t="str">
        <f>B10</f>
        <v>December 2014</v>
      </c>
      <c r="C26" s="804">
        <v>1230616.28</v>
      </c>
      <c r="D26" s="805">
        <v>599233.68000000005</v>
      </c>
      <c r="E26" s="804">
        <v>473656.09499999968</v>
      </c>
      <c r="F26" s="805">
        <v>818035.44</v>
      </c>
      <c r="G26" s="804">
        <v>1344412.5836976252</v>
      </c>
      <c r="H26" s="805">
        <v>2685298.631864917</v>
      </c>
      <c r="I26" s="804">
        <v>301113.73798244481</v>
      </c>
      <c r="J26" s="805">
        <v>49520.49</v>
      </c>
      <c r="K26" s="804">
        <v>17985.96</v>
      </c>
      <c r="L26" s="805">
        <v>8933.43</v>
      </c>
      <c r="M26" s="804">
        <v>33084.53000000005</v>
      </c>
      <c r="N26" s="805">
        <v>209321.56491047345</v>
      </c>
      <c r="O26" s="804">
        <v>569781.65722738148</v>
      </c>
      <c r="P26" s="805">
        <v>32975.29</v>
      </c>
      <c r="Q26" s="804">
        <v>12625.35375173313</v>
      </c>
      <c r="R26" s="805">
        <v>64811.600095764043</v>
      </c>
      <c r="S26" s="804">
        <v>0</v>
      </c>
    </row>
    <row r="27" spans="1:19">
      <c r="A27" s="806" t="s">
        <v>901</v>
      </c>
      <c r="B27" s="807" t="str">
        <f>B11</f>
        <v>January 2015</v>
      </c>
      <c r="C27" s="808">
        <v>1246095.73</v>
      </c>
      <c r="D27" s="809">
        <v>606867.23</v>
      </c>
      <c r="E27" s="808">
        <v>483422.2</v>
      </c>
      <c r="F27" s="809">
        <v>834902.15</v>
      </c>
      <c r="G27" s="808">
        <v>1394304.4406757124</v>
      </c>
      <c r="H27" s="809">
        <v>2830349.7459210623</v>
      </c>
      <c r="I27" s="808">
        <v>340940.2087317711</v>
      </c>
      <c r="J27" s="809">
        <v>50545.19</v>
      </c>
      <c r="K27" s="808">
        <v>18265.52</v>
      </c>
      <c r="L27" s="809">
        <v>9026.6000000000058</v>
      </c>
      <c r="M27" s="808">
        <v>33497.629999999997</v>
      </c>
      <c r="N27" s="809">
        <v>215302.68175337854</v>
      </c>
      <c r="O27" s="808">
        <v>604075.97097888438</v>
      </c>
      <c r="P27" s="809">
        <v>33692.144166666694</v>
      </c>
      <c r="Q27" s="808">
        <v>35889.743092295059</v>
      </c>
      <c r="R27" s="809">
        <v>76467.811330983561</v>
      </c>
      <c r="S27" s="808">
        <v>0</v>
      </c>
    </row>
    <row r="28" spans="1:19">
      <c r="A28" s="806"/>
      <c r="B28" s="820" t="s">
        <v>47</v>
      </c>
      <c r="C28" s="808">
        <v>1261575.18</v>
      </c>
      <c r="D28" s="809">
        <v>614500.78</v>
      </c>
      <c r="E28" s="808">
        <v>493188.30499999964</v>
      </c>
      <c r="F28" s="809">
        <v>851768.86</v>
      </c>
      <c r="G28" s="808">
        <v>1444196.2976537999</v>
      </c>
      <c r="H28" s="809">
        <v>2975400.8599772071</v>
      </c>
      <c r="I28" s="808">
        <v>380766.6794810975</v>
      </c>
      <c r="J28" s="809">
        <v>51569.89</v>
      </c>
      <c r="K28" s="808">
        <v>18545.080000000002</v>
      </c>
      <c r="L28" s="809">
        <v>9119.77</v>
      </c>
      <c r="M28" s="808">
        <v>33910.730000000054</v>
      </c>
      <c r="N28" s="809">
        <v>221283.79859628362</v>
      </c>
      <c r="O28" s="808">
        <v>638370.28473038739</v>
      </c>
      <c r="P28" s="809">
        <v>34408.998333333358</v>
      </c>
      <c r="Q28" s="808">
        <v>59450.229893450283</v>
      </c>
      <c r="R28" s="809">
        <v>88124.022566203086</v>
      </c>
      <c r="S28" s="808">
        <v>0</v>
      </c>
    </row>
    <row r="29" spans="1:19">
      <c r="A29" s="806"/>
      <c r="B29" s="820" t="s">
        <v>347</v>
      </c>
      <c r="C29" s="808">
        <v>1277054.6299999999</v>
      </c>
      <c r="D29" s="809">
        <v>622134.32999999996</v>
      </c>
      <c r="E29" s="808">
        <v>502954.41</v>
      </c>
      <c r="F29" s="809">
        <v>868635.57</v>
      </c>
      <c r="G29" s="808">
        <v>1494088.1546318871</v>
      </c>
      <c r="H29" s="809">
        <v>3120451.9740333525</v>
      </c>
      <c r="I29" s="808">
        <v>420593.1502304239</v>
      </c>
      <c r="J29" s="809">
        <v>52594.59</v>
      </c>
      <c r="K29" s="808">
        <v>18824.64</v>
      </c>
      <c r="L29" s="809">
        <v>9212.940000000006</v>
      </c>
      <c r="M29" s="808">
        <v>34323.830000000053</v>
      </c>
      <c r="N29" s="809">
        <v>227264.91543918871</v>
      </c>
      <c r="O29" s="808">
        <v>672664.59848189028</v>
      </c>
      <c r="P29" s="809">
        <v>35125.852500000023</v>
      </c>
      <c r="Q29" s="808">
        <v>83026.64524576049</v>
      </c>
      <c r="R29" s="809">
        <v>99780.233801422612</v>
      </c>
      <c r="S29" s="808">
        <v>0</v>
      </c>
    </row>
    <row r="30" spans="1:19">
      <c r="A30" s="806"/>
      <c r="B30" s="820" t="s">
        <v>49</v>
      </c>
      <c r="C30" s="808">
        <v>1292534.08</v>
      </c>
      <c r="D30" s="809">
        <v>629767.88</v>
      </c>
      <c r="E30" s="808">
        <v>512720.51499999961</v>
      </c>
      <c r="F30" s="809">
        <v>885502.27999999945</v>
      </c>
      <c r="G30" s="808">
        <v>1543980.0116099746</v>
      </c>
      <c r="H30" s="809">
        <v>3265503.0880894978</v>
      </c>
      <c r="I30" s="808">
        <v>460419.62097975018</v>
      </c>
      <c r="J30" s="809">
        <v>53619.29</v>
      </c>
      <c r="K30" s="808">
        <v>19104.2</v>
      </c>
      <c r="L30" s="809">
        <v>9306.11</v>
      </c>
      <c r="M30" s="808">
        <v>34736.930000000051</v>
      </c>
      <c r="N30" s="809">
        <v>233246.0322820938</v>
      </c>
      <c r="O30" s="808">
        <v>706958.91223339329</v>
      </c>
      <c r="P30" s="809">
        <v>35842.706666666687</v>
      </c>
      <c r="Q30" s="808">
        <v>106603.06059807069</v>
      </c>
      <c r="R30" s="809">
        <v>111436.44503664214</v>
      </c>
      <c r="S30" s="808">
        <v>0</v>
      </c>
    </row>
    <row r="31" spans="1:19">
      <c r="A31" s="806"/>
      <c r="B31" s="820" t="s">
        <v>21</v>
      </c>
      <c r="C31" s="808">
        <v>1308013.53</v>
      </c>
      <c r="D31" s="809">
        <v>637401.43000000005</v>
      </c>
      <c r="E31" s="808">
        <v>522486.62</v>
      </c>
      <c r="F31" s="809">
        <v>902368.98999999941</v>
      </c>
      <c r="G31" s="808">
        <v>1593871.8685880618</v>
      </c>
      <c r="H31" s="809">
        <v>3489865.2832137067</v>
      </c>
      <c r="I31" s="808">
        <v>500358.02429272479</v>
      </c>
      <c r="J31" s="809">
        <v>54643.99</v>
      </c>
      <c r="K31" s="808">
        <v>19383.759999999998</v>
      </c>
      <c r="L31" s="809">
        <v>9399.2800000000061</v>
      </c>
      <c r="M31" s="808">
        <v>35150.030000000057</v>
      </c>
      <c r="N31" s="809">
        <v>239227.14912499889</v>
      </c>
      <c r="O31" s="808">
        <v>741253.22598489618</v>
      </c>
      <c r="P31" s="809">
        <v>36559.560833333351</v>
      </c>
      <c r="Q31" s="808">
        <v>130179.4759503809</v>
      </c>
      <c r="R31" s="809">
        <v>123208.25769759496</v>
      </c>
      <c r="S31" s="808">
        <v>0</v>
      </c>
    </row>
    <row r="32" spans="1:19">
      <c r="A32" s="806"/>
      <c r="B32" s="820" t="s">
        <v>50</v>
      </c>
      <c r="C32" s="808">
        <v>1323492.98</v>
      </c>
      <c r="D32" s="809">
        <v>645034.98</v>
      </c>
      <c r="E32" s="808">
        <v>532252.72499999963</v>
      </c>
      <c r="F32" s="809">
        <v>919235.69999999937</v>
      </c>
      <c r="G32" s="808">
        <v>1643763.7255661492</v>
      </c>
      <c r="H32" s="809">
        <v>3794057.3279750776</v>
      </c>
      <c r="I32" s="808">
        <v>662926.24179388536</v>
      </c>
      <c r="J32" s="809">
        <v>55668.69</v>
      </c>
      <c r="K32" s="808">
        <v>19663.32</v>
      </c>
      <c r="L32" s="809">
        <v>9492.4500000000007</v>
      </c>
      <c r="M32" s="808">
        <v>35563.130000000056</v>
      </c>
      <c r="N32" s="809">
        <v>245208.26596790398</v>
      </c>
      <c r="O32" s="808">
        <v>775547.53973639919</v>
      </c>
      <c r="P32" s="809">
        <v>37276.415000000015</v>
      </c>
      <c r="Q32" s="808">
        <v>153755.8913026911</v>
      </c>
      <c r="R32" s="809">
        <v>142867.40318409877</v>
      </c>
      <c r="S32" s="808">
        <v>0</v>
      </c>
    </row>
    <row r="33" spans="1:21">
      <c r="A33" s="806"/>
      <c r="B33" s="820" t="s">
        <v>51</v>
      </c>
      <c r="C33" s="808">
        <v>1338972.43</v>
      </c>
      <c r="D33" s="809">
        <v>652668.53</v>
      </c>
      <c r="E33" s="808">
        <v>542018.82999999996</v>
      </c>
      <c r="F33" s="809">
        <v>936102.40999999933</v>
      </c>
      <c r="G33" s="808">
        <v>1693655.5825442364</v>
      </c>
      <c r="H33" s="809">
        <v>4099275.92398442</v>
      </c>
      <c r="I33" s="808">
        <v>951881.10250637727</v>
      </c>
      <c r="J33" s="809">
        <v>56693.389999999948</v>
      </c>
      <c r="K33" s="808">
        <v>19942.88</v>
      </c>
      <c r="L33" s="809">
        <v>9585.6200000000063</v>
      </c>
      <c r="M33" s="808">
        <v>35976.230000000054</v>
      </c>
      <c r="N33" s="809">
        <v>251189.38281080907</v>
      </c>
      <c r="O33" s="808">
        <v>809841.85348790209</v>
      </c>
      <c r="P33" s="809">
        <v>37993.26916666668</v>
      </c>
      <c r="Q33" s="808">
        <v>177332.3066550013</v>
      </c>
      <c r="R33" s="809">
        <v>170316.98522330535</v>
      </c>
      <c r="S33" s="808">
        <v>0</v>
      </c>
    </row>
    <row r="34" spans="1:21">
      <c r="A34" s="806"/>
      <c r="B34" s="820" t="s">
        <v>341</v>
      </c>
      <c r="C34" s="808">
        <v>1354451.88</v>
      </c>
      <c r="D34" s="809">
        <v>660302.07999999996</v>
      </c>
      <c r="E34" s="808">
        <v>551784.93499999959</v>
      </c>
      <c r="F34" s="809">
        <v>952969.1199999993</v>
      </c>
      <c r="G34" s="808">
        <v>1743547.4395223239</v>
      </c>
      <c r="H34" s="809">
        <v>4405170.8378409166</v>
      </c>
      <c r="I34" s="808">
        <v>1247895.2467722017</v>
      </c>
      <c r="J34" s="809">
        <v>57718.089999999946</v>
      </c>
      <c r="K34" s="808">
        <v>20222.439999999999</v>
      </c>
      <c r="L34" s="809">
        <v>9678.7900000000009</v>
      </c>
      <c r="M34" s="808">
        <v>36389.330000000053</v>
      </c>
      <c r="N34" s="809">
        <v>257170.49965371416</v>
      </c>
      <c r="O34" s="808">
        <v>844136.16723940498</v>
      </c>
      <c r="P34" s="809">
        <v>38710.123333333344</v>
      </c>
      <c r="Q34" s="808">
        <v>200908.7220073115</v>
      </c>
      <c r="R34" s="809">
        <v>197798.26670302075</v>
      </c>
      <c r="S34" s="808">
        <v>0</v>
      </c>
    </row>
    <row r="35" spans="1:21">
      <c r="A35" s="806"/>
      <c r="B35" s="820" t="s">
        <v>53</v>
      </c>
      <c r="C35" s="808">
        <v>1369931.33</v>
      </c>
      <c r="D35" s="809">
        <v>667935.63</v>
      </c>
      <c r="E35" s="808">
        <v>561551.04</v>
      </c>
      <c r="F35" s="809">
        <v>969835.82999999926</v>
      </c>
      <c r="G35" s="808">
        <v>1793439.2965004111</v>
      </c>
      <c r="H35" s="809">
        <v>4711234.296865698</v>
      </c>
      <c r="I35" s="808">
        <v>1547501.0552740274</v>
      </c>
      <c r="J35" s="809">
        <v>58742.789999999943</v>
      </c>
      <c r="K35" s="808">
        <v>20502</v>
      </c>
      <c r="L35" s="809">
        <v>9771.9600000000064</v>
      </c>
      <c r="M35" s="808">
        <v>36802.430000000051</v>
      </c>
      <c r="N35" s="809">
        <v>263151.61649661924</v>
      </c>
      <c r="O35" s="808">
        <v>878430.48099090799</v>
      </c>
      <c r="P35" s="809">
        <v>39426.977500000008</v>
      </c>
      <c r="Q35" s="808">
        <v>224485.13735962173</v>
      </c>
      <c r="R35" s="809">
        <v>225292.54247035988</v>
      </c>
      <c r="S35" s="808">
        <v>0</v>
      </c>
    </row>
    <row r="36" spans="1:21">
      <c r="A36" s="806"/>
      <c r="B36" s="820" t="s">
        <v>54</v>
      </c>
      <c r="C36" s="808">
        <v>1385410.78</v>
      </c>
      <c r="D36" s="809">
        <v>675569.18</v>
      </c>
      <c r="E36" s="808">
        <v>571317.14499999955</v>
      </c>
      <c r="F36" s="809">
        <v>986702.53999999922</v>
      </c>
      <c r="G36" s="808">
        <v>1843331.1534784986</v>
      </c>
      <c r="H36" s="809">
        <v>5017297.7558904774</v>
      </c>
      <c r="I36" s="808">
        <v>1865911.2764694598</v>
      </c>
      <c r="J36" s="809">
        <v>59767.48999999994</v>
      </c>
      <c r="K36" s="808">
        <v>20781.560000000001</v>
      </c>
      <c r="L36" s="809">
        <v>9865.1299999999992</v>
      </c>
      <c r="M36" s="808">
        <v>37215.530000000057</v>
      </c>
      <c r="N36" s="809">
        <v>269132.73333952436</v>
      </c>
      <c r="O36" s="808">
        <v>912724.79474241089</v>
      </c>
      <c r="P36" s="809">
        <v>40143.831666666672</v>
      </c>
      <c r="Q36" s="808">
        <v>248061.55271193193</v>
      </c>
      <c r="R36" s="809">
        <v>252786.81823769899</v>
      </c>
      <c r="S36" s="808">
        <v>0</v>
      </c>
    </row>
    <row r="37" spans="1:21">
      <c r="A37" s="806"/>
      <c r="B37" s="820" t="s">
        <v>55</v>
      </c>
      <c r="C37" s="808">
        <v>1400890.23</v>
      </c>
      <c r="D37" s="809">
        <v>683202.73</v>
      </c>
      <c r="E37" s="808">
        <v>581083.25</v>
      </c>
      <c r="F37" s="809">
        <v>1003569.25</v>
      </c>
      <c r="G37" s="808">
        <v>1893223.0104565858</v>
      </c>
      <c r="H37" s="809">
        <v>5323361.2149152579</v>
      </c>
      <c r="I37" s="808">
        <v>2202811.7706294032</v>
      </c>
      <c r="J37" s="809">
        <v>60792.189999999937</v>
      </c>
      <c r="K37" s="808">
        <v>21061.119999999999</v>
      </c>
      <c r="L37" s="809">
        <v>9958.3000000000065</v>
      </c>
      <c r="M37" s="808">
        <v>37628.630000000056</v>
      </c>
      <c r="N37" s="809">
        <v>275113.85018242948</v>
      </c>
      <c r="O37" s="808">
        <v>947019.1084939139</v>
      </c>
      <c r="P37" s="809">
        <v>40860.685833333337</v>
      </c>
      <c r="Q37" s="808">
        <v>271637.96806424216</v>
      </c>
      <c r="R37" s="809">
        <v>280281.09400503809</v>
      </c>
      <c r="S37" s="808">
        <v>0</v>
      </c>
    </row>
    <row r="38" spans="1:21">
      <c r="A38" s="811"/>
      <c r="B38" s="812" t="str">
        <f>+B22</f>
        <v>December 2015</v>
      </c>
      <c r="C38" s="813">
        <v>1416369.68</v>
      </c>
      <c r="D38" s="814">
        <v>690836.28</v>
      </c>
      <c r="E38" s="813">
        <v>590849.35499999952</v>
      </c>
      <c r="F38" s="814">
        <v>1020435.96</v>
      </c>
      <c r="G38" s="813">
        <v>1943114.8674346732</v>
      </c>
      <c r="H38" s="814">
        <v>5629424.6739400392</v>
      </c>
      <c r="I38" s="813">
        <v>2539799.2573297122</v>
      </c>
      <c r="J38" s="814">
        <v>61816.889999999934</v>
      </c>
      <c r="K38" s="813">
        <v>21340.68</v>
      </c>
      <c r="L38" s="814">
        <v>10051.469999999999</v>
      </c>
      <c r="M38" s="813">
        <v>38041.730000000054</v>
      </c>
      <c r="N38" s="814">
        <v>281094.9670253346</v>
      </c>
      <c r="O38" s="813">
        <v>981313.42224541679</v>
      </c>
      <c r="P38" s="814">
        <v>41577.54</v>
      </c>
      <c r="Q38" s="813">
        <v>295214.38341655239</v>
      </c>
      <c r="R38" s="814">
        <v>307775.36977237719</v>
      </c>
      <c r="S38" s="813">
        <v>33517.78379163838</v>
      </c>
    </row>
    <row r="39" spans="1:21">
      <c r="A39" s="815"/>
      <c r="B39" s="816" t="s">
        <v>29</v>
      </c>
      <c r="C39" s="817">
        <f t="shared" ref="C39:S39" si="1">AVERAGE(C26:C38)</f>
        <v>1323492.98</v>
      </c>
      <c r="D39" s="818">
        <f t="shared" si="1"/>
        <v>645034.9800000001</v>
      </c>
      <c r="E39" s="817">
        <f t="shared" si="1"/>
        <v>532252.72499999974</v>
      </c>
      <c r="F39" s="818">
        <f t="shared" si="1"/>
        <v>919235.69999999949</v>
      </c>
      <c r="G39" s="817">
        <f t="shared" si="1"/>
        <v>1643763.7255661488</v>
      </c>
      <c r="H39" s="818">
        <f t="shared" si="1"/>
        <v>3949745.5088085872</v>
      </c>
      <c r="I39" s="817">
        <f t="shared" si="1"/>
        <v>1032532.1055748676</v>
      </c>
      <c r="J39" s="818">
        <f t="shared" si="1"/>
        <v>55668.689999999981</v>
      </c>
      <c r="K39" s="817">
        <f t="shared" si="1"/>
        <v>19663.32</v>
      </c>
      <c r="L39" s="818">
        <f t="shared" si="1"/>
        <v>9492.4500000000025</v>
      </c>
      <c r="M39" s="817">
        <f t="shared" si="1"/>
        <v>35563.130000000048</v>
      </c>
      <c r="N39" s="818">
        <f t="shared" si="1"/>
        <v>245208.26596790398</v>
      </c>
      <c r="O39" s="817">
        <f t="shared" si="1"/>
        <v>775547.53973639931</v>
      </c>
      <c r="P39" s="818">
        <f t="shared" si="1"/>
        <v>37276.415000000008</v>
      </c>
      <c r="Q39" s="817">
        <f t="shared" si="1"/>
        <v>153782.34384992637</v>
      </c>
      <c r="R39" s="818">
        <f t="shared" si="1"/>
        <v>164688.21924034687</v>
      </c>
      <c r="S39" s="817">
        <f t="shared" si="1"/>
        <v>2578.2910608952598</v>
      </c>
    </row>
    <row r="40" spans="1:21" s="796" customFormat="1">
      <c r="A40" s="821"/>
      <c r="B40" s="822"/>
      <c r="C40" s="819"/>
      <c r="D40" s="819"/>
      <c r="E40" s="819"/>
      <c r="F40" s="819"/>
      <c r="G40" s="819"/>
      <c r="H40" s="819"/>
      <c r="I40" s="819"/>
      <c r="J40" s="819"/>
      <c r="K40" s="819"/>
      <c r="L40" s="819"/>
      <c r="M40" s="819"/>
      <c r="N40" s="819"/>
      <c r="O40" s="819"/>
      <c r="P40" s="819"/>
      <c r="Q40" s="819"/>
      <c r="R40" s="819"/>
      <c r="S40" s="819"/>
      <c r="U40" s="790"/>
    </row>
    <row r="41" spans="1:21">
      <c r="A41" s="815"/>
      <c r="B41" s="823"/>
      <c r="C41" s="824"/>
      <c r="D41" s="824"/>
      <c r="E41" s="824"/>
      <c r="F41" s="824"/>
      <c r="G41" s="824"/>
      <c r="H41" s="824"/>
      <c r="I41" s="824"/>
      <c r="J41" s="824"/>
      <c r="K41" s="824"/>
      <c r="L41" s="824"/>
      <c r="M41" s="824"/>
      <c r="N41" s="824"/>
      <c r="O41" s="824"/>
      <c r="P41" s="824"/>
      <c r="Q41" s="824"/>
      <c r="R41" s="824"/>
      <c r="S41" s="824"/>
    </row>
    <row r="42" spans="1:21">
      <c r="A42" s="815"/>
      <c r="B42" s="825"/>
      <c r="C42" s="826"/>
      <c r="D42" s="826"/>
      <c r="E42" s="826"/>
      <c r="F42" s="826"/>
      <c r="G42" s="826"/>
      <c r="H42" s="826"/>
      <c r="I42" s="826"/>
      <c r="J42" s="826"/>
      <c r="K42" s="826"/>
      <c r="L42" s="826"/>
      <c r="M42" s="826"/>
      <c r="N42" s="826"/>
      <c r="O42" s="826"/>
      <c r="P42" s="826"/>
      <c r="Q42" s="826"/>
      <c r="R42" s="826"/>
      <c r="S42" s="826"/>
    </row>
    <row r="43" spans="1:21">
      <c r="A43" s="802" t="s">
        <v>902</v>
      </c>
      <c r="B43" s="827" t="str">
        <f>B10</f>
        <v>December 2014</v>
      </c>
      <c r="C43" s="804">
        <f t="shared" ref="C43:S55" si="2">+C10-C26</f>
        <v>5842202.4199999999</v>
      </c>
      <c r="D43" s="805">
        <f t="shared" si="2"/>
        <v>2888663.8299999996</v>
      </c>
      <c r="E43" s="804">
        <f t="shared" si="2"/>
        <v>3988639.1550000003</v>
      </c>
      <c r="F43" s="805">
        <f t="shared" si="2"/>
        <v>6888645.8300000001</v>
      </c>
      <c r="G43" s="804">
        <f t="shared" si="2"/>
        <v>28567465.559679382</v>
      </c>
      <c r="H43" s="805">
        <f t="shared" si="2"/>
        <v>194584599.28592107</v>
      </c>
      <c r="I43" s="804">
        <f t="shared" si="2"/>
        <v>170287414.97948876</v>
      </c>
      <c r="J43" s="805">
        <f t="shared" si="2"/>
        <v>418681.32</v>
      </c>
      <c r="K43" s="804">
        <f t="shared" si="2"/>
        <v>109750.37</v>
      </c>
      <c r="L43" s="805">
        <f t="shared" si="2"/>
        <v>38553.199999999997</v>
      </c>
      <c r="M43" s="804">
        <f t="shared" si="2"/>
        <v>197743.90999999995</v>
      </c>
      <c r="N43" s="805">
        <f t="shared" si="2"/>
        <v>3682806.5050895265</v>
      </c>
      <c r="O43" s="804">
        <f t="shared" si="2"/>
        <v>19797964.092772618</v>
      </c>
      <c r="P43" s="805">
        <f t="shared" si="2"/>
        <v>276705.71000000002</v>
      </c>
      <c r="Q43" s="804">
        <f t="shared" si="2"/>
        <v>13672536.926248267</v>
      </c>
      <c r="R43" s="805">
        <f t="shared" si="2"/>
        <v>6919973.8699042369</v>
      </c>
      <c r="S43" s="804">
        <f t="shared" si="2"/>
        <v>0</v>
      </c>
    </row>
    <row r="44" spans="1:21">
      <c r="A44" s="806" t="s">
        <v>903</v>
      </c>
      <c r="B44" s="828" t="str">
        <f>B11</f>
        <v>January 2015</v>
      </c>
      <c r="C44" s="808">
        <f t="shared" si="2"/>
        <v>5826722.9700000007</v>
      </c>
      <c r="D44" s="809">
        <f t="shared" si="2"/>
        <v>2881030.28</v>
      </c>
      <c r="E44" s="808">
        <f t="shared" si="2"/>
        <v>3978873.05</v>
      </c>
      <c r="F44" s="809">
        <f t="shared" si="2"/>
        <v>6871779.1199999992</v>
      </c>
      <c r="G44" s="808">
        <f t="shared" si="2"/>
        <v>28517573.702701293</v>
      </c>
      <c r="H44" s="809">
        <f t="shared" si="2"/>
        <v>195883442.79836491</v>
      </c>
      <c r="I44" s="808">
        <f t="shared" si="2"/>
        <v>178015915.30873942</v>
      </c>
      <c r="J44" s="809">
        <f t="shared" si="2"/>
        <v>417656.62</v>
      </c>
      <c r="K44" s="808">
        <f t="shared" si="2"/>
        <v>109470.81</v>
      </c>
      <c r="L44" s="809">
        <f t="shared" si="2"/>
        <v>38460.029999999992</v>
      </c>
      <c r="M44" s="808">
        <f t="shared" si="2"/>
        <v>197330.81</v>
      </c>
      <c r="N44" s="809">
        <f t="shared" si="2"/>
        <v>3676825.3882466215</v>
      </c>
      <c r="O44" s="808">
        <f t="shared" si="2"/>
        <v>19763669.779021114</v>
      </c>
      <c r="P44" s="809">
        <f t="shared" si="2"/>
        <v>275988.85583333333</v>
      </c>
      <c r="Q44" s="808">
        <f t="shared" si="2"/>
        <v>13982450.536907706</v>
      </c>
      <c r="R44" s="809">
        <f t="shared" si="2"/>
        <v>6908317.6586690173</v>
      </c>
      <c r="S44" s="808">
        <f t="shared" si="2"/>
        <v>0</v>
      </c>
    </row>
    <row r="45" spans="1:21">
      <c r="A45" s="806"/>
      <c r="B45" s="820" t="s">
        <v>47</v>
      </c>
      <c r="C45" s="808">
        <f t="shared" si="2"/>
        <v>5811243.5200000005</v>
      </c>
      <c r="D45" s="809">
        <f t="shared" si="2"/>
        <v>2873396.7299999995</v>
      </c>
      <c r="E45" s="808">
        <f t="shared" si="2"/>
        <v>3969106.9450000003</v>
      </c>
      <c r="F45" s="809">
        <f t="shared" si="2"/>
        <v>6854912.4099999992</v>
      </c>
      <c r="G45" s="808">
        <f t="shared" si="2"/>
        <v>28467681.845723204</v>
      </c>
      <c r="H45" s="809">
        <f t="shared" si="2"/>
        <v>196963829.20180878</v>
      </c>
      <c r="I45" s="808">
        <f t="shared" si="2"/>
        <v>183084541.33799011</v>
      </c>
      <c r="J45" s="809">
        <f t="shared" si="2"/>
        <v>416631.92</v>
      </c>
      <c r="K45" s="808">
        <f t="shared" si="2"/>
        <v>109191.25</v>
      </c>
      <c r="L45" s="809">
        <f t="shared" si="2"/>
        <v>38366.86</v>
      </c>
      <c r="M45" s="808">
        <f t="shared" si="2"/>
        <v>196917.70999999996</v>
      </c>
      <c r="N45" s="809">
        <f t="shared" si="2"/>
        <v>3670844.2714037164</v>
      </c>
      <c r="O45" s="808">
        <f t="shared" si="2"/>
        <v>19729375.465269614</v>
      </c>
      <c r="P45" s="809">
        <f t="shared" si="2"/>
        <v>275272.00166666665</v>
      </c>
      <c r="Q45" s="808">
        <f t="shared" si="2"/>
        <v>13976035.050106551</v>
      </c>
      <c r="R45" s="809">
        <f t="shared" si="2"/>
        <v>6896661.4474337976</v>
      </c>
      <c r="S45" s="808">
        <f t="shared" si="2"/>
        <v>0</v>
      </c>
    </row>
    <row r="46" spans="1:21">
      <c r="A46" s="806"/>
      <c r="B46" s="820" t="s">
        <v>347</v>
      </c>
      <c r="C46" s="808">
        <f t="shared" si="2"/>
        <v>5795764.0700000003</v>
      </c>
      <c r="D46" s="809">
        <f t="shared" si="2"/>
        <v>2865763.1799999997</v>
      </c>
      <c r="E46" s="808">
        <f t="shared" si="2"/>
        <v>3959340.84</v>
      </c>
      <c r="F46" s="809">
        <f t="shared" si="2"/>
        <v>6838045.6999999993</v>
      </c>
      <c r="G46" s="808">
        <f t="shared" si="2"/>
        <v>28417789.988745119</v>
      </c>
      <c r="H46" s="809">
        <f>+H13-H29</f>
        <v>198966333.74175262</v>
      </c>
      <c r="I46" s="808">
        <f t="shared" si="2"/>
        <v>188194422.66724077</v>
      </c>
      <c r="J46" s="809">
        <f t="shared" si="2"/>
        <v>415607.22</v>
      </c>
      <c r="K46" s="808">
        <f t="shared" si="2"/>
        <v>108911.69</v>
      </c>
      <c r="L46" s="809">
        <f t="shared" si="2"/>
        <v>38273.689999999988</v>
      </c>
      <c r="M46" s="808">
        <f t="shared" si="2"/>
        <v>196504.60999999996</v>
      </c>
      <c r="N46" s="809">
        <f t="shared" si="2"/>
        <v>3664863.1545608109</v>
      </c>
      <c r="O46" s="808">
        <f t="shared" si="2"/>
        <v>19695081.15151811</v>
      </c>
      <c r="P46" s="809">
        <f t="shared" si="2"/>
        <v>274555.14749999996</v>
      </c>
      <c r="Q46" s="808">
        <f t="shared" si="2"/>
        <v>13952458.634754241</v>
      </c>
      <c r="R46" s="809">
        <f t="shared" si="2"/>
        <v>6885005.236198578</v>
      </c>
      <c r="S46" s="808">
        <f t="shared" si="2"/>
        <v>0</v>
      </c>
    </row>
    <row r="47" spans="1:21">
      <c r="A47" s="806"/>
      <c r="B47" s="820" t="s">
        <v>49</v>
      </c>
      <c r="C47" s="808">
        <f t="shared" si="2"/>
        <v>5780284.6200000001</v>
      </c>
      <c r="D47" s="809">
        <f t="shared" si="2"/>
        <v>2858129.63</v>
      </c>
      <c r="E47" s="808">
        <f t="shared" si="2"/>
        <v>3949574.7350000003</v>
      </c>
      <c r="F47" s="809">
        <f t="shared" si="2"/>
        <v>6821178.9900000002</v>
      </c>
      <c r="G47" s="808">
        <f t="shared" si="2"/>
        <v>28367898.131767031</v>
      </c>
      <c r="H47" s="809">
        <f t="shared" si="2"/>
        <v>200042286.25919652</v>
      </c>
      <c r="I47" s="808">
        <f t="shared" si="2"/>
        <v>192974273.89649144</v>
      </c>
      <c r="J47" s="809">
        <f t="shared" si="2"/>
        <v>414582.52</v>
      </c>
      <c r="K47" s="808">
        <f t="shared" si="2"/>
        <v>108632.13</v>
      </c>
      <c r="L47" s="809">
        <f t="shared" si="2"/>
        <v>38180.519999999997</v>
      </c>
      <c r="M47" s="808">
        <f t="shared" si="2"/>
        <v>196091.50999999995</v>
      </c>
      <c r="N47" s="809">
        <f t="shared" si="2"/>
        <v>3658882.0377179058</v>
      </c>
      <c r="O47" s="808">
        <f t="shared" si="2"/>
        <v>19660786.837766606</v>
      </c>
      <c r="P47" s="809">
        <f t="shared" si="2"/>
        <v>273838.29333333333</v>
      </c>
      <c r="Q47" s="808">
        <f t="shared" si="2"/>
        <v>13928882.219401931</v>
      </c>
      <c r="R47" s="809">
        <f t="shared" si="2"/>
        <v>6873349.0249633584</v>
      </c>
      <c r="S47" s="808">
        <f t="shared" si="2"/>
        <v>0</v>
      </c>
    </row>
    <row r="48" spans="1:21">
      <c r="A48" s="806"/>
      <c r="B48" s="820" t="s">
        <v>21</v>
      </c>
      <c r="C48" s="808">
        <f t="shared" si="2"/>
        <v>5764805.1699999999</v>
      </c>
      <c r="D48" s="809">
        <f t="shared" si="2"/>
        <v>2850496.0799999996</v>
      </c>
      <c r="E48" s="808">
        <f t="shared" si="2"/>
        <v>3939808.63</v>
      </c>
      <c r="F48" s="809">
        <f t="shared" si="2"/>
        <v>6804312.2800000003</v>
      </c>
      <c r="G48" s="808">
        <f t="shared" si="2"/>
        <v>28318006.274788946</v>
      </c>
      <c r="H48" s="809">
        <f t="shared" si="2"/>
        <v>188392774.72430044</v>
      </c>
      <c r="I48" s="808">
        <f t="shared" si="2"/>
        <v>198053107.08817849</v>
      </c>
      <c r="J48" s="809">
        <f t="shared" si="2"/>
        <v>413557.82</v>
      </c>
      <c r="K48" s="808">
        <f t="shared" si="2"/>
        <v>108352.57</v>
      </c>
      <c r="L48" s="809">
        <f t="shared" si="2"/>
        <v>38087.349999999991</v>
      </c>
      <c r="M48" s="808">
        <f t="shared" si="2"/>
        <v>195678.40999999995</v>
      </c>
      <c r="N48" s="809">
        <f t="shared" si="2"/>
        <v>3652900.9208750008</v>
      </c>
      <c r="O48" s="808">
        <f t="shared" si="2"/>
        <v>19626492.524015103</v>
      </c>
      <c r="P48" s="809">
        <f t="shared" si="2"/>
        <v>273121.43916666665</v>
      </c>
      <c r="Q48" s="808">
        <f t="shared" si="2"/>
        <v>13905305.80404962</v>
      </c>
      <c r="R48" s="809">
        <f t="shared" si="2"/>
        <v>6998456.0923024053</v>
      </c>
      <c r="S48" s="808">
        <f t="shared" si="2"/>
        <v>0</v>
      </c>
    </row>
    <row r="49" spans="1:19">
      <c r="A49" s="806"/>
      <c r="B49" s="820" t="s">
        <v>50</v>
      </c>
      <c r="C49" s="808">
        <f t="shared" si="2"/>
        <v>5749325.7200000007</v>
      </c>
      <c r="D49" s="809">
        <f t="shared" si="2"/>
        <v>2842862.53</v>
      </c>
      <c r="E49" s="808">
        <f t="shared" si="2"/>
        <v>3930042.5250000004</v>
      </c>
      <c r="F49" s="809">
        <f t="shared" si="2"/>
        <v>6787445.5700000003</v>
      </c>
      <c r="G49" s="808">
        <f t="shared" si="2"/>
        <v>28268114.417810857</v>
      </c>
      <c r="H49" s="809">
        <f t="shared" si="2"/>
        <v>188664181.61903906</v>
      </c>
      <c r="I49" s="808">
        <f t="shared" si="2"/>
        <v>194819906.19618702</v>
      </c>
      <c r="J49" s="809">
        <f t="shared" si="2"/>
        <v>412533.12</v>
      </c>
      <c r="K49" s="808">
        <f t="shared" si="2"/>
        <v>108073.01000000001</v>
      </c>
      <c r="L49" s="809">
        <f t="shared" si="2"/>
        <v>37994.179999999993</v>
      </c>
      <c r="M49" s="808">
        <f t="shared" si="2"/>
        <v>195265.30999999994</v>
      </c>
      <c r="N49" s="809">
        <f t="shared" si="2"/>
        <v>3646919.8040320957</v>
      </c>
      <c r="O49" s="808">
        <f t="shared" si="2"/>
        <v>19592198.210263602</v>
      </c>
      <c r="P49" s="809">
        <f t="shared" si="2"/>
        <v>272404.58499999996</v>
      </c>
      <c r="Q49" s="808">
        <f t="shared" si="2"/>
        <v>13881729.388697309</v>
      </c>
      <c r="R49" s="809">
        <f t="shared" si="2"/>
        <v>16180983.536815902</v>
      </c>
      <c r="S49" s="808">
        <f t="shared" si="2"/>
        <v>0</v>
      </c>
    </row>
    <row r="50" spans="1:19">
      <c r="A50" s="806"/>
      <c r="B50" s="820" t="s">
        <v>51</v>
      </c>
      <c r="C50" s="808">
        <f t="shared" si="2"/>
        <v>5733846.2700000005</v>
      </c>
      <c r="D50" s="809">
        <f t="shared" si="2"/>
        <v>2835228.9799999995</v>
      </c>
      <c r="E50" s="808">
        <f t="shared" si="2"/>
        <v>3920276.42</v>
      </c>
      <c r="F50" s="809">
        <f t="shared" si="2"/>
        <v>6770578.8600000003</v>
      </c>
      <c r="G50" s="808">
        <f t="shared" si="2"/>
        <v>28218222.560832769</v>
      </c>
      <c r="H50" s="809">
        <f t="shared" si="2"/>
        <v>188908486.24052975</v>
      </c>
      <c r="I50" s="808">
        <f t="shared" si="2"/>
        <v>199687784.83547452</v>
      </c>
      <c r="J50" s="809">
        <f t="shared" si="2"/>
        <v>411508.42000000004</v>
      </c>
      <c r="K50" s="808">
        <f t="shared" si="2"/>
        <v>107793.45</v>
      </c>
      <c r="L50" s="809">
        <f t="shared" si="2"/>
        <v>37901.009999999995</v>
      </c>
      <c r="M50" s="808">
        <f t="shared" si="2"/>
        <v>194852.20999999996</v>
      </c>
      <c r="N50" s="809">
        <f t="shared" si="2"/>
        <v>3640938.6871891906</v>
      </c>
      <c r="O50" s="808">
        <f t="shared" si="2"/>
        <v>19557903.896512099</v>
      </c>
      <c r="P50" s="809">
        <f t="shared" si="2"/>
        <v>271687.73083333333</v>
      </c>
      <c r="Q50" s="808">
        <f t="shared" si="2"/>
        <v>13858152.973345</v>
      </c>
      <c r="R50" s="809">
        <f t="shared" si="2"/>
        <v>16175681.954776697</v>
      </c>
      <c r="S50" s="808">
        <f t="shared" si="2"/>
        <v>0</v>
      </c>
    </row>
    <row r="51" spans="1:19">
      <c r="A51" s="806"/>
      <c r="B51" s="820" t="s">
        <v>341</v>
      </c>
      <c r="C51" s="808">
        <f t="shared" si="2"/>
        <v>5718366.8200000003</v>
      </c>
      <c r="D51" s="809">
        <f t="shared" si="2"/>
        <v>2827595.4299999997</v>
      </c>
      <c r="E51" s="808">
        <f t="shared" si="2"/>
        <v>3910510.3150000004</v>
      </c>
      <c r="F51" s="809">
        <f t="shared" si="2"/>
        <v>6753712.1500000004</v>
      </c>
      <c r="G51" s="808">
        <f t="shared" si="2"/>
        <v>28168330.703854684</v>
      </c>
      <c r="H51" s="809">
        <f t="shared" si="2"/>
        <v>188957779.13767323</v>
      </c>
      <c r="I51" s="808">
        <f t="shared" si="2"/>
        <v>203334279.19120869</v>
      </c>
      <c r="J51" s="809">
        <f t="shared" si="2"/>
        <v>410483.72000000003</v>
      </c>
      <c r="K51" s="808">
        <f t="shared" si="2"/>
        <v>107513.89</v>
      </c>
      <c r="L51" s="809">
        <f t="shared" si="2"/>
        <v>37807.839999999997</v>
      </c>
      <c r="M51" s="808">
        <f t="shared" si="2"/>
        <v>194439.10999999996</v>
      </c>
      <c r="N51" s="809">
        <f t="shared" si="2"/>
        <v>3634957.5703462856</v>
      </c>
      <c r="O51" s="808">
        <f t="shared" si="2"/>
        <v>19523609.582760595</v>
      </c>
      <c r="P51" s="809">
        <f t="shared" si="2"/>
        <v>270970.87666666665</v>
      </c>
      <c r="Q51" s="808">
        <f t="shared" si="2"/>
        <v>13834576.557992689</v>
      </c>
      <c r="R51" s="809">
        <f t="shared" si="2"/>
        <v>16163586.673296981</v>
      </c>
      <c r="S51" s="808">
        <f t="shared" si="2"/>
        <v>0</v>
      </c>
    </row>
    <row r="52" spans="1:19">
      <c r="A52" s="806"/>
      <c r="B52" s="820" t="s">
        <v>53</v>
      </c>
      <c r="C52" s="808">
        <f t="shared" si="2"/>
        <v>5702887.3700000001</v>
      </c>
      <c r="D52" s="809">
        <f t="shared" si="2"/>
        <v>2819961.88</v>
      </c>
      <c r="E52" s="808">
        <f t="shared" si="2"/>
        <v>3900744.21</v>
      </c>
      <c r="F52" s="809">
        <f t="shared" si="2"/>
        <v>6736845.4400000004</v>
      </c>
      <c r="G52" s="808">
        <f t="shared" si="2"/>
        <v>28118438.846876595</v>
      </c>
      <c r="H52" s="809">
        <f t="shared" si="2"/>
        <v>188651715.67864844</v>
      </c>
      <c r="I52" s="808">
        <f t="shared" si="2"/>
        <v>203862213.38270685</v>
      </c>
      <c r="J52" s="809">
        <f t="shared" si="2"/>
        <v>409459.02000000008</v>
      </c>
      <c r="K52" s="808">
        <f t="shared" si="2"/>
        <v>107234.33</v>
      </c>
      <c r="L52" s="809">
        <f t="shared" si="2"/>
        <v>37714.669999999991</v>
      </c>
      <c r="M52" s="808">
        <f t="shared" si="2"/>
        <v>194026.00999999995</v>
      </c>
      <c r="N52" s="809">
        <f t="shared" si="2"/>
        <v>3628976.4535033805</v>
      </c>
      <c r="O52" s="808">
        <f t="shared" si="2"/>
        <v>19489315.269009091</v>
      </c>
      <c r="P52" s="809">
        <f t="shared" si="2"/>
        <v>270254.02249999996</v>
      </c>
      <c r="Q52" s="808">
        <f t="shared" si="2"/>
        <v>13811000.14264038</v>
      </c>
      <c r="R52" s="809">
        <f t="shared" si="2"/>
        <v>16136092.397529641</v>
      </c>
      <c r="S52" s="808">
        <f t="shared" si="2"/>
        <v>0</v>
      </c>
    </row>
    <row r="53" spans="1:19">
      <c r="A53" s="806"/>
      <c r="B53" s="820" t="s">
        <v>54</v>
      </c>
      <c r="C53" s="808">
        <f t="shared" si="2"/>
        <v>5687407.9199999999</v>
      </c>
      <c r="D53" s="809">
        <f t="shared" si="2"/>
        <v>2812328.3299999996</v>
      </c>
      <c r="E53" s="808">
        <f>+E20-E36</f>
        <v>3890978.1050000004</v>
      </c>
      <c r="F53" s="809">
        <f t="shared" si="2"/>
        <v>6719978.7300000004</v>
      </c>
      <c r="G53" s="808">
        <f t="shared" si="2"/>
        <v>28068546.989898507</v>
      </c>
      <c r="H53" s="809">
        <f t="shared" si="2"/>
        <v>188345652.21962366</v>
      </c>
      <c r="I53" s="808">
        <f t="shared" si="2"/>
        <v>204102392.66151142</v>
      </c>
      <c r="J53" s="809">
        <f t="shared" si="2"/>
        <v>408434.32000000007</v>
      </c>
      <c r="K53" s="808">
        <f t="shared" si="2"/>
        <v>106954.77</v>
      </c>
      <c r="L53" s="809">
        <f t="shared" si="2"/>
        <v>37621.5</v>
      </c>
      <c r="M53" s="808">
        <f t="shared" si="2"/>
        <v>193612.90999999995</v>
      </c>
      <c r="N53" s="809">
        <f t="shared" si="2"/>
        <v>3622995.3366604755</v>
      </c>
      <c r="O53" s="808">
        <f t="shared" si="2"/>
        <v>19455020.955257591</v>
      </c>
      <c r="P53" s="809">
        <f t="shared" si="2"/>
        <v>269537.16833333333</v>
      </c>
      <c r="Q53" s="808">
        <f t="shared" si="2"/>
        <v>13787423.727288069</v>
      </c>
      <c r="R53" s="809">
        <f t="shared" si="2"/>
        <v>16108598.121762302</v>
      </c>
      <c r="S53" s="808">
        <f t="shared" si="2"/>
        <v>0</v>
      </c>
    </row>
    <row r="54" spans="1:19">
      <c r="A54" s="806"/>
      <c r="B54" s="820" t="s">
        <v>55</v>
      </c>
      <c r="C54" s="808">
        <f t="shared" si="2"/>
        <v>5671928.4700000007</v>
      </c>
      <c r="D54" s="809">
        <f t="shared" si="2"/>
        <v>2804694.78</v>
      </c>
      <c r="E54" s="808">
        <f t="shared" si="2"/>
        <v>3881212</v>
      </c>
      <c r="F54" s="809">
        <f t="shared" si="2"/>
        <v>6703112.0199999996</v>
      </c>
      <c r="G54" s="808">
        <f t="shared" si="2"/>
        <v>28018655.132920422</v>
      </c>
      <c r="H54" s="809">
        <f t="shared" si="2"/>
        <v>188039588.7605989</v>
      </c>
      <c r="I54" s="808">
        <f t="shared" si="2"/>
        <v>203862638.16735145</v>
      </c>
      <c r="J54" s="809">
        <f t="shared" si="2"/>
        <v>407409.62000000005</v>
      </c>
      <c r="K54" s="808">
        <f t="shared" si="2"/>
        <v>106675.21</v>
      </c>
      <c r="L54" s="809">
        <f t="shared" si="2"/>
        <v>37528.329999999987</v>
      </c>
      <c r="M54" s="808">
        <f t="shared" si="2"/>
        <v>193199.80999999994</v>
      </c>
      <c r="N54" s="809">
        <f t="shared" si="2"/>
        <v>3617014.2198175704</v>
      </c>
      <c r="O54" s="808">
        <f t="shared" si="2"/>
        <v>19420726.641506087</v>
      </c>
      <c r="P54" s="809">
        <f t="shared" si="2"/>
        <v>268820.31416666665</v>
      </c>
      <c r="Q54" s="808">
        <f t="shared" si="2"/>
        <v>13763847.311935758</v>
      </c>
      <c r="R54" s="809">
        <f t="shared" si="2"/>
        <v>16081103.845994962</v>
      </c>
      <c r="S54" s="808">
        <f t="shared" si="2"/>
        <v>0</v>
      </c>
    </row>
    <row r="55" spans="1:19">
      <c r="A55" s="811"/>
      <c r="B55" s="829" t="str">
        <f>+B38</f>
        <v>December 2015</v>
      </c>
      <c r="C55" s="813">
        <f t="shared" si="2"/>
        <v>5656449.0200000005</v>
      </c>
      <c r="D55" s="814">
        <f t="shared" si="2"/>
        <v>2797061.2299999995</v>
      </c>
      <c r="E55" s="813">
        <f t="shared" si="2"/>
        <v>3871445.8950000005</v>
      </c>
      <c r="F55" s="814">
        <f t="shared" si="2"/>
        <v>6686245.3099999996</v>
      </c>
      <c r="G55" s="813">
        <f t="shared" si="2"/>
        <v>27968763.275942333</v>
      </c>
      <c r="H55" s="814">
        <f t="shared" si="2"/>
        <v>187733525.30157411</v>
      </c>
      <c r="I55" s="813">
        <f t="shared" si="2"/>
        <v>203525650.68065116</v>
      </c>
      <c r="J55" s="814">
        <f t="shared" si="2"/>
        <v>406384.92000000004</v>
      </c>
      <c r="K55" s="813">
        <f t="shared" si="2"/>
        <v>106395.65</v>
      </c>
      <c r="L55" s="814">
        <f t="shared" si="2"/>
        <v>37435.159999999996</v>
      </c>
      <c r="M55" s="813">
        <f t="shared" si="2"/>
        <v>192786.70999999996</v>
      </c>
      <c r="N55" s="814">
        <f t="shared" si="2"/>
        <v>3611033.1029746654</v>
      </c>
      <c r="O55" s="813">
        <f t="shared" si="2"/>
        <v>19386432.327754583</v>
      </c>
      <c r="P55" s="814">
        <f t="shared" si="2"/>
        <v>268103.46000000002</v>
      </c>
      <c r="Q55" s="813">
        <f t="shared" si="2"/>
        <v>13740270.896583449</v>
      </c>
      <c r="R55" s="814">
        <f t="shared" si="2"/>
        <v>16053609.570227625</v>
      </c>
      <c r="S55" s="813">
        <f t="shared" si="2"/>
        <v>41850867.596208364</v>
      </c>
    </row>
    <row r="56" spans="1:19">
      <c r="A56" s="815"/>
      <c r="B56" s="816" t="s">
        <v>29</v>
      </c>
      <c r="C56" s="817">
        <f>AVERAGE(C43:C55)</f>
        <v>5749325.7199999997</v>
      </c>
      <c r="D56" s="818">
        <f>AVERAGE(D43:D55)</f>
        <v>2842862.5299999993</v>
      </c>
      <c r="E56" s="817">
        <f t="shared" ref="E56:S56" si="3">AVERAGE(E43:E55)</f>
        <v>3930042.5250000008</v>
      </c>
      <c r="F56" s="818">
        <f t="shared" si="3"/>
        <v>6787445.5699999994</v>
      </c>
      <c r="G56" s="817">
        <f t="shared" si="3"/>
        <v>28268114.417810857</v>
      </c>
      <c r="H56" s="818">
        <f t="shared" si="3"/>
        <v>191856476.53607938</v>
      </c>
      <c r="I56" s="817">
        <f t="shared" si="3"/>
        <v>194138810.79947847</v>
      </c>
      <c r="J56" s="818">
        <f t="shared" si="3"/>
        <v>412533.12000000005</v>
      </c>
      <c r="K56" s="817">
        <f t="shared" si="3"/>
        <v>108073.01</v>
      </c>
      <c r="L56" s="818">
        <f t="shared" si="3"/>
        <v>37994.179999999993</v>
      </c>
      <c r="M56" s="817">
        <f t="shared" si="3"/>
        <v>195265.30999999994</v>
      </c>
      <c r="N56" s="818">
        <f t="shared" si="3"/>
        <v>3646919.8040320957</v>
      </c>
      <c r="O56" s="817">
        <f t="shared" si="3"/>
        <v>19592198.210263599</v>
      </c>
      <c r="P56" s="818">
        <f t="shared" si="3"/>
        <v>272404.58499999996</v>
      </c>
      <c r="Q56" s="817">
        <f t="shared" si="3"/>
        <v>13853436.166919304</v>
      </c>
      <c r="R56" s="818">
        <f t="shared" si="3"/>
        <v>11875493.802298117</v>
      </c>
      <c r="S56" s="817">
        <f t="shared" si="3"/>
        <v>3219297.5074006435</v>
      </c>
    </row>
    <row r="57" spans="1:19">
      <c r="A57" s="815"/>
      <c r="B57" s="823"/>
      <c r="C57" s="830"/>
      <c r="D57" s="830"/>
      <c r="E57" s="830"/>
      <c r="F57" s="830"/>
      <c r="G57" s="830"/>
      <c r="H57" s="830"/>
      <c r="I57" s="830"/>
      <c r="J57" s="830"/>
      <c r="K57" s="830"/>
      <c r="L57" s="830"/>
      <c r="M57" s="830"/>
      <c r="N57" s="830"/>
      <c r="O57" s="830"/>
      <c r="P57" s="830"/>
      <c r="Q57" s="830"/>
      <c r="R57" s="830"/>
      <c r="S57" s="830"/>
    </row>
    <row r="58" spans="1:19">
      <c r="A58" s="815"/>
      <c r="B58" s="831"/>
      <c r="C58" s="832"/>
      <c r="D58" s="832"/>
      <c r="E58" s="832"/>
      <c r="F58" s="832"/>
      <c r="G58" s="832"/>
      <c r="H58" s="832"/>
      <c r="I58" s="832"/>
      <c r="J58" s="832"/>
      <c r="K58" s="832"/>
      <c r="L58" s="832"/>
      <c r="M58" s="832"/>
      <c r="N58" s="832"/>
      <c r="O58" s="832"/>
      <c r="P58" s="832"/>
      <c r="Q58" s="832"/>
      <c r="R58" s="832"/>
      <c r="S58" s="832"/>
    </row>
    <row r="59" spans="1:19">
      <c r="A59" s="833" t="s">
        <v>904</v>
      </c>
      <c r="B59" s="834" t="s">
        <v>840</v>
      </c>
      <c r="C59" s="835">
        <v>185753.4</v>
      </c>
      <c r="D59" s="836">
        <v>91602.6</v>
      </c>
      <c r="E59" s="835">
        <v>117193.26</v>
      </c>
      <c r="F59" s="836">
        <v>202400.52</v>
      </c>
      <c r="G59" s="835">
        <v>598702.28373704816</v>
      </c>
      <c r="H59" s="836">
        <v>2944126.0420751208</v>
      </c>
      <c r="I59" s="835">
        <v>2238685.5193472672</v>
      </c>
      <c r="J59" s="836">
        <v>12296.4</v>
      </c>
      <c r="K59" s="835">
        <v>3354.72</v>
      </c>
      <c r="L59" s="836">
        <v>1118.04</v>
      </c>
      <c r="M59" s="835">
        <v>4957.2</v>
      </c>
      <c r="N59" s="836">
        <v>71773.40211486115</v>
      </c>
      <c r="O59" s="835">
        <v>411531.76501803537</v>
      </c>
      <c r="P59" s="836">
        <v>8602.25</v>
      </c>
      <c r="Q59" s="835">
        <v>282589.02966481919</v>
      </c>
      <c r="R59" s="836">
        <v>242963.7696766131</v>
      </c>
      <c r="S59" s="835">
        <v>33517.78379163838</v>
      </c>
    </row>
    <row r="60" spans="1:19">
      <c r="A60" s="811" t="s">
        <v>905</v>
      </c>
      <c r="B60" s="837" t="s">
        <v>906</v>
      </c>
      <c r="C60" s="813">
        <v>0</v>
      </c>
      <c r="D60" s="814">
        <v>0</v>
      </c>
      <c r="E60" s="813">
        <v>0</v>
      </c>
      <c r="F60" s="814">
        <v>0</v>
      </c>
      <c r="G60" s="813">
        <v>0</v>
      </c>
      <c r="H60" s="814">
        <v>0</v>
      </c>
      <c r="I60" s="813">
        <v>0</v>
      </c>
      <c r="J60" s="814">
        <v>0</v>
      </c>
      <c r="K60" s="813">
        <v>0</v>
      </c>
      <c r="L60" s="814">
        <v>0</v>
      </c>
      <c r="M60" s="813">
        <v>0</v>
      </c>
      <c r="N60" s="814">
        <v>0</v>
      </c>
      <c r="O60" s="813">
        <v>0</v>
      </c>
      <c r="P60" s="814">
        <v>0</v>
      </c>
      <c r="Q60" s="813">
        <v>0</v>
      </c>
      <c r="R60" s="814">
        <v>0</v>
      </c>
      <c r="S60" s="813">
        <v>0</v>
      </c>
    </row>
    <row r="61" spans="1:19">
      <c r="A61" s="789"/>
      <c r="B61" s="816" t="s">
        <v>907</v>
      </c>
      <c r="C61" s="817">
        <f>+C59+C60</f>
        <v>185753.4</v>
      </c>
      <c r="D61" s="818">
        <f>+D59+D60</f>
        <v>91602.6</v>
      </c>
      <c r="E61" s="817">
        <f t="shared" ref="E61:S61" si="4">+E59+E60</f>
        <v>117193.26</v>
      </c>
      <c r="F61" s="818">
        <f t="shared" si="4"/>
        <v>202400.52</v>
      </c>
      <c r="G61" s="817">
        <f t="shared" si="4"/>
        <v>598702.28373704816</v>
      </c>
      <c r="H61" s="818">
        <f t="shared" si="4"/>
        <v>2944126.0420751208</v>
      </c>
      <c r="I61" s="817">
        <f t="shared" si="4"/>
        <v>2238685.5193472672</v>
      </c>
      <c r="J61" s="818">
        <f t="shared" si="4"/>
        <v>12296.4</v>
      </c>
      <c r="K61" s="817">
        <f t="shared" si="4"/>
        <v>3354.72</v>
      </c>
      <c r="L61" s="818">
        <f t="shared" si="4"/>
        <v>1118.04</v>
      </c>
      <c r="M61" s="817">
        <f t="shared" si="4"/>
        <v>4957.2</v>
      </c>
      <c r="N61" s="818">
        <f t="shared" si="4"/>
        <v>71773.40211486115</v>
      </c>
      <c r="O61" s="817">
        <f t="shared" si="4"/>
        <v>411531.76501803537</v>
      </c>
      <c r="P61" s="818">
        <f t="shared" si="4"/>
        <v>8602.25</v>
      </c>
      <c r="Q61" s="817">
        <f t="shared" si="4"/>
        <v>282589.02966481919</v>
      </c>
      <c r="R61" s="818">
        <f t="shared" si="4"/>
        <v>242963.7696766131</v>
      </c>
      <c r="S61" s="817">
        <f t="shared" si="4"/>
        <v>33517.78379163838</v>
      </c>
    </row>
    <row r="62" spans="1:19">
      <c r="E62" s="838"/>
      <c r="G62" s="796"/>
    </row>
    <row r="63" spans="1:19" s="839" customFormat="1"/>
    <row r="64" spans="1:19" s="839" customFormat="1"/>
    <row r="65" s="839" customFormat="1"/>
  </sheetData>
  <phoneticPr fontId="13" type="noConversion"/>
  <dataValidations disablePrompts="1" count="1">
    <dataValidation type="list" allowBlank="1" showInputMessage="1" showErrorMessage="1" sqref="C9:S9">
      <formula1>$T$6:$T$7</formula1>
    </dataValidation>
  </dataValidations>
  <pageMargins left="0.75" right="0.75" top="1" bottom="1" header="0.5" footer="0.5"/>
  <pageSetup paperSize="3" scale="73"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5"/>
    <pageSetUpPr fitToPage="1"/>
  </sheetPr>
  <dimension ref="A1:D40"/>
  <sheetViews>
    <sheetView showGridLines="0" zoomScale="90" workbookViewId="0"/>
  </sheetViews>
  <sheetFormatPr defaultRowHeight="12.75"/>
  <cols>
    <col min="1" max="2" width="8.21875" style="487" customWidth="1"/>
    <col min="3" max="3" width="7.77734375" style="487" customWidth="1"/>
    <col min="4" max="4" width="87.44140625" style="487" customWidth="1"/>
    <col min="5" max="16384" width="8.88671875" style="487"/>
  </cols>
  <sheetData>
    <row r="1" spans="1:4">
      <c r="A1" s="840" t="s">
        <v>908</v>
      </c>
      <c r="B1" s="840"/>
    </row>
    <row r="3" spans="1:4" ht="25.5">
      <c r="A3" s="841" t="s">
        <v>895</v>
      </c>
      <c r="B3" s="841" t="s">
        <v>909</v>
      </c>
      <c r="C3" s="841" t="s">
        <v>910</v>
      </c>
      <c r="D3" s="842" t="s">
        <v>911</v>
      </c>
    </row>
    <row r="4" spans="1:4">
      <c r="A4" s="843">
        <v>1366</v>
      </c>
      <c r="B4" s="844">
        <v>2277</v>
      </c>
      <c r="C4" s="845"/>
      <c r="D4" s="846" t="s">
        <v>912</v>
      </c>
    </row>
    <row r="5" spans="1:4">
      <c r="A5" s="843">
        <v>1366</v>
      </c>
      <c r="B5" s="843">
        <v>2280</v>
      </c>
      <c r="C5" s="847"/>
      <c r="D5" s="846" t="s">
        <v>913</v>
      </c>
    </row>
    <row r="6" spans="1:4">
      <c r="A6" s="843">
        <v>1366</v>
      </c>
      <c r="B6" s="843">
        <v>2281</v>
      </c>
      <c r="C6" s="847"/>
      <c r="D6" s="846" t="s">
        <v>914</v>
      </c>
    </row>
    <row r="7" spans="1:4" ht="25.5">
      <c r="A7" s="843">
        <v>1456</v>
      </c>
      <c r="B7" s="843">
        <v>2491</v>
      </c>
      <c r="C7" s="847"/>
      <c r="D7" s="846" t="s">
        <v>915</v>
      </c>
    </row>
    <row r="8" spans="1:4">
      <c r="A8" s="843">
        <v>1457</v>
      </c>
      <c r="B8" s="843">
        <v>2303</v>
      </c>
      <c r="C8" s="847"/>
      <c r="D8" s="846" t="s">
        <v>916</v>
      </c>
    </row>
    <row r="9" spans="1:4">
      <c r="A9" s="843">
        <v>1457</v>
      </c>
      <c r="B9" s="843">
        <v>2550</v>
      </c>
      <c r="C9" s="847"/>
      <c r="D9" s="846" t="s">
        <v>917</v>
      </c>
    </row>
    <row r="10" spans="1:4">
      <c r="A10" s="843">
        <v>1457</v>
      </c>
      <c r="B10" s="843">
        <v>2552</v>
      </c>
      <c r="C10" s="847"/>
      <c r="D10" s="846" t="s">
        <v>918</v>
      </c>
    </row>
    <row r="11" spans="1:4">
      <c r="A11" s="843">
        <v>1457</v>
      </c>
      <c r="B11" s="843">
        <v>2565</v>
      </c>
      <c r="C11" s="847"/>
      <c r="D11" s="846" t="s">
        <v>919</v>
      </c>
    </row>
    <row r="12" spans="1:4">
      <c r="A12" s="843">
        <v>1953</v>
      </c>
      <c r="B12" s="843">
        <v>3834</v>
      </c>
      <c r="C12" s="847"/>
      <c r="D12" s="846" t="s">
        <v>920</v>
      </c>
    </row>
    <row r="13" spans="1:4" ht="25.5">
      <c r="A13" s="843">
        <v>279</v>
      </c>
      <c r="B13" s="843">
        <v>1098</v>
      </c>
      <c r="C13" s="847"/>
      <c r="D13" s="846" t="s">
        <v>921</v>
      </c>
    </row>
    <row r="14" spans="1:4">
      <c r="A14" s="843">
        <v>286</v>
      </c>
      <c r="B14" s="843">
        <v>1104</v>
      </c>
      <c r="C14" s="847"/>
      <c r="D14" s="846" t="s">
        <v>922</v>
      </c>
    </row>
    <row r="15" spans="1:4">
      <c r="A15" s="843">
        <v>286</v>
      </c>
      <c r="B15" s="843">
        <v>1105</v>
      </c>
      <c r="C15" s="847"/>
      <c r="D15" s="846" t="s">
        <v>923</v>
      </c>
    </row>
    <row r="16" spans="1:4">
      <c r="A16" s="843">
        <v>286</v>
      </c>
      <c r="B16" s="843">
        <v>2641</v>
      </c>
      <c r="C16" s="847"/>
      <c r="D16" s="846" t="s">
        <v>924</v>
      </c>
    </row>
    <row r="17" spans="1:4">
      <c r="A17" s="843">
        <v>1024</v>
      </c>
      <c r="B17" s="843">
        <v>1675</v>
      </c>
      <c r="C17" s="847"/>
      <c r="D17" s="846" t="s">
        <v>925</v>
      </c>
    </row>
    <row r="18" spans="1:4">
      <c r="A18" s="843">
        <v>1024</v>
      </c>
      <c r="B18" s="843">
        <v>1676</v>
      </c>
      <c r="C18" s="847"/>
      <c r="D18" s="846" t="s">
        <v>926</v>
      </c>
    </row>
    <row r="19" spans="1:4">
      <c r="A19" s="848">
        <v>1024</v>
      </c>
      <c r="B19" s="848">
        <v>1677</v>
      </c>
      <c r="C19" s="847"/>
      <c r="D19" s="849" t="s">
        <v>927</v>
      </c>
    </row>
    <row r="20" spans="1:4">
      <c r="A20" s="848">
        <v>1024</v>
      </c>
      <c r="B20" s="848">
        <v>2647</v>
      </c>
      <c r="C20" s="847"/>
      <c r="D20" s="850" t="s">
        <v>928</v>
      </c>
    </row>
    <row r="21" spans="1:4">
      <c r="A21" s="848">
        <v>1458</v>
      </c>
      <c r="B21" s="848">
        <v>2299</v>
      </c>
      <c r="C21" s="847"/>
      <c r="D21" s="850" t="s">
        <v>929</v>
      </c>
    </row>
    <row r="22" spans="1:4">
      <c r="A22" s="848">
        <v>1458</v>
      </c>
      <c r="B22" s="848">
        <v>2553</v>
      </c>
      <c r="C22" s="847"/>
      <c r="D22" s="850" t="s">
        <v>930</v>
      </c>
    </row>
    <row r="23" spans="1:4">
      <c r="A23" s="848">
        <v>1458</v>
      </c>
      <c r="B23" s="848">
        <v>2554</v>
      </c>
      <c r="C23" s="847"/>
      <c r="D23" s="850" t="s">
        <v>931</v>
      </c>
    </row>
    <row r="24" spans="1:4">
      <c r="A24" s="848">
        <v>1458</v>
      </c>
      <c r="B24" s="848">
        <v>2566</v>
      </c>
      <c r="C24" s="847"/>
      <c r="D24" s="850" t="s">
        <v>932</v>
      </c>
    </row>
    <row r="25" spans="1:4">
      <c r="A25" s="848">
        <v>2765</v>
      </c>
      <c r="B25" s="848">
        <v>4792</v>
      </c>
      <c r="C25" s="847"/>
      <c r="D25" s="850" t="s">
        <v>933</v>
      </c>
    </row>
    <row r="26" spans="1:4" ht="25.5">
      <c r="A26" s="848">
        <v>2109</v>
      </c>
      <c r="B26" s="848">
        <v>2825</v>
      </c>
      <c r="C26" s="847"/>
      <c r="D26" s="850" t="s">
        <v>934</v>
      </c>
    </row>
    <row r="27" spans="1:4" ht="25.5">
      <c r="A27" s="848">
        <v>2119</v>
      </c>
      <c r="B27" s="848">
        <v>2851</v>
      </c>
      <c r="C27" s="847"/>
      <c r="D27" s="850" t="s">
        <v>935</v>
      </c>
    </row>
    <row r="28" spans="1:4">
      <c r="A28" s="848">
        <v>2178</v>
      </c>
      <c r="B28" s="848">
        <v>4021</v>
      </c>
      <c r="C28" s="847"/>
      <c r="D28" s="850" t="s">
        <v>936</v>
      </c>
    </row>
    <row r="29" spans="1:4">
      <c r="A29" s="851" t="s">
        <v>280</v>
      </c>
      <c r="B29" s="848">
        <v>2114</v>
      </c>
      <c r="C29" s="847"/>
      <c r="D29" s="850" t="s">
        <v>937</v>
      </c>
    </row>
    <row r="30" spans="1:4">
      <c r="A30" s="851" t="s">
        <v>292</v>
      </c>
      <c r="B30" s="848">
        <v>5439</v>
      </c>
      <c r="C30" s="847"/>
      <c r="D30" s="850" t="s">
        <v>938</v>
      </c>
    </row>
    <row r="31" spans="1:4">
      <c r="A31" s="851" t="s">
        <v>281</v>
      </c>
      <c r="B31" s="848">
        <v>6158</v>
      </c>
      <c r="C31" s="847"/>
      <c r="D31" s="850" t="s">
        <v>939</v>
      </c>
    </row>
    <row r="32" spans="1:4">
      <c r="A32" s="851" t="s">
        <v>281</v>
      </c>
      <c r="B32" s="848">
        <v>6159</v>
      </c>
      <c r="C32" s="847"/>
      <c r="D32" s="850" t="s">
        <v>939</v>
      </c>
    </row>
    <row r="33" spans="1:4">
      <c r="A33" s="851" t="s">
        <v>282</v>
      </c>
      <c r="B33" s="848">
        <v>6169</v>
      </c>
      <c r="C33" s="847"/>
      <c r="D33" s="850" t="s">
        <v>940</v>
      </c>
    </row>
    <row r="34" spans="1:4">
      <c r="A34" s="851" t="s">
        <v>282</v>
      </c>
      <c r="B34" s="848">
        <v>6170</v>
      </c>
      <c r="C34" s="847"/>
      <c r="D34" s="850" t="s">
        <v>941</v>
      </c>
    </row>
    <row r="35" spans="1:4">
      <c r="A35" s="851" t="s">
        <v>282</v>
      </c>
      <c r="B35" s="848">
        <v>6171</v>
      </c>
      <c r="C35" s="847"/>
      <c r="D35" s="850" t="s">
        <v>942</v>
      </c>
    </row>
    <row r="36" spans="1:4" ht="25.5">
      <c r="A36" s="851">
        <v>3775</v>
      </c>
      <c r="B36" s="848">
        <v>7068</v>
      </c>
      <c r="C36" s="847"/>
      <c r="D36" s="850" t="s">
        <v>943</v>
      </c>
    </row>
    <row r="37" spans="1:4" ht="25.5">
      <c r="A37" s="851">
        <v>3775</v>
      </c>
      <c r="B37" s="848">
        <v>7067</v>
      </c>
      <c r="C37" s="847"/>
      <c r="D37" s="850" t="s">
        <v>943</v>
      </c>
    </row>
    <row r="38" spans="1:4" ht="25.5">
      <c r="A38" s="851">
        <v>3775</v>
      </c>
      <c r="B38" s="848">
        <v>7066</v>
      </c>
      <c r="C38" s="847"/>
      <c r="D38" s="850" t="s">
        <v>943</v>
      </c>
    </row>
    <row r="39" spans="1:4" ht="25.5">
      <c r="A39" s="851">
        <v>3775</v>
      </c>
      <c r="B39" s="848">
        <v>7065</v>
      </c>
      <c r="C39" s="847"/>
      <c r="D39" s="850" t="s">
        <v>944</v>
      </c>
    </row>
    <row r="40" spans="1:4">
      <c r="A40" s="851">
        <v>3775</v>
      </c>
      <c r="B40" s="848">
        <v>7070</v>
      </c>
      <c r="C40" s="847"/>
      <c r="D40" s="850" t="s">
        <v>945</v>
      </c>
    </row>
  </sheetData>
  <phoneticPr fontId="13" type="noConversion"/>
  <pageMargins left="0.75" right="0.75" top="1" bottom="1" header="0.5"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BQ307"/>
  <sheetViews>
    <sheetView showGridLines="0" topLeftCell="A64" zoomScale="75" zoomScaleNormal="75" workbookViewId="0">
      <selection activeCell="C108" sqref="C108:R108"/>
    </sheetView>
  </sheetViews>
  <sheetFormatPr defaultRowHeight="12.75"/>
  <cols>
    <col min="1" max="1" width="6" style="852" customWidth="1"/>
    <col min="2" max="2" width="1.44140625" style="852" customWidth="1"/>
    <col min="3" max="3" width="18" style="852" customWidth="1"/>
    <col min="4" max="4" width="10.21875" style="852" customWidth="1"/>
    <col min="5" max="5" width="14.33203125" style="852" customWidth="1"/>
    <col min="6" max="6" width="12.88671875" style="852" customWidth="1"/>
    <col min="7" max="7" width="13.5546875" style="852" customWidth="1"/>
    <col min="8" max="8" width="14.44140625" style="852" customWidth="1"/>
    <col min="9" max="9" width="12.33203125" style="852" customWidth="1"/>
    <col min="10" max="10" width="14.109375" style="852" customWidth="1"/>
    <col min="11" max="11" width="12.21875" style="852" customWidth="1"/>
    <col min="12" max="12" width="13.33203125" style="852" customWidth="1"/>
    <col min="13" max="13" width="12.6640625" style="852" customWidth="1"/>
    <col min="14" max="14" width="12.77734375" style="852" customWidth="1"/>
    <col min="15" max="15" width="12.44140625" style="852" customWidth="1"/>
    <col min="16" max="16" width="16" style="852" customWidth="1"/>
    <col min="17" max="17" width="12.33203125" style="852" customWidth="1"/>
    <col min="18" max="18" width="13.88671875" style="852" customWidth="1"/>
    <col min="19" max="19" width="1.88671875" style="852" customWidth="1"/>
    <col min="20" max="20" width="13" style="852" customWidth="1"/>
    <col min="21" max="16384" width="8.88671875" style="852"/>
  </cols>
  <sheetData>
    <row r="1" spans="1:69">
      <c r="R1" s="853"/>
    </row>
    <row r="2" spans="1:69">
      <c r="R2" s="853"/>
    </row>
    <row r="4" spans="1:69" ht="15">
      <c r="R4" s="969" t="s">
        <v>946</v>
      </c>
    </row>
    <row r="5" spans="1:69" ht="15">
      <c r="C5" s="713" t="s">
        <v>786</v>
      </c>
      <c r="D5" s="713"/>
      <c r="E5" s="713"/>
      <c r="F5" s="713"/>
      <c r="G5" s="713"/>
      <c r="H5" s="713"/>
      <c r="I5" s="713"/>
      <c r="J5" s="714" t="s">
        <v>382</v>
      </c>
      <c r="K5" s="714"/>
      <c r="L5" s="713"/>
      <c r="M5" s="713"/>
      <c r="N5" s="713"/>
      <c r="O5" s="715"/>
      <c r="Q5" s="716"/>
      <c r="R5" s="717" t="s">
        <v>787</v>
      </c>
      <c r="S5" s="854"/>
      <c r="T5" s="855"/>
      <c r="U5" s="855"/>
      <c r="V5" s="854"/>
      <c r="W5" s="856"/>
      <c r="X5" s="856"/>
      <c r="Y5" s="856"/>
      <c r="Z5" s="856"/>
      <c r="AA5" s="856"/>
      <c r="AB5" s="856"/>
      <c r="AC5" s="856"/>
      <c r="AD5" s="856"/>
      <c r="AE5" s="856"/>
      <c r="AF5" s="856"/>
      <c r="AG5" s="856"/>
      <c r="AH5" s="856"/>
      <c r="AI5" s="856"/>
      <c r="AJ5" s="856"/>
      <c r="AK5" s="856"/>
      <c r="AL5" s="856"/>
      <c r="AM5" s="856"/>
      <c r="AN5" s="856"/>
      <c r="AO5" s="856"/>
      <c r="AP5" s="856"/>
      <c r="AQ5" s="856"/>
      <c r="AR5" s="856"/>
      <c r="AS5" s="856"/>
      <c r="AT5" s="856"/>
      <c r="AU5" s="856"/>
      <c r="AV5" s="856"/>
      <c r="AW5" s="856"/>
      <c r="AX5" s="856"/>
      <c r="AY5" s="856"/>
      <c r="AZ5" s="856"/>
      <c r="BA5" s="856"/>
      <c r="BB5" s="856"/>
      <c r="BC5" s="856"/>
      <c r="BD5" s="856"/>
      <c r="BE5" s="856"/>
      <c r="BF5" s="856"/>
      <c r="BG5" s="856"/>
      <c r="BH5" s="856"/>
      <c r="BI5" s="856"/>
      <c r="BJ5" s="856"/>
      <c r="BK5" s="856"/>
      <c r="BL5" s="856"/>
      <c r="BM5" s="856"/>
      <c r="BN5" s="856"/>
      <c r="BO5" s="856"/>
      <c r="BP5" s="856"/>
      <c r="BQ5" s="856"/>
    </row>
    <row r="6" spans="1:69" ht="15">
      <c r="C6" s="713"/>
      <c r="D6" s="713"/>
      <c r="E6" s="713"/>
      <c r="F6" s="713"/>
      <c r="G6" s="713"/>
      <c r="H6" s="719" t="s">
        <v>5</v>
      </c>
      <c r="I6" s="719"/>
      <c r="J6" s="719" t="s">
        <v>788</v>
      </c>
      <c r="K6" s="719"/>
      <c r="L6" s="719"/>
      <c r="M6" s="719"/>
      <c r="N6" s="719"/>
      <c r="O6" s="715"/>
      <c r="Q6" s="716"/>
      <c r="R6" s="715"/>
      <c r="S6" s="854"/>
      <c r="T6" s="857"/>
      <c r="U6" s="855"/>
      <c r="V6" s="854"/>
      <c r="W6" s="856"/>
      <c r="X6" s="856"/>
      <c r="Y6" s="856"/>
      <c r="Z6" s="856"/>
      <c r="AA6" s="856"/>
      <c r="AB6" s="856"/>
      <c r="AC6" s="856"/>
      <c r="AD6" s="856"/>
      <c r="AE6" s="856"/>
      <c r="AF6" s="856"/>
      <c r="AG6" s="856"/>
      <c r="AH6" s="856"/>
      <c r="AI6" s="856"/>
      <c r="AJ6" s="856"/>
      <c r="AK6" s="856"/>
      <c r="AL6" s="856"/>
      <c r="AM6" s="856"/>
      <c r="AN6" s="856"/>
      <c r="AO6" s="856"/>
      <c r="AP6" s="856"/>
      <c r="AQ6" s="856"/>
      <c r="AR6" s="856"/>
      <c r="AS6" s="856"/>
      <c r="AT6" s="856"/>
      <c r="AU6" s="856"/>
      <c r="AV6" s="856"/>
      <c r="AW6" s="856"/>
      <c r="AX6" s="856"/>
      <c r="AY6" s="856"/>
      <c r="AZ6" s="856"/>
      <c r="BA6" s="856"/>
      <c r="BB6" s="856"/>
      <c r="BC6" s="856"/>
      <c r="BD6" s="856"/>
      <c r="BE6" s="856"/>
      <c r="BF6" s="856"/>
      <c r="BG6" s="856"/>
      <c r="BH6" s="856"/>
      <c r="BI6" s="856"/>
      <c r="BJ6" s="856"/>
      <c r="BK6" s="856"/>
      <c r="BL6" s="856"/>
      <c r="BM6" s="856"/>
      <c r="BN6" s="856"/>
      <c r="BO6" s="856"/>
      <c r="BP6" s="856"/>
      <c r="BQ6" s="856"/>
    </row>
    <row r="7" spans="1:69" ht="15">
      <c r="C7" s="716"/>
      <c r="D7" s="716"/>
      <c r="E7" s="716"/>
      <c r="F7" s="716"/>
      <c r="G7" s="716"/>
      <c r="H7" s="716"/>
      <c r="I7" s="716"/>
      <c r="J7" s="716"/>
      <c r="K7" s="716"/>
      <c r="L7" s="716"/>
      <c r="M7" s="716"/>
      <c r="N7" s="716"/>
      <c r="O7" s="716"/>
      <c r="Q7" s="716"/>
      <c r="R7" s="716" t="s">
        <v>789</v>
      </c>
      <c r="S7" s="854"/>
      <c r="T7" s="855"/>
      <c r="U7" s="855"/>
      <c r="V7" s="854"/>
      <c r="W7" s="856"/>
      <c r="X7" s="856"/>
      <c r="Y7" s="856"/>
      <c r="Z7" s="856"/>
      <c r="AA7" s="856"/>
      <c r="AB7" s="856"/>
      <c r="AC7" s="856"/>
      <c r="AD7" s="856"/>
      <c r="AE7" s="856"/>
      <c r="AF7" s="856"/>
      <c r="AG7" s="856"/>
      <c r="AH7" s="856"/>
      <c r="AI7" s="856"/>
      <c r="AJ7" s="856"/>
      <c r="AK7" s="856"/>
      <c r="AL7" s="856"/>
      <c r="AM7" s="856"/>
      <c r="AN7" s="856"/>
      <c r="AO7" s="856"/>
      <c r="AP7" s="856"/>
      <c r="AQ7" s="856"/>
      <c r="AR7" s="856"/>
      <c r="AS7" s="856"/>
      <c r="AT7" s="856"/>
      <c r="AU7" s="856"/>
      <c r="AV7" s="856"/>
      <c r="AW7" s="856"/>
      <c r="AX7" s="856"/>
      <c r="AY7" s="856"/>
      <c r="AZ7" s="856"/>
      <c r="BA7" s="856"/>
      <c r="BB7" s="856"/>
      <c r="BC7" s="856"/>
      <c r="BD7" s="856"/>
      <c r="BE7" s="856"/>
      <c r="BF7" s="856"/>
      <c r="BG7" s="856"/>
      <c r="BH7" s="856"/>
      <c r="BI7" s="856"/>
      <c r="BJ7" s="856"/>
      <c r="BK7" s="856"/>
      <c r="BL7" s="856"/>
      <c r="BM7" s="856"/>
      <c r="BN7" s="856"/>
      <c r="BO7" s="856"/>
      <c r="BP7" s="856"/>
      <c r="BQ7" s="856"/>
    </row>
    <row r="8" spans="1:69" ht="15">
      <c r="A8" s="858"/>
      <c r="C8" s="716"/>
      <c r="D8" s="716"/>
      <c r="E8" s="716"/>
      <c r="F8" s="716"/>
      <c r="G8" s="716"/>
      <c r="H8" s="716"/>
      <c r="I8" s="722"/>
      <c r="J8" s="723" t="s">
        <v>385</v>
      </c>
      <c r="K8" s="723"/>
      <c r="L8" s="716"/>
      <c r="M8" s="716"/>
      <c r="N8" s="716"/>
      <c r="O8" s="716"/>
      <c r="P8" s="716"/>
      <c r="Q8" s="716"/>
      <c r="R8" s="716"/>
      <c r="S8" s="854"/>
      <c r="T8" s="855"/>
      <c r="U8" s="855"/>
      <c r="V8" s="854"/>
      <c r="W8" s="856"/>
      <c r="X8" s="856"/>
      <c r="Y8" s="856"/>
      <c r="Z8" s="856"/>
      <c r="AA8" s="856"/>
      <c r="AB8" s="856"/>
      <c r="AC8" s="856"/>
      <c r="AD8" s="856"/>
      <c r="AE8" s="856"/>
      <c r="AF8" s="856"/>
      <c r="AG8" s="856"/>
      <c r="AH8" s="856"/>
      <c r="AI8" s="856"/>
      <c r="AJ8" s="856"/>
      <c r="AK8" s="856"/>
      <c r="AL8" s="856"/>
      <c r="AM8" s="856"/>
      <c r="AN8" s="856"/>
      <c r="AO8" s="856"/>
      <c r="AP8" s="856"/>
      <c r="AQ8" s="856"/>
      <c r="AR8" s="856"/>
      <c r="AS8" s="856"/>
      <c r="AT8" s="856"/>
      <c r="AU8" s="856"/>
      <c r="AV8" s="856"/>
      <c r="AW8" s="856"/>
      <c r="AX8" s="856"/>
      <c r="AY8" s="856"/>
      <c r="AZ8" s="856"/>
      <c r="BA8" s="856"/>
      <c r="BB8" s="856"/>
      <c r="BC8" s="856"/>
      <c r="BD8" s="856"/>
      <c r="BE8" s="856"/>
      <c r="BF8" s="856"/>
      <c r="BG8" s="856"/>
      <c r="BH8" s="856"/>
      <c r="BI8" s="856"/>
      <c r="BJ8" s="856"/>
      <c r="BK8" s="856"/>
      <c r="BL8" s="856"/>
      <c r="BM8" s="856"/>
      <c r="BN8" s="856"/>
      <c r="BO8" s="856"/>
      <c r="BP8" s="856"/>
      <c r="BQ8" s="856"/>
    </row>
    <row r="9" spans="1:69" ht="15">
      <c r="A9" s="858"/>
      <c r="C9" s="716"/>
      <c r="D9" s="716"/>
      <c r="E9" s="716"/>
      <c r="F9" s="716"/>
      <c r="G9" s="716"/>
      <c r="H9" s="716"/>
      <c r="I9" s="716"/>
      <c r="J9" s="724"/>
      <c r="K9" s="724"/>
      <c r="L9" s="716"/>
      <c r="M9" s="716"/>
      <c r="N9" s="716"/>
      <c r="O9" s="716"/>
      <c r="P9" s="716"/>
      <c r="Q9" s="716"/>
      <c r="R9" s="716"/>
      <c r="S9" s="854"/>
      <c r="T9" s="855"/>
      <c r="U9" s="855"/>
      <c r="V9" s="854"/>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6"/>
      <c r="AY9" s="856"/>
      <c r="AZ9" s="856"/>
      <c r="BA9" s="856"/>
      <c r="BB9" s="856"/>
      <c r="BC9" s="856"/>
      <c r="BD9" s="856"/>
      <c r="BE9" s="856"/>
      <c r="BF9" s="856"/>
      <c r="BG9" s="856"/>
      <c r="BH9" s="856"/>
      <c r="BI9" s="856"/>
      <c r="BJ9" s="856"/>
      <c r="BK9" s="856"/>
      <c r="BL9" s="856"/>
      <c r="BM9" s="856"/>
      <c r="BN9" s="856"/>
      <c r="BO9" s="856"/>
      <c r="BP9" s="856"/>
      <c r="BQ9" s="856"/>
    </row>
    <row r="10" spans="1:69" ht="15">
      <c r="A10" s="858"/>
      <c r="C10" s="716" t="s">
        <v>790</v>
      </c>
      <c r="D10" s="716"/>
      <c r="E10" s="716"/>
      <c r="F10" s="716"/>
      <c r="G10" s="716"/>
      <c r="H10" s="716"/>
      <c r="I10" s="716"/>
      <c r="J10" s="724"/>
      <c r="K10" s="724"/>
      <c r="L10" s="716"/>
      <c r="M10" s="716"/>
      <c r="N10" s="716"/>
      <c r="O10" s="716"/>
      <c r="P10" s="716"/>
      <c r="Q10" s="716"/>
      <c r="R10" s="716"/>
      <c r="S10" s="854"/>
      <c r="T10" s="855"/>
      <c r="U10" s="855"/>
      <c r="V10" s="854"/>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6"/>
      <c r="AY10" s="856"/>
      <c r="AZ10" s="856"/>
      <c r="BA10" s="856"/>
      <c r="BB10" s="856"/>
      <c r="BC10" s="856"/>
      <c r="BD10" s="856"/>
      <c r="BE10" s="856"/>
      <c r="BF10" s="856"/>
      <c r="BG10" s="856"/>
      <c r="BH10" s="856"/>
      <c r="BI10" s="856"/>
      <c r="BJ10" s="856"/>
      <c r="BK10" s="856"/>
      <c r="BL10" s="856"/>
      <c r="BM10" s="856"/>
      <c r="BN10" s="856"/>
      <c r="BO10" s="856"/>
      <c r="BP10" s="856"/>
      <c r="BQ10" s="856"/>
    </row>
    <row r="11" spans="1:69" ht="15">
      <c r="A11" s="858"/>
      <c r="C11" s="716" t="s">
        <v>947</v>
      </c>
      <c r="D11" s="716"/>
      <c r="E11" s="716"/>
      <c r="F11" s="716"/>
      <c r="G11" s="716"/>
      <c r="H11" s="716"/>
      <c r="I11" s="716"/>
      <c r="J11" s="724"/>
      <c r="K11" s="724"/>
      <c r="P11" s="716"/>
      <c r="Q11" s="716"/>
      <c r="R11" s="716"/>
      <c r="S11" s="854"/>
      <c r="T11" s="854"/>
      <c r="U11" s="854"/>
      <c r="V11" s="854"/>
      <c r="W11" s="856"/>
      <c r="X11" s="856"/>
      <c r="Y11" s="856"/>
      <c r="Z11" s="856"/>
      <c r="AA11" s="856"/>
      <c r="AB11" s="856"/>
      <c r="AC11" s="856"/>
      <c r="AD11" s="856"/>
      <c r="AE11" s="856"/>
      <c r="AF11" s="856"/>
      <c r="AG11" s="856"/>
      <c r="AH11" s="856"/>
      <c r="AI11" s="856"/>
      <c r="AJ11" s="856"/>
      <c r="AK11" s="856"/>
      <c r="AL11" s="856"/>
      <c r="AM11" s="856"/>
      <c r="AN11" s="856"/>
      <c r="AO11" s="856"/>
      <c r="AP11" s="856"/>
      <c r="AQ11" s="856"/>
      <c r="AR11" s="856"/>
      <c r="AS11" s="856"/>
      <c r="AT11" s="856"/>
      <c r="AU11" s="856"/>
      <c r="AV11" s="856"/>
      <c r="AW11" s="856"/>
      <c r="AX11" s="856"/>
      <c r="AY11" s="856"/>
      <c r="AZ11" s="856"/>
      <c r="BA11" s="856"/>
      <c r="BB11" s="856"/>
      <c r="BC11" s="856"/>
      <c r="BD11" s="856"/>
      <c r="BE11" s="856"/>
      <c r="BF11" s="856"/>
      <c r="BG11" s="856"/>
      <c r="BH11" s="856"/>
      <c r="BI11" s="856"/>
      <c r="BJ11" s="856"/>
      <c r="BK11" s="856"/>
      <c r="BL11" s="856"/>
      <c r="BM11" s="856"/>
      <c r="BN11" s="856"/>
      <c r="BO11" s="856"/>
      <c r="BP11" s="856"/>
      <c r="BQ11" s="856"/>
    </row>
    <row r="12" spans="1:69" ht="15">
      <c r="A12" s="858"/>
      <c r="C12" s="716"/>
      <c r="D12" s="716"/>
      <c r="E12" s="716"/>
      <c r="F12" s="716"/>
      <c r="G12" s="716"/>
      <c r="H12" s="716"/>
      <c r="I12" s="716"/>
      <c r="J12" s="716"/>
      <c r="K12" s="716"/>
      <c r="P12" s="725"/>
      <c r="Q12" s="716"/>
      <c r="R12" s="716"/>
      <c r="S12" s="854"/>
      <c r="T12" s="854"/>
      <c r="U12" s="854"/>
      <c r="V12" s="854"/>
      <c r="W12" s="856"/>
      <c r="X12" s="856"/>
      <c r="Y12" s="856"/>
      <c r="Z12" s="856"/>
      <c r="AA12" s="856"/>
      <c r="AB12" s="856"/>
      <c r="AC12" s="856"/>
      <c r="AD12" s="856"/>
      <c r="AE12" s="856"/>
      <c r="AF12" s="856"/>
      <c r="AG12" s="856"/>
      <c r="AH12" s="856"/>
      <c r="AI12" s="856"/>
      <c r="AJ12" s="856"/>
      <c r="AK12" s="856"/>
      <c r="AL12" s="856"/>
      <c r="AM12" s="856"/>
      <c r="AN12" s="856"/>
      <c r="AO12" s="856"/>
      <c r="AP12" s="856"/>
      <c r="AQ12" s="856"/>
      <c r="AR12" s="856"/>
      <c r="AS12" s="856"/>
      <c r="AT12" s="856"/>
      <c r="AU12" s="856"/>
      <c r="AV12" s="856"/>
      <c r="AW12" s="856"/>
      <c r="AX12" s="856"/>
      <c r="AY12" s="856"/>
      <c r="AZ12" s="856"/>
      <c r="BA12" s="856"/>
      <c r="BB12" s="856"/>
      <c r="BC12" s="856"/>
      <c r="BD12" s="856"/>
      <c r="BE12" s="856"/>
      <c r="BF12" s="856"/>
      <c r="BG12" s="856"/>
      <c r="BH12" s="856"/>
      <c r="BI12" s="856"/>
      <c r="BJ12" s="856"/>
      <c r="BK12" s="856"/>
      <c r="BL12" s="856"/>
      <c r="BM12" s="856"/>
      <c r="BN12" s="856"/>
      <c r="BO12" s="856"/>
      <c r="BP12" s="856"/>
      <c r="BQ12" s="856"/>
    </row>
    <row r="13" spans="1:69" ht="15">
      <c r="C13" s="726" t="s">
        <v>459</v>
      </c>
      <c r="D13" s="726"/>
      <c r="E13" s="726"/>
      <c r="F13" s="726"/>
      <c r="G13" s="726"/>
      <c r="H13" s="726" t="s">
        <v>460</v>
      </c>
      <c r="I13" s="726"/>
      <c r="J13" s="726" t="s">
        <v>461</v>
      </c>
      <c r="K13" s="726"/>
      <c r="L13" s="727" t="s">
        <v>462</v>
      </c>
      <c r="Q13" s="719"/>
      <c r="R13" s="727"/>
      <c r="S13" s="859"/>
      <c r="T13" s="727"/>
      <c r="U13" s="859"/>
      <c r="V13" s="860"/>
      <c r="W13" s="856"/>
      <c r="X13" s="856"/>
      <c r="Y13" s="856"/>
      <c r="Z13" s="856"/>
      <c r="AA13" s="856"/>
      <c r="AB13" s="856"/>
      <c r="AC13" s="856"/>
      <c r="AD13" s="856"/>
      <c r="AE13" s="856"/>
      <c r="AF13" s="856"/>
      <c r="AG13" s="856"/>
      <c r="AH13" s="856"/>
      <c r="AI13" s="856"/>
      <c r="AJ13" s="856"/>
      <c r="AK13" s="856"/>
      <c r="AL13" s="856"/>
      <c r="AM13" s="856"/>
      <c r="AN13" s="856"/>
      <c r="AO13" s="856"/>
      <c r="AP13" s="856"/>
      <c r="AQ13" s="856"/>
      <c r="AR13" s="856"/>
      <c r="AS13" s="856"/>
      <c r="AT13" s="856"/>
      <c r="AU13" s="856"/>
      <c r="AV13" s="856"/>
      <c r="AW13" s="856"/>
      <c r="AX13" s="856"/>
      <c r="AY13" s="856"/>
      <c r="AZ13" s="856"/>
      <c r="BA13" s="856"/>
      <c r="BB13" s="856"/>
      <c r="BC13" s="856"/>
      <c r="BD13" s="856"/>
      <c r="BE13" s="856"/>
      <c r="BF13" s="856"/>
      <c r="BG13" s="856"/>
      <c r="BH13" s="856"/>
      <c r="BI13" s="856"/>
      <c r="BJ13" s="856"/>
      <c r="BK13" s="856"/>
      <c r="BL13" s="856"/>
      <c r="BM13" s="856"/>
      <c r="BN13" s="856"/>
      <c r="BO13" s="856"/>
      <c r="BP13" s="856"/>
      <c r="BQ13" s="856"/>
    </row>
    <row r="14" spans="1:69" ht="15.75">
      <c r="C14" s="728"/>
      <c r="D14" s="728"/>
      <c r="E14" s="728"/>
      <c r="F14" s="728"/>
      <c r="G14" s="728"/>
      <c r="H14" s="729" t="s">
        <v>159</v>
      </c>
      <c r="I14" s="729"/>
      <c r="J14" s="719"/>
      <c r="K14" s="719"/>
      <c r="Q14" s="719"/>
      <c r="S14" s="859"/>
      <c r="T14" s="861"/>
      <c r="U14" s="861"/>
      <c r="V14" s="860"/>
      <c r="W14" s="856"/>
      <c r="X14" s="856"/>
      <c r="Y14" s="856"/>
      <c r="Z14" s="856"/>
      <c r="AA14" s="856"/>
      <c r="AB14" s="856"/>
      <c r="AC14" s="856"/>
      <c r="AD14" s="856"/>
      <c r="AE14" s="856"/>
      <c r="AF14" s="856"/>
      <c r="AG14" s="856"/>
      <c r="AH14" s="856"/>
      <c r="AI14" s="856"/>
      <c r="AJ14" s="856"/>
      <c r="AK14" s="856"/>
      <c r="AL14" s="856"/>
      <c r="AM14" s="856"/>
      <c r="AN14" s="856"/>
      <c r="AO14" s="856"/>
      <c r="AP14" s="856"/>
      <c r="AQ14" s="856"/>
      <c r="AR14" s="856"/>
      <c r="AS14" s="856"/>
      <c r="AT14" s="856"/>
      <c r="AU14" s="856"/>
      <c r="AV14" s="856"/>
      <c r="AW14" s="856"/>
      <c r="AX14" s="856"/>
      <c r="AY14" s="856"/>
      <c r="AZ14" s="856"/>
      <c r="BA14" s="856"/>
      <c r="BB14" s="856"/>
      <c r="BC14" s="856"/>
      <c r="BD14" s="856"/>
      <c r="BE14" s="856"/>
      <c r="BF14" s="856"/>
      <c r="BG14" s="856"/>
      <c r="BH14" s="856"/>
      <c r="BI14" s="856"/>
      <c r="BJ14" s="856"/>
      <c r="BK14" s="856"/>
      <c r="BL14" s="856"/>
      <c r="BM14" s="856"/>
      <c r="BN14" s="856"/>
      <c r="BO14" s="856"/>
      <c r="BP14" s="856"/>
      <c r="BQ14" s="856"/>
    </row>
    <row r="15" spans="1:69" ht="15.75">
      <c r="A15" s="858" t="s">
        <v>46</v>
      </c>
      <c r="C15" s="728"/>
      <c r="D15" s="728"/>
      <c r="E15" s="728"/>
      <c r="F15" s="728"/>
      <c r="G15" s="728"/>
      <c r="H15" s="730" t="s">
        <v>467</v>
      </c>
      <c r="I15" s="730"/>
      <c r="J15" s="731" t="s">
        <v>24</v>
      </c>
      <c r="K15" s="731"/>
      <c r="L15" s="731" t="s">
        <v>391</v>
      </c>
      <c r="Q15" s="719"/>
      <c r="S15" s="854"/>
      <c r="T15" s="862"/>
      <c r="U15" s="861"/>
      <c r="V15" s="860"/>
      <c r="W15" s="856"/>
      <c r="X15" s="856"/>
      <c r="Y15" s="856"/>
      <c r="Z15" s="856"/>
      <c r="AA15" s="856"/>
      <c r="AB15" s="856"/>
      <c r="AC15" s="856"/>
      <c r="AD15" s="856"/>
      <c r="AE15" s="856"/>
      <c r="AF15" s="856"/>
      <c r="AG15" s="856"/>
      <c r="AH15" s="856"/>
      <c r="AI15" s="856"/>
      <c r="AJ15" s="856"/>
      <c r="AK15" s="856"/>
      <c r="AL15" s="856"/>
      <c r="AM15" s="856"/>
      <c r="AN15" s="856"/>
      <c r="AO15" s="856"/>
      <c r="AP15" s="856"/>
      <c r="AQ15" s="856"/>
      <c r="AR15" s="856"/>
      <c r="AS15" s="856"/>
      <c r="AT15" s="856"/>
      <c r="AU15" s="856"/>
      <c r="AV15" s="856"/>
      <c r="AW15" s="856"/>
      <c r="AX15" s="856"/>
      <c r="AY15" s="856"/>
      <c r="AZ15" s="856"/>
      <c r="BA15" s="856"/>
      <c r="BB15" s="856"/>
      <c r="BC15" s="856"/>
      <c r="BD15" s="856"/>
      <c r="BE15" s="856"/>
      <c r="BF15" s="856"/>
      <c r="BG15" s="856"/>
      <c r="BH15" s="856"/>
      <c r="BI15" s="856"/>
      <c r="BJ15" s="856"/>
      <c r="BK15" s="856"/>
      <c r="BL15" s="856"/>
      <c r="BM15" s="856"/>
      <c r="BN15" s="856"/>
      <c r="BO15" s="856"/>
      <c r="BP15" s="856"/>
      <c r="BQ15" s="856"/>
    </row>
    <row r="16" spans="1:69" ht="15.75">
      <c r="A16" s="858" t="s">
        <v>22</v>
      </c>
      <c r="C16" s="733"/>
      <c r="D16" s="733"/>
      <c r="E16" s="733"/>
      <c r="F16" s="733"/>
      <c r="G16" s="733"/>
      <c r="H16" s="719"/>
      <c r="I16" s="719"/>
      <c r="J16" s="719"/>
      <c r="K16" s="719"/>
      <c r="L16" s="719"/>
      <c r="Q16" s="719"/>
      <c r="R16" s="719"/>
      <c r="S16" s="854"/>
      <c r="T16" s="859"/>
      <c r="U16" s="859"/>
      <c r="V16" s="860"/>
      <c r="W16" s="856"/>
      <c r="X16" s="856"/>
      <c r="Y16" s="856"/>
      <c r="Z16" s="856"/>
      <c r="AA16" s="856"/>
      <c r="AB16" s="856"/>
      <c r="AC16" s="856"/>
      <c r="AD16" s="856"/>
      <c r="AE16" s="856"/>
      <c r="AF16" s="856"/>
      <c r="AG16" s="856"/>
      <c r="AH16" s="856"/>
      <c r="AI16" s="856"/>
      <c r="AJ16" s="856"/>
      <c r="AK16" s="856"/>
      <c r="AL16" s="856"/>
      <c r="AM16" s="856"/>
      <c r="AN16" s="856"/>
      <c r="AO16" s="856"/>
      <c r="AP16" s="856"/>
      <c r="AQ16" s="856"/>
      <c r="AR16" s="856"/>
      <c r="AS16" s="856"/>
      <c r="AT16" s="856"/>
      <c r="AU16" s="856"/>
      <c r="AV16" s="856"/>
      <c r="AW16" s="856"/>
      <c r="AX16" s="856"/>
      <c r="AY16" s="856"/>
      <c r="AZ16" s="856"/>
      <c r="BA16" s="856"/>
      <c r="BB16" s="856"/>
      <c r="BC16" s="856"/>
      <c r="BD16" s="856"/>
      <c r="BE16" s="856"/>
      <c r="BF16" s="856"/>
      <c r="BG16" s="856"/>
      <c r="BH16" s="856"/>
      <c r="BI16" s="856"/>
      <c r="BJ16" s="856"/>
      <c r="BK16" s="856"/>
      <c r="BL16" s="856"/>
      <c r="BM16" s="856"/>
      <c r="BN16" s="856"/>
      <c r="BO16" s="856"/>
      <c r="BP16" s="856"/>
      <c r="BQ16" s="856"/>
    </row>
    <row r="17" spans="1:69" ht="15.75">
      <c r="A17" s="863"/>
      <c r="C17" s="728"/>
      <c r="D17" s="728"/>
      <c r="E17" s="728"/>
      <c r="F17" s="728"/>
      <c r="G17" s="728"/>
      <c r="H17" s="719"/>
      <c r="I17" s="719"/>
      <c r="J17" s="719"/>
      <c r="K17" s="719"/>
      <c r="L17" s="719"/>
      <c r="Q17" s="719"/>
      <c r="R17" s="719"/>
      <c r="S17" s="854"/>
      <c r="T17" s="859"/>
      <c r="U17" s="859"/>
      <c r="V17" s="860"/>
      <c r="W17" s="856"/>
      <c r="X17" s="856"/>
      <c r="Y17" s="856"/>
      <c r="Z17" s="856"/>
      <c r="AA17" s="856"/>
      <c r="AB17" s="856"/>
      <c r="AC17" s="856"/>
      <c r="AD17" s="856"/>
      <c r="AE17" s="856"/>
      <c r="AF17" s="856"/>
      <c r="AG17" s="856"/>
      <c r="AH17" s="856"/>
      <c r="AI17" s="856"/>
      <c r="AJ17" s="856"/>
      <c r="AK17" s="856"/>
      <c r="AL17" s="856"/>
      <c r="AM17" s="856"/>
      <c r="AN17" s="856"/>
      <c r="AO17" s="856"/>
      <c r="AP17" s="856"/>
      <c r="AQ17" s="856"/>
      <c r="AR17" s="856"/>
      <c r="AS17" s="856"/>
      <c r="AT17" s="856"/>
      <c r="AU17" s="856"/>
      <c r="AV17" s="856"/>
      <c r="AW17" s="856"/>
      <c r="AX17" s="856"/>
      <c r="AY17" s="856"/>
      <c r="AZ17" s="856"/>
      <c r="BA17" s="856"/>
      <c r="BB17" s="856"/>
      <c r="BC17" s="856"/>
      <c r="BD17" s="856"/>
      <c r="BE17" s="856"/>
      <c r="BF17" s="856"/>
      <c r="BG17" s="856"/>
      <c r="BH17" s="856"/>
      <c r="BI17" s="856"/>
      <c r="BJ17" s="856"/>
      <c r="BK17" s="856"/>
      <c r="BL17" s="856"/>
      <c r="BM17" s="856"/>
      <c r="BN17" s="856"/>
      <c r="BO17" s="856"/>
      <c r="BP17" s="856"/>
      <c r="BQ17" s="856"/>
    </row>
    <row r="18" spans="1:69" ht="15">
      <c r="A18" s="864">
        <v>1</v>
      </c>
      <c r="C18" s="728" t="s">
        <v>791</v>
      </c>
      <c r="D18" s="728"/>
      <c r="E18" s="728"/>
      <c r="F18" s="728"/>
      <c r="G18" s="728"/>
      <c r="H18" s="736" t="s">
        <v>792</v>
      </c>
      <c r="I18" s="736"/>
      <c r="J18" s="865">
        <f>'Attachment O Rev 2'!I87+'Attachment O Rev 2'!I117+'Attachment O Rev 2'!I109</f>
        <v>3986587202.615891</v>
      </c>
      <c r="K18" s="719"/>
      <c r="Q18" s="719"/>
      <c r="R18" s="719"/>
      <c r="S18" s="854"/>
      <c r="T18" s="859"/>
      <c r="U18" s="859"/>
      <c r="V18" s="860"/>
      <c r="W18" s="856"/>
      <c r="X18" s="856"/>
      <c r="Y18" s="856"/>
      <c r="Z18" s="856"/>
      <c r="AA18" s="856"/>
      <c r="AB18" s="856"/>
      <c r="AC18" s="856"/>
      <c r="AD18" s="856"/>
      <c r="AE18" s="856"/>
      <c r="AF18" s="856"/>
      <c r="AG18" s="856"/>
      <c r="AH18" s="856"/>
      <c r="AI18" s="856"/>
      <c r="AJ18" s="856"/>
      <c r="AK18" s="856"/>
      <c r="AL18" s="856"/>
      <c r="AM18" s="856"/>
      <c r="AN18" s="856"/>
      <c r="AO18" s="856"/>
      <c r="AP18" s="856"/>
      <c r="AQ18" s="856"/>
      <c r="AR18" s="856"/>
      <c r="AS18" s="856"/>
      <c r="AT18" s="856"/>
      <c r="AU18" s="856"/>
      <c r="AV18" s="856"/>
      <c r="AW18" s="856"/>
      <c r="AX18" s="856"/>
      <c r="AY18" s="856"/>
      <c r="AZ18" s="856"/>
      <c r="BA18" s="856"/>
      <c r="BB18" s="856"/>
      <c r="BC18" s="856"/>
      <c r="BD18" s="856"/>
      <c r="BE18" s="856"/>
      <c r="BF18" s="856"/>
      <c r="BG18" s="856"/>
      <c r="BH18" s="856"/>
      <c r="BI18" s="856"/>
      <c r="BJ18" s="856"/>
      <c r="BK18" s="856"/>
      <c r="BL18" s="856"/>
      <c r="BM18" s="856"/>
      <c r="BN18" s="856"/>
      <c r="BO18" s="856"/>
      <c r="BP18" s="856"/>
      <c r="BQ18" s="856"/>
    </row>
    <row r="19" spans="1:69" ht="15">
      <c r="A19" s="864" t="s">
        <v>542</v>
      </c>
      <c r="C19" s="728" t="s">
        <v>948</v>
      </c>
      <c r="D19" s="728"/>
      <c r="E19" s="728"/>
      <c r="F19" s="728"/>
      <c r="G19" s="728"/>
      <c r="H19" s="736" t="s">
        <v>949</v>
      </c>
      <c r="I19" s="736"/>
      <c r="J19" s="866">
        <f>'Attachment O Rev 2'!I95</f>
        <v>941805974.06511092</v>
      </c>
      <c r="K19" s="867"/>
      <c r="Q19" s="719"/>
      <c r="R19" s="719"/>
      <c r="S19" s="854"/>
      <c r="T19" s="859"/>
      <c r="U19" s="859"/>
      <c r="V19" s="860"/>
      <c r="W19" s="856"/>
      <c r="X19" s="856"/>
      <c r="Y19" s="856"/>
      <c r="Z19" s="856"/>
      <c r="AA19" s="856"/>
      <c r="AB19" s="856"/>
      <c r="AC19" s="856"/>
      <c r="AD19" s="856"/>
      <c r="AE19" s="856"/>
      <c r="AF19" s="856"/>
      <c r="AG19" s="856"/>
      <c r="AH19" s="856"/>
      <c r="AI19" s="856"/>
      <c r="AJ19" s="856"/>
      <c r="AK19" s="856"/>
      <c r="AL19" s="856"/>
      <c r="AM19" s="856"/>
      <c r="AN19" s="856"/>
      <c r="AO19" s="856"/>
      <c r="AP19" s="856"/>
      <c r="AQ19" s="856"/>
      <c r="AR19" s="856"/>
      <c r="AS19" s="856"/>
      <c r="AT19" s="856"/>
      <c r="AU19" s="856"/>
      <c r="AV19" s="856"/>
      <c r="AW19" s="856"/>
      <c r="AX19" s="856"/>
      <c r="AY19" s="856"/>
      <c r="AZ19" s="856"/>
      <c r="BA19" s="856"/>
      <c r="BB19" s="856"/>
      <c r="BC19" s="856"/>
      <c r="BD19" s="856"/>
      <c r="BE19" s="856"/>
      <c r="BF19" s="856"/>
      <c r="BG19" s="856"/>
      <c r="BH19" s="856"/>
      <c r="BI19" s="856"/>
      <c r="BJ19" s="856"/>
      <c r="BK19" s="856"/>
      <c r="BL19" s="856"/>
      <c r="BM19" s="856"/>
      <c r="BN19" s="856"/>
      <c r="BO19" s="856"/>
      <c r="BP19" s="856"/>
      <c r="BQ19" s="856"/>
    </row>
    <row r="20" spans="1:69" ht="15">
      <c r="A20" s="864">
        <v>2</v>
      </c>
      <c r="C20" s="728" t="s">
        <v>793</v>
      </c>
      <c r="D20" s="728"/>
      <c r="E20" s="728"/>
      <c r="F20" s="728"/>
      <c r="G20" s="728"/>
      <c r="H20" s="736" t="s">
        <v>950</v>
      </c>
      <c r="I20" s="736"/>
      <c r="J20" s="775">
        <f>J18-J19</f>
        <v>3044781228.5507803</v>
      </c>
      <c r="K20" s="868"/>
      <c r="Q20" s="719"/>
      <c r="R20" s="719"/>
      <c r="S20" s="854"/>
      <c r="T20" s="859"/>
      <c r="U20" s="859"/>
      <c r="V20" s="860"/>
      <c r="W20" s="856"/>
      <c r="X20" s="856"/>
      <c r="Y20" s="856"/>
      <c r="Z20" s="856"/>
      <c r="AA20" s="856"/>
      <c r="AB20" s="856"/>
      <c r="AC20" s="856"/>
      <c r="AD20" s="856"/>
      <c r="AE20" s="856"/>
      <c r="AF20" s="856"/>
      <c r="AG20" s="856"/>
      <c r="AH20" s="856"/>
      <c r="AI20" s="856"/>
      <c r="AJ20" s="856"/>
      <c r="AK20" s="856"/>
      <c r="AL20" s="856"/>
      <c r="AM20" s="856"/>
      <c r="AN20" s="856"/>
      <c r="AO20" s="856"/>
      <c r="AP20" s="856"/>
      <c r="AQ20" s="856"/>
      <c r="AR20" s="856"/>
      <c r="AS20" s="856"/>
      <c r="AT20" s="856"/>
      <c r="AU20" s="856"/>
      <c r="AV20" s="856"/>
      <c r="AW20" s="856"/>
      <c r="AX20" s="856"/>
      <c r="AY20" s="856"/>
      <c r="AZ20" s="856"/>
      <c r="BA20" s="856"/>
      <c r="BB20" s="856"/>
      <c r="BC20" s="856"/>
      <c r="BD20" s="856"/>
      <c r="BE20" s="856"/>
      <c r="BF20" s="856"/>
      <c r="BG20" s="856"/>
      <c r="BH20" s="856"/>
      <c r="BI20" s="856"/>
      <c r="BJ20" s="856"/>
      <c r="BK20" s="856"/>
      <c r="BL20" s="856"/>
      <c r="BM20" s="856"/>
      <c r="BN20" s="856"/>
      <c r="BO20" s="856"/>
      <c r="BP20" s="856"/>
      <c r="BQ20" s="856"/>
    </row>
    <row r="21" spans="1:69" ht="15">
      <c r="A21" s="864"/>
      <c r="H21" s="736"/>
      <c r="I21" s="736"/>
      <c r="Q21" s="719"/>
      <c r="R21" s="719"/>
      <c r="S21" s="854"/>
      <c r="T21" s="859"/>
      <c r="U21" s="859"/>
      <c r="V21" s="860"/>
      <c r="W21" s="856"/>
      <c r="X21" s="856"/>
      <c r="Y21" s="856"/>
      <c r="Z21" s="856"/>
      <c r="AA21" s="856"/>
      <c r="AB21" s="856"/>
      <c r="AC21" s="856"/>
      <c r="AD21" s="856"/>
      <c r="AE21" s="856"/>
      <c r="AF21" s="856"/>
      <c r="AG21" s="856"/>
      <c r="AH21" s="856"/>
      <c r="AI21" s="856"/>
      <c r="AJ21" s="856"/>
      <c r="AK21" s="856"/>
      <c r="AL21" s="856"/>
      <c r="AM21" s="856"/>
      <c r="AN21" s="856"/>
      <c r="AO21" s="856"/>
      <c r="AP21" s="856"/>
      <c r="AQ21" s="856"/>
      <c r="AR21" s="856"/>
      <c r="AS21" s="856"/>
      <c r="AT21" s="856"/>
      <c r="AU21" s="856"/>
      <c r="AV21" s="856"/>
      <c r="AW21" s="856"/>
      <c r="AX21" s="856"/>
      <c r="AY21" s="856"/>
      <c r="AZ21" s="856"/>
      <c r="BA21" s="856"/>
      <c r="BB21" s="856"/>
      <c r="BC21" s="856"/>
      <c r="BD21" s="856"/>
      <c r="BE21" s="856"/>
      <c r="BF21" s="856"/>
      <c r="BG21" s="856"/>
      <c r="BH21" s="856"/>
      <c r="BI21" s="856"/>
      <c r="BJ21" s="856"/>
      <c r="BK21" s="856"/>
      <c r="BL21" s="856"/>
      <c r="BM21" s="856"/>
      <c r="BN21" s="856"/>
      <c r="BO21" s="856"/>
      <c r="BP21" s="856"/>
      <c r="BQ21" s="856"/>
    </row>
    <row r="22" spans="1:69" ht="15">
      <c r="A22" s="864"/>
      <c r="C22" s="728" t="s">
        <v>951</v>
      </c>
      <c r="D22" s="728"/>
      <c r="E22" s="728"/>
      <c r="F22" s="728"/>
      <c r="G22" s="728"/>
      <c r="H22" s="736"/>
      <c r="I22" s="736"/>
      <c r="J22" s="719"/>
      <c r="K22" s="719"/>
      <c r="L22" s="719"/>
      <c r="Q22" s="719"/>
      <c r="R22" s="719"/>
      <c r="S22" s="859"/>
      <c r="T22" s="859"/>
      <c r="U22" s="859"/>
      <c r="V22" s="860"/>
      <c r="W22" s="856"/>
      <c r="X22" s="856"/>
      <c r="Y22" s="856"/>
      <c r="Z22" s="856"/>
      <c r="AA22" s="856"/>
      <c r="AB22" s="856"/>
      <c r="AC22" s="856"/>
      <c r="AD22" s="856"/>
      <c r="AE22" s="856"/>
      <c r="AF22" s="856"/>
      <c r="AG22" s="856"/>
      <c r="AH22" s="856"/>
      <c r="AI22" s="856"/>
      <c r="AJ22" s="856"/>
      <c r="AK22" s="856"/>
      <c r="AL22" s="856"/>
      <c r="AM22" s="856"/>
      <c r="AN22" s="856"/>
      <c r="AO22" s="856"/>
      <c r="AP22" s="856"/>
      <c r="AQ22" s="856"/>
      <c r="AR22" s="856"/>
      <c r="AS22" s="856"/>
      <c r="AT22" s="856"/>
      <c r="AU22" s="856"/>
      <c r="AV22" s="856"/>
      <c r="AW22" s="856"/>
      <c r="AX22" s="856"/>
      <c r="AY22" s="856"/>
      <c r="AZ22" s="856"/>
      <c r="BA22" s="856"/>
      <c r="BB22" s="856"/>
      <c r="BC22" s="856"/>
      <c r="BD22" s="856"/>
      <c r="BE22" s="856"/>
      <c r="BF22" s="856"/>
      <c r="BG22" s="856"/>
      <c r="BH22" s="856"/>
      <c r="BI22" s="856"/>
      <c r="BJ22" s="856"/>
      <c r="BK22" s="856"/>
      <c r="BL22" s="856"/>
      <c r="BM22" s="856"/>
      <c r="BN22" s="856"/>
      <c r="BO22" s="856"/>
      <c r="BP22" s="856"/>
      <c r="BQ22" s="856"/>
    </row>
    <row r="23" spans="1:69" ht="15">
      <c r="A23" s="864">
        <v>3</v>
      </c>
      <c r="C23" s="728" t="s">
        <v>796</v>
      </c>
      <c r="D23" s="728"/>
      <c r="E23" s="728"/>
      <c r="F23" s="728"/>
      <c r="G23" s="728"/>
      <c r="H23" s="736" t="s">
        <v>797</v>
      </c>
      <c r="I23" s="736"/>
      <c r="J23" s="865">
        <f>'Attachment O Rev 2'!I167</f>
        <v>70511314.473062351</v>
      </c>
      <c r="K23" s="719"/>
      <c r="Q23" s="719"/>
      <c r="R23" s="719"/>
      <c r="S23" s="859"/>
      <c r="T23" s="859"/>
      <c r="U23" s="859"/>
      <c r="V23" s="860"/>
      <c r="W23" s="856"/>
      <c r="X23" s="856"/>
      <c r="Y23" s="856"/>
      <c r="Z23" s="856"/>
      <c r="AA23" s="856"/>
      <c r="AB23" s="856"/>
      <c r="AC23" s="856"/>
      <c r="AD23" s="856"/>
      <c r="AE23" s="856"/>
      <c r="AF23" s="856"/>
      <c r="AG23" s="856"/>
      <c r="AH23" s="856"/>
      <c r="AI23" s="856"/>
      <c r="AJ23" s="856"/>
      <c r="AK23" s="856"/>
      <c r="AL23" s="856"/>
      <c r="AM23" s="856"/>
      <c r="AN23" s="856"/>
      <c r="AO23" s="856"/>
      <c r="AP23" s="856"/>
      <c r="AQ23" s="856"/>
      <c r="AR23" s="856"/>
      <c r="AS23" s="856"/>
      <c r="AT23" s="856"/>
      <c r="AU23" s="856"/>
      <c r="AV23" s="856"/>
      <c r="AW23" s="856"/>
      <c r="AX23" s="856"/>
      <c r="AY23" s="856"/>
      <c r="AZ23" s="856"/>
      <c r="BA23" s="856"/>
      <c r="BB23" s="856"/>
      <c r="BC23" s="856"/>
      <c r="BD23" s="856"/>
      <c r="BE23" s="856"/>
      <c r="BF23" s="856"/>
      <c r="BG23" s="856"/>
      <c r="BH23" s="856"/>
      <c r="BI23" s="856"/>
      <c r="BJ23" s="856"/>
      <c r="BK23" s="856"/>
      <c r="BL23" s="856"/>
      <c r="BM23" s="856"/>
      <c r="BN23" s="856"/>
      <c r="BO23" s="856"/>
      <c r="BP23" s="856"/>
      <c r="BQ23" s="856"/>
    </row>
    <row r="24" spans="1:69" ht="15">
      <c r="A24" s="864" t="s">
        <v>952</v>
      </c>
      <c r="C24" s="728" t="s">
        <v>953</v>
      </c>
      <c r="D24" s="728"/>
      <c r="E24" s="728"/>
      <c r="F24" s="728"/>
      <c r="G24" s="728"/>
      <c r="H24" s="736" t="s">
        <v>954</v>
      </c>
      <c r="I24" s="736"/>
      <c r="J24" s="865">
        <f>'Attachment O Rev 2'!I158</f>
        <v>219743826.22904122</v>
      </c>
      <c r="K24" s="719"/>
      <c r="Q24" s="719"/>
      <c r="R24" s="719"/>
      <c r="S24" s="859"/>
      <c r="T24" s="859"/>
      <c r="U24" s="859"/>
      <c r="V24" s="860"/>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856"/>
      <c r="BA24" s="856"/>
      <c r="BB24" s="856"/>
      <c r="BC24" s="856"/>
      <c r="BD24" s="856"/>
      <c r="BE24" s="856"/>
      <c r="BF24" s="856"/>
      <c r="BG24" s="856"/>
      <c r="BH24" s="856"/>
      <c r="BI24" s="856"/>
      <c r="BJ24" s="856"/>
      <c r="BK24" s="856"/>
      <c r="BL24" s="856"/>
      <c r="BM24" s="856"/>
      <c r="BN24" s="856"/>
      <c r="BO24" s="856"/>
      <c r="BP24" s="856"/>
      <c r="BQ24" s="856"/>
    </row>
    <row r="25" spans="1:69" ht="15">
      <c r="A25" s="864" t="s">
        <v>955</v>
      </c>
      <c r="C25" s="728" t="s">
        <v>956</v>
      </c>
      <c r="D25" s="728"/>
      <c r="E25" s="728"/>
      <c r="F25" s="728"/>
      <c r="G25" s="728"/>
      <c r="H25" s="736" t="s">
        <v>957</v>
      </c>
      <c r="I25" s="736"/>
      <c r="J25" s="865">
        <f>'Attachment O Rev 2'!I159</f>
        <v>9841879.2797949277</v>
      </c>
      <c r="K25" s="719"/>
      <c r="Q25" s="719"/>
      <c r="R25" s="719"/>
      <c r="S25" s="859"/>
      <c r="T25" s="859"/>
      <c r="U25" s="859"/>
      <c r="V25" s="860"/>
      <c r="W25" s="856"/>
      <c r="X25" s="856"/>
      <c r="Y25" s="856"/>
      <c r="Z25" s="856"/>
      <c r="AA25" s="856"/>
      <c r="AB25" s="856"/>
      <c r="AC25" s="856"/>
      <c r="AD25" s="856"/>
      <c r="AE25" s="856"/>
      <c r="AF25" s="856"/>
      <c r="AG25" s="856"/>
      <c r="AH25" s="856"/>
      <c r="AI25" s="856"/>
      <c r="AJ25" s="856"/>
      <c r="AK25" s="856"/>
      <c r="AL25" s="856"/>
      <c r="AM25" s="856"/>
      <c r="AN25" s="856"/>
      <c r="AO25" s="856"/>
      <c r="AP25" s="856"/>
      <c r="AQ25" s="856"/>
      <c r="AR25" s="856"/>
      <c r="AS25" s="856"/>
      <c r="AT25" s="856"/>
      <c r="AU25" s="856"/>
      <c r="AV25" s="856"/>
      <c r="AW25" s="856"/>
      <c r="AX25" s="856"/>
      <c r="AY25" s="856"/>
      <c r="AZ25" s="856"/>
      <c r="BA25" s="856"/>
      <c r="BB25" s="856"/>
      <c r="BC25" s="856"/>
      <c r="BD25" s="856"/>
      <c r="BE25" s="856"/>
      <c r="BF25" s="856"/>
      <c r="BG25" s="856"/>
      <c r="BH25" s="856"/>
      <c r="BI25" s="856"/>
      <c r="BJ25" s="856"/>
      <c r="BK25" s="856"/>
      <c r="BL25" s="856"/>
      <c r="BM25" s="856"/>
      <c r="BN25" s="856"/>
      <c r="BO25" s="856"/>
      <c r="BP25" s="856"/>
      <c r="BQ25" s="856"/>
    </row>
    <row r="26" spans="1:69" ht="15">
      <c r="A26" s="864" t="s">
        <v>958</v>
      </c>
      <c r="C26" s="728" t="s">
        <v>959</v>
      </c>
      <c r="D26" s="728"/>
      <c r="E26" s="728"/>
      <c r="F26" s="728"/>
      <c r="G26" s="728"/>
      <c r="H26" s="736" t="s">
        <v>960</v>
      </c>
      <c r="I26" s="736"/>
      <c r="J26" s="866">
        <f>'Attachment O Rev 2'!I160</f>
        <v>157163366.63471693</v>
      </c>
      <c r="K26" s="867"/>
      <c r="Q26" s="719"/>
      <c r="R26" s="719"/>
      <c r="S26" s="859"/>
      <c r="T26" s="859"/>
      <c r="U26" s="859"/>
      <c r="V26" s="860"/>
      <c r="W26" s="856"/>
      <c r="X26" s="856"/>
      <c r="Y26" s="856"/>
      <c r="Z26" s="856"/>
      <c r="AA26" s="856"/>
      <c r="AB26" s="856"/>
      <c r="AC26" s="856"/>
      <c r="AD26" s="856"/>
      <c r="AE26" s="856"/>
      <c r="AF26" s="856"/>
      <c r="AG26" s="856"/>
      <c r="AH26" s="856"/>
      <c r="AI26" s="856"/>
      <c r="AJ26" s="856"/>
      <c r="AK26" s="856"/>
      <c r="AL26" s="856"/>
      <c r="AM26" s="856"/>
      <c r="AN26" s="856"/>
      <c r="AO26" s="856"/>
      <c r="AP26" s="856"/>
      <c r="AQ26" s="856"/>
      <c r="AR26" s="856"/>
      <c r="AS26" s="856"/>
      <c r="AT26" s="856"/>
      <c r="AU26" s="856"/>
      <c r="AV26" s="856"/>
      <c r="AW26" s="856"/>
      <c r="AX26" s="856"/>
      <c r="AY26" s="856"/>
      <c r="AZ26" s="856"/>
      <c r="BA26" s="856"/>
      <c r="BB26" s="856"/>
      <c r="BC26" s="856"/>
      <c r="BD26" s="856"/>
      <c r="BE26" s="856"/>
      <c r="BF26" s="856"/>
      <c r="BG26" s="856"/>
      <c r="BH26" s="856"/>
      <c r="BI26" s="856"/>
      <c r="BJ26" s="856"/>
      <c r="BK26" s="856"/>
      <c r="BL26" s="856"/>
      <c r="BM26" s="856"/>
      <c r="BN26" s="856"/>
      <c r="BO26" s="856"/>
      <c r="BP26" s="856"/>
      <c r="BQ26" s="856"/>
    </row>
    <row r="27" spans="1:69" ht="15">
      <c r="A27" s="864" t="s">
        <v>961</v>
      </c>
      <c r="C27" s="728" t="s">
        <v>962</v>
      </c>
      <c r="D27" s="728"/>
      <c r="E27" s="728"/>
      <c r="F27" s="728"/>
      <c r="G27" s="728"/>
      <c r="H27" s="736" t="s">
        <v>963</v>
      </c>
      <c r="I27" s="736"/>
      <c r="J27" s="775">
        <f>J24-(J25+J26)</f>
        <v>52738580.314529359</v>
      </c>
      <c r="K27" s="719"/>
      <c r="Q27" s="719"/>
      <c r="R27" s="719"/>
      <c r="S27" s="859"/>
      <c r="T27" s="859"/>
      <c r="U27" s="859"/>
      <c r="V27" s="860"/>
      <c r="W27" s="856"/>
      <c r="X27" s="856"/>
      <c r="Y27" s="856"/>
      <c r="Z27" s="856"/>
      <c r="AA27" s="856"/>
      <c r="AB27" s="856"/>
      <c r="AC27" s="856"/>
      <c r="AD27" s="856"/>
      <c r="AE27" s="856"/>
      <c r="AF27" s="856"/>
      <c r="AG27" s="856"/>
      <c r="AH27" s="856"/>
      <c r="AI27" s="856"/>
      <c r="AJ27" s="856"/>
      <c r="AK27" s="856"/>
      <c r="AL27" s="856"/>
      <c r="AM27" s="856"/>
      <c r="AN27" s="856"/>
      <c r="AO27" s="856"/>
      <c r="AP27" s="856"/>
      <c r="AQ27" s="856"/>
      <c r="AR27" s="856"/>
      <c r="AS27" s="856"/>
      <c r="AT27" s="856"/>
      <c r="AU27" s="856"/>
      <c r="AV27" s="856"/>
      <c r="AW27" s="856"/>
      <c r="AX27" s="856"/>
      <c r="AY27" s="856"/>
      <c r="AZ27" s="856"/>
      <c r="BA27" s="856"/>
      <c r="BB27" s="856"/>
      <c r="BC27" s="856"/>
      <c r="BD27" s="856"/>
      <c r="BE27" s="856"/>
      <c r="BF27" s="856"/>
      <c r="BG27" s="856"/>
      <c r="BH27" s="856"/>
      <c r="BI27" s="856"/>
      <c r="BJ27" s="856"/>
      <c r="BK27" s="856"/>
      <c r="BL27" s="856"/>
      <c r="BM27" s="856"/>
      <c r="BN27" s="856"/>
      <c r="BO27" s="856"/>
      <c r="BP27" s="856"/>
      <c r="BQ27" s="856"/>
    </row>
    <row r="28" spans="1:69" ht="15">
      <c r="A28" s="864"/>
      <c r="C28" s="728"/>
      <c r="D28" s="728"/>
      <c r="E28" s="728"/>
      <c r="F28" s="728"/>
      <c r="G28" s="728"/>
      <c r="H28" s="736"/>
      <c r="I28" s="736"/>
      <c r="J28" s="719"/>
      <c r="K28" s="719"/>
      <c r="Q28" s="719"/>
      <c r="R28" s="719"/>
      <c r="S28" s="859"/>
      <c r="T28" s="859"/>
      <c r="U28" s="859"/>
      <c r="V28" s="860"/>
      <c r="W28" s="856"/>
      <c r="X28" s="856"/>
      <c r="Y28" s="856"/>
      <c r="Z28" s="856"/>
      <c r="AA28" s="856"/>
      <c r="AB28" s="856"/>
      <c r="AC28" s="856"/>
      <c r="AD28" s="856"/>
      <c r="AE28" s="856"/>
      <c r="AF28" s="856"/>
      <c r="AG28" s="856"/>
      <c r="AH28" s="856"/>
      <c r="AI28" s="856"/>
      <c r="AJ28" s="856"/>
      <c r="AK28" s="856"/>
      <c r="AL28" s="856"/>
      <c r="AM28" s="856"/>
      <c r="AN28" s="856"/>
      <c r="AO28" s="856"/>
      <c r="AP28" s="856"/>
      <c r="AQ28" s="856"/>
      <c r="AR28" s="856"/>
      <c r="AS28" s="856"/>
      <c r="AT28" s="856"/>
      <c r="AU28" s="856"/>
      <c r="AV28" s="856"/>
      <c r="AW28" s="856"/>
      <c r="AX28" s="856"/>
      <c r="AY28" s="856"/>
      <c r="AZ28" s="856"/>
      <c r="BA28" s="856"/>
      <c r="BB28" s="856"/>
      <c r="BC28" s="856"/>
      <c r="BD28" s="856"/>
      <c r="BE28" s="856"/>
      <c r="BF28" s="856"/>
      <c r="BG28" s="856"/>
      <c r="BH28" s="856"/>
      <c r="BI28" s="856"/>
      <c r="BJ28" s="856"/>
      <c r="BK28" s="856"/>
      <c r="BL28" s="856"/>
      <c r="BM28" s="856"/>
      <c r="BN28" s="856"/>
      <c r="BO28" s="856"/>
      <c r="BP28" s="856"/>
      <c r="BQ28" s="856"/>
    </row>
    <row r="29" spans="1:69" ht="15.75">
      <c r="A29" s="864">
        <v>4</v>
      </c>
      <c r="C29" s="733" t="s">
        <v>964</v>
      </c>
      <c r="D29" s="733"/>
      <c r="E29" s="733"/>
      <c r="F29" s="733"/>
      <c r="G29" s="728"/>
      <c r="H29" s="736" t="s">
        <v>965</v>
      </c>
      <c r="I29" s="736"/>
      <c r="J29" s="740">
        <f>IF(J27=0,0,J27/J19)</f>
        <v>5.5997287941266898E-2</v>
      </c>
      <c r="K29" s="740"/>
      <c r="L29" s="869">
        <f>J29</f>
        <v>5.5997287941266898E-2</v>
      </c>
      <c r="Q29" s="719"/>
      <c r="R29" s="719"/>
      <c r="S29" s="859"/>
      <c r="T29" s="859"/>
      <c r="U29" s="859"/>
      <c r="V29" s="860"/>
      <c r="W29" s="856"/>
      <c r="X29" s="856"/>
      <c r="Y29" s="856"/>
      <c r="Z29" s="856"/>
      <c r="AA29" s="856"/>
      <c r="AB29" s="856"/>
      <c r="AC29" s="856"/>
      <c r="AD29" s="856"/>
      <c r="AE29" s="856"/>
      <c r="AF29" s="856"/>
      <c r="AG29" s="856"/>
      <c r="AH29" s="856"/>
      <c r="AI29" s="856"/>
      <c r="AJ29" s="856"/>
      <c r="AK29" s="856"/>
      <c r="AL29" s="856"/>
      <c r="AM29" s="856"/>
      <c r="AN29" s="856"/>
      <c r="AO29" s="856"/>
      <c r="AP29" s="856"/>
      <c r="AQ29" s="856"/>
      <c r="AR29" s="856"/>
      <c r="AS29" s="856"/>
      <c r="AT29" s="856"/>
      <c r="AU29" s="856"/>
      <c r="AV29" s="856"/>
      <c r="AW29" s="856"/>
      <c r="AX29" s="856"/>
      <c r="AY29" s="856"/>
      <c r="AZ29" s="856"/>
      <c r="BA29" s="856"/>
      <c r="BB29" s="856"/>
      <c r="BC29" s="856"/>
      <c r="BD29" s="856"/>
      <c r="BE29" s="856"/>
      <c r="BF29" s="856"/>
      <c r="BG29" s="856"/>
      <c r="BH29" s="856"/>
      <c r="BI29" s="856"/>
      <c r="BJ29" s="856"/>
      <c r="BK29" s="856"/>
      <c r="BL29" s="856"/>
      <c r="BM29" s="856"/>
      <c r="BN29" s="856"/>
      <c r="BO29" s="856"/>
      <c r="BP29" s="856"/>
      <c r="BQ29" s="856"/>
    </row>
    <row r="30" spans="1:69" ht="15">
      <c r="A30" s="864"/>
      <c r="C30" s="728"/>
      <c r="D30" s="728"/>
      <c r="E30" s="728"/>
      <c r="F30" s="728"/>
      <c r="G30" s="728"/>
      <c r="H30" s="736"/>
      <c r="I30" s="736"/>
      <c r="J30" s="719"/>
      <c r="K30" s="719"/>
      <c r="Q30" s="719"/>
      <c r="R30" s="719"/>
      <c r="S30" s="859"/>
      <c r="T30" s="859"/>
      <c r="U30" s="859"/>
      <c r="V30" s="860"/>
      <c r="W30" s="856"/>
      <c r="X30" s="856"/>
      <c r="Y30" s="856"/>
      <c r="Z30" s="856"/>
      <c r="AA30" s="856"/>
      <c r="AB30" s="856"/>
      <c r="AC30" s="856"/>
      <c r="AD30" s="856"/>
      <c r="AE30" s="856"/>
      <c r="AF30" s="856"/>
      <c r="AG30" s="856"/>
      <c r="AH30" s="856"/>
      <c r="AI30" s="856"/>
      <c r="AJ30" s="856"/>
      <c r="AK30" s="856"/>
      <c r="AL30" s="856"/>
      <c r="AM30" s="856"/>
      <c r="AN30" s="856"/>
      <c r="AO30" s="856"/>
      <c r="AP30" s="856"/>
      <c r="AQ30" s="856"/>
      <c r="AR30" s="856"/>
      <c r="AS30" s="856"/>
      <c r="AT30" s="856"/>
      <c r="AU30" s="856"/>
      <c r="AV30" s="856"/>
      <c r="AW30" s="856"/>
      <c r="AX30" s="856"/>
      <c r="AY30" s="856"/>
      <c r="AZ30" s="856"/>
      <c r="BA30" s="856"/>
      <c r="BB30" s="856"/>
      <c r="BC30" s="856"/>
      <c r="BD30" s="856"/>
      <c r="BE30" s="856"/>
      <c r="BF30" s="856"/>
      <c r="BG30" s="856"/>
      <c r="BH30" s="856"/>
      <c r="BI30" s="856"/>
      <c r="BJ30" s="856"/>
      <c r="BK30" s="856"/>
      <c r="BL30" s="856"/>
      <c r="BM30" s="856"/>
      <c r="BN30" s="856"/>
      <c r="BO30" s="856"/>
      <c r="BP30" s="856"/>
      <c r="BQ30" s="856"/>
    </row>
    <row r="31" spans="1:69" ht="15">
      <c r="A31" s="864"/>
      <c r="C31" s="728"/>
      <c r="D31" s="728"/>
      <c r="E31" s="728"/>
      <c r="F31" s="728"/>
      <c r="G31" s="728"/>
      <c r="H31" s="736"/>
      <c r="I31" s="736"/>
      <c r="J31" s="719"/>
      <c r="K31" s="719"/>
      <c r="Q31" s="719"/>
      <c r="R31" s="719"/>
      <c r="S31" s="859"/>
      <c r="T31" s="859"/>
      <c r="U31" s="859"/>
      <c r="V31" s="860"/>
      <c r="W31" s="856"/>
      <c r="X31" s="856"/>
      <c r="Y31" s="856"/>
      <c r="Z31" s="856"/>
      <c r="AA31" s="856"/>
      <c r="AB31" s="856"/>
      <c r="AC31" s="856"/>
      <c r="AD31" s="856"/>
      <c r="AE31" s="856"/>
      <c r="AF31" s="856"/>
      <c r="AG31" s="856"/>
      <c r="AH31" s="856"/>
      <c r="AI31" s="856"/>
      <c r="AJ31" s="856"/>
      <c r="AK31" s="856"/>
      <c r="AL31" s="856"/>
      <c r="AM31" s="856"/>
      <c r="AN31" s="856"/>
      <c r="AO31" s="856"/>
      <c r="AP31" s="856"/>
      <c r="AQ31" s="856"/>
      <c r="AR31" s="856"/>
      <c r="AS31" s="856"/>
      <c r="AT31" s="856"/>
      <c r="AU31" s="856"/>
      <c r="AV31" s="856"/>
      <c r="AW31" s="856"/>
      <c r="AX31" s="856"/>
      <c r="AY31" s="856"/>
      <c r="AZ31" s="856"/>
      <c r="BA31" s="856"/>
      <c r="BB31" s="856"/>
      <c r="BC31" s="856"/>
      <c r="BD31" s="856"/>
      <c r="BE31" s="856"/>
      <c r="BF31" s="856"/>
      <c r="BG31" s="856"/>
      <c r="BH31" s="856"/>
      <c r="BI31" s="856"/>
      <c r="BJ31" s="856"/>
      <c r="BK31" s="856"/>
      <c r="BL31" s="856"/>
      <c r="BM31" s="856"/>
      <c r="BN31" s="856"/>
      <c r="BO31" s="856"/>
      <c r="BP31" s="856"/>
      <c r="BQ31" s="856"/>
    </row>
    <row r="32" spans="1:69" ht="15.75">
      <c r="A32" s="864"/>
      <c r="C32" s="728" t="s">
        <v>966</v>
      </c>
      <c r="D32" s="728"/>
      <c r="E32" s="728"/>
      <c r="F32" s="728"/>
      <c r="G32" s="728"/>
      <c r="H32" s="736"/>
      <c r="I32" s="736"/>
      <c r="J32" s="738"/>
      <c r="K32" s="738"/>
      <c r="L32" s="870"/>
      <c r="Q32" s="719"/>
      <c r="R32" s="740"/>
      <c r="S32" s="871"/>
      <c r="T32" s="742"/>
      <c r="U32" s="859"/>
      <c r="V32" s="860"/>
      <c r="W32" s="856"/>
      <c r="X32" s="856"/>
      <c r="Y32" s="856"/>
      <c r="Z32" s="856"/>
      <c r="AA32" s="856"/>
      <c r="AB32" s="856"/>
      <c r="AC32" s="856"/>
      <c r="AD32" s="856"/>
      <c r="AE32" s="856"/>
      <c r="AF32" s="856"/>
      <c r="AG32" s="856"/>
      <c r="AH32" s="856"/>
      <c r="AI32" s="856"/>
      <c r="AJ32" s="856"/>
      <c r="AK32" s="856"/>
      <c r="AL32" s="856"/>
      <c r="AM32" s="856"/>
      <c r="AN32" s="856"/>
      <c r="AO32" s="856"/>
      <c r="AP32" s="856"/>
      <c r="AQ32" s="856"/>
      <c r="AR32" s="856"/>
      <c r="AS32" s="856"/>
      <c r="AT32" s="856"/>
      <c r="AU32" s="856"/>
      <c r="AV32" s="856"/>
      <c r="AW32" s="856"/>
      <c r="AX32" s="856"/>
      <c r="AY32" s="856"/>
      <c r="AZ32" s="856"/>
      <c r="BA32" s="856"/>
      <c r="BB32" s="856"/>
      <c r="BC32" s="856"/>
      <c r="BD32" s="856"/>
      <c r="BE32" s="856"/>
      <c r="BF32" s="856"/>
      <c r="BG32" s="856"/>
      <c r="BH32" s="856"/>
      <c r="BI32" s="856"/>
      <c r="BJ32" s="856"/>
      <c r="BK32" s="856"/>
      <c r="BL32" s="856"/>
      <c r="BM32" s="856"/>
      <c r="BN32" s="856"/>
      <c r="BO32" s="856"/>
      <c r="BP32" s="856"/>
      <c r="BQ32" s="856"/>
    </row>
    <row r="33" spans="1:69" ht="15.75">
      <c r="A33" s="864" t="s">
        <v>967</v>
      </c>
      <c r="C33" s="728" t="s">
        <v>968</v>
      </c>
      <c r="D33" s="728"/>
      <c r="E33" s="728"/>
      <c r="F33" s="728"/>
      <c r="G33" s="728"/>
      <c r="H33" s="736" t="s">
        <v>969</v>
      </c>
      <c r="I33" s="736"/>
      <c r="J33" s="775">
        <f>J23-J27</f>
        <v>17772734.158532992</v>
      </c>
      <c r="K33" s="738"/>
      <c r="L33" s="870"/>
      <c r="Q33" s="719"/>
      <c r="R33" s="740"/>
      <c r="S33" s="871"/>
      <c r="T33" s="742"/>
      <c r="U33" s="859"/>
      <c r="V33" s="860"/>
      <c r="W33" s="856"/>
      <c r="X33" s="856"/>
      <c r="Y33" s="856"/>
      <c r="Z33" s="856"/>
      <c r="AA33" s="856"/>
      <c r="AB33" s="856"/>
      <c r="AC33" s="856"/>
      <c r="AD33" s="856"/>
      <c r="AE33" s="856"/>
      <c r="AF33" s="856"/>
      <c r="AG33" s="856"/>
      <c r="AH33" s="856"/>
      <c r="AI33" s="856"/>
      <c r="AJ33" s="856"/>
      <c r="AK33" s="856"/>
      <c r="AL33" s="856"/>
      <c r="AM33" s="856"/>
      <c r="AN33" s="856"/>
      <c r="AO33" s="856"/>
      <c r="AP33" s="856"/>
      <c r="AQ33" s="856"/>
      <c r="AR33" s="856"/>
      <c r="AS33" s="856"/>
      <c r="AT33" s="856"/>
      <c r="AU33" s="856"/>
      <c r="AV33" s="856"/>
      <c r="AW33" s="856"/>
      <c r="AX33" s="856"/>
      <c r="AY33" s="856"/>
      <c r="AZ33" s="856"/>
      <c r="BA33" s="856"/>
      <c r="BB33" s="856"/>
      <c r="BC33" s="856"/>
      <c r="BD33" s="856"/>
      <c r="BE33" s="856"/>
      <c r="BF33" s="856"/>
      <c r="BG33" s="856"/>
      <c r="BH33" s="856"/>
      <c r="BI33" s="856"/>
      <c r="BJ33" s="856"/>
      <c r="BK33" s="856"/>
      <c r="BL33" s="856"/>
      <c r="BM33" s="856"/>
      <c r="BN33" s="856"/>
      <c r="BO33" s="856"/>
      <c r="BP33" s="856"/>
      <c r="BQ33" s="856"/>
    </row>
    <row r="34" spans="1:69" ht="15.75">
      <c r="A34" s="864" t="s">
        <v>970</v>
      </c>
      <c r="C34" s="728" t="s">
        <v>971</v>
      </c>
      <c r="D34" s="728"/>
      <c r="E34" s="728"/>
      <c r="F34" s="728"/>
      <c r="G34" s="728"/>
      <c r="H34" s="736" t="s">
        <v>972</v>
      </c>
      <c r="I34" s="736"/>
      <c r="J34" s="738">
        <f>IF(J33=0,0,J33/J18)</f>
        <v>4.4581325467735917E-3</v>
      </c>
      <c r="K34" s="738"/>
      <c r="L34" s="870">
        <f>J34</f>
        <v>4.4581325467735917E-3</v>
      </c>
      <c r="Q34" s="719"/>
      <c r="R34" s="740"/>
      <c r="S34" s="871"/>
      <c r="T34" s="742"/>
      <c r="U34" s="859"/>
      <c r="V34" s="860"/>
      <c r="W34" s="856"/>
      <c r="X34" s="856"/>
      <c r="Y34" s="856"/>
      <c r="Z34" s="856"/>
      <c r="AA34" s="856"/>
      <c r="AB34" s="856"/>
      <c r="AC34" s="856"/>
      <c r="AD34" s="856"/>
      <c r="AE34" s="856"/>
      <c r="AF34" s="856"/>
      <c r="AG34" s="856"/>
      <c r="AH34" s="856"/>
      <c r="AI34" s="856"/>
      <c r="AJ34" s="856"/>
      <c r="AK34" s="856"/>
      <c r="AL34" s="856"/>
      <c r="AM34" s="856"/>
      <c r="AN34" s="856"/>
      <c r="AO34" s="856"/>
      <c r="AP34" s="856"/>
      <c r="AQ34" s="856"/>
      <c r="AR34" s="856"/>
      <c r="AS34" s="856"/>
      <c r="AT34" s="856"/>
      <c r="AU34" s="856"/>
      <c r="AV34" s="856"/>
      <c r="AW34" s="856"/>
      <c r="AX34" s="856"/>
      <c r="AY34" s="856"/>
      <c r="AZ34" s="856"/>
      <c r="BA34" s="856"/>
      <c r="BB34" s="856"/>
      <c r="BC34" s="856"/>
      <c r="BD34" s="856"/>
      <c r="BE34" s="856"/>
      <c r="BF34" s="856"/>
      <c r="BG34" s="856"/>
      <c r="BH34" s="856"/>
      <c r="BI34" s="856"/>
      <c r="BJ34" s="856"/>
      <c r="BK34" s="856"/>
      <c r="BL34" s="856"/>
      <c r="BM34" s="856"/>
      <c r="BN34" s="856"/>
      <c r="BO34" s="856"/>
      <c r="BP34" s="856"/>
      <c r="BQ34" s="856"/>
    </row>
    <row r="35" spans="1:69" ht="15.75">
      <c r="A35" s="864"/>
      <c r="C35" s="728"/>
      <c r="D35" s="728"/>
      <c r="E35" s="728"/>
      <c r="F35" s="728"/>
      <c r="G35" s="728"/>
      <c r="H35" s="736"/>
      <c r="I35" s="736"/>
      <c r="J35" s="738"/>
      <c r="K35" s="738"/>
      <c r="L35" s="870"/>
      <c r="Q35" s="719"/>
      <c r="R35" s="740"/>
      <c r="S35" s="871"/>
      <c r="T35" s="742"/>
      <c r="U35" s="859"/>
      <c r="V35" s="860"/>
      <c r="W35" s="856"/>
      <c r="X35" s="856"/>
      <c r="Y35" s="856"/>
      <c r="Z35" s="856"/>
      <c r="AA35" s="856"/>
      <c r="AB35" s="856"/>
      <c r="AC35" s="856"/>
      <c r="AD35" s="856"/>
      <c r="AE35" s="856"/>
      <c r="AF35" s="856"/>
      <c r="AG35" s="856"/>
      <c r="AH35" s="856"/>
      <c r="AI35" s="856"/>
      <c r="AJ35" s="856"/>
      <c r="AK35" s="856"/>
      <c r="AL35" s="856"/>
      <c r="AM35" s="856"/>
      <c r="AN35" s="856"/>
      <c r="AO35" s="856"/>
      <c r="AP35" s="856"/>
      <c r="AQ35" s="856"/>
      <c r="AR35" s="856"/>
      <c r="AS35" s="856"/>
      <c r="AT35" s="856"/>
      <c r="AU35" s="856"/>
      <c r="AV35" s="856"/>
      <c r="AW35" s="856"/>
      <c r="AX35" s="856"/>
      <c r="AY35" s="856"/>
      <c r="AZ35" s="856"/>
      <c r="BA35" s="856"/>
      <c r="BB35" s="856"/>
      <c r="BC35" s="856"/>
      <c r="BD35" s="856"/>
      <c r="BE35" s="856"/>
      <c r="BF35" s="856"/>
      <c r="BG35" s="856"/>
      <c r="BH35" s="856"/>
      <c r="BI35" s="856"/>
      <c r="BJ35" s="856"/>
      <c r="BK35" s="856"/>
      <c r="BL35" s="856"/>
      <c r="BM35" s="856"/>
      <c r="BN35" s="856"/>
      <c r="BO35" s="856"/>
      <c r="BP35" s="856"/>
      <c r="BQ35" s="856"/>
    </row>
    <row r="36" spans="1:69" ht="15.75">
      <c r="A36" s="872"/>
      <c r="B36" s="856"/>
      <c r="C36" s="728" t="s">
        <v>800</v>
      </c>
      <c r="D36" s="728"/>
      <c r="E36" s="728"/>
      <c r="F36" s="728"/>
      <c r="G36" s="728"/>
      <c r="H36" s="743"/>
      <c r="I36" s="743"/>
      <c r="J36" s="719"/>
      <c r="K36" s="719"/>
      <c r="L36" s="719"/>
      <c r="N36" s="856"/>
      <c r="O36" s="856"/>
      <c r="Q36" s="719"/>
      <c r="R36" s="740"/>
      <c r="S36" s="871"/>
      <c r="T36" s="742"/>
      <c r="U36" s="859"/>
      <c r="V36" s="860"/>
      <c r="W36" s="856"/>
      <c r="X36" s="856"/>
      <c r="Y36" s="856"/>
      <c r="Z36" s="856"/>
      <c r="AA36" s="856"/>
      <c r="AB36" s="856"/>
      <c r="AC36" s="856"/>
      <c r="AD36" s="856"/>
      <c r="AE36" s="856"/>
      <c r="AF36" s="856"/>
      <c r="AG36" s="856"/>
      <c r="AH36" s="856"/>
      <c r="AI36" s="856"/>
      <c r="AJ36" s="856"/>
      <c r="AK36" s="856"/>
      <c r="AL36" s="856"/>
      <c r="AM36" s="856"/>
      <c r="AN36" s="856"/>
      <c r="AO36" s="856"/>
      <c r="AP36" s="856"/>
      <c r="AQ36" s="856"/>
      <c r="AR36" s="856"/>
      <c r="AS36" s="856"/>
      <c r="AT36" s="856"/>
      <c r="AU36" s="856"/>
      <c r="AV36" s="856"/>
      <c r="AW36" s="856"/>
      <c r="AX36" s="856"/>
      <c r="AY36" s="856"/>
      <c r="AZ36" s="856"/>
      <c r="BA36" s="856"/>
      <c r="BB36" s="856"/>
      <c r="BC36" s="856"/>
      <c r="BD36" s="856"/>
      <c r="BE36" s="856"/>
      <c r="BF36" s="856"/>
      <c r="BG36" s="856"/>
      <c r="BH36" s="856"/>
      <c r="BI36" s="856"/>
      <c r="BJ36" s="856"/>
      <c r="BK36" s="856"/>
      <c r="BL36" s="856"/>
      <c r="BM36" s="856"/>
      <c r="BN36" s="856"/>
      <c r="BO36" s="856"/>
      <c r="BP36" s="856"/>
      <c r="BQ36" s="856"/>
    </row>
    <row r="37" spans="1:69" ht="15.75">
      <c r="A37" s="872" t="s">
        <v>801</v>
      </c>
      <c r="B37" s="856"/>
      <c r="C37" s="728" t="s">
        <v>802</v>
      </c>
      <c r="D37" s="728"/>
      <c r="E37" s="728"/>
      <c r="F37" s="728"/>
      <c r="G37" s="728"/>
      <c r="H37" s="736" t="s">
        <v>803</v>
      </c>
      <c r="I37" s="736"/>
      <c r="J37" s="865">
        <f>'Attachment O Rev 2'!I173+'Attachment O Rev 2'!I174</f>
        <v>5681650.5562180094</v>
      </c>
      <c r="K37" s="719"/>
      <c r="L37" s="856"/>
      <c r="N37" s="856"/>
      <c r="O37" s="856"/>
      <c r="Q37" s="719"/>
      <c r="R37" s="740"/>
      <c r="S37" s="871"/>
      <c r="T37" s="742"/>
      <c r="U37" s="859"/>
      <c r="V37" s="860"/>
      <c r="W37" s="856"/>
      <c r="X37" s="856"/>
      <c r="Y37" s="856"/>
      <c r="Z37" s="856"/>
      <c r="AA37" s="856"/>
      <c r="AB37" s="856"/>
      <c r="AC37" s="856"/>
      <c r="AD37" s="856"/>
      <c r="AE37" s="856"/>
      <c r="AF37" s="856"/>
      <c r="AG37" s="856"/>
      <c r="AH37" s="856"/>
      <c r="AI37" s="856"/>
      <c r="AJ37" s="856"/>
      <c r="AK37" s="856"/>
      <c r="AL37" s="856"/>
      <c r="AM37" s="856"/>
      <c r="AN37" s="856"/>
      <c r="AO37" s="856"/>
      <c r="AP37" s="856"/>
      <c r="AQ37" s="856"/>
      <c r="AR37" s="856"/>
      <c r="AS37" s="856"/>
      <c r="AT37" s="856"/>
      <c r="AU37" s="856"/>
      <c r="AV37" s="856"/>
      <c r="AW37" s="856"/>
      <c r="AX37" s="856"/>
      <c r="AY37" s="856"/>
      <c r="AZ37" s="856"/>
      <c r="BA37" s="856"/>
      <c r="BB37" s="856"/>
      <c r="BC37" s="856"/>
      <c r="BD37" s="856"/>
      <c r="BE37" s="856"/>
      <c r="BF37" s="856"/>
      <c r="BG37" s="856"/>
      <c r="BH37" s="856"/>
      <c r="BI37" s="856"/>
      <c r="BJ37" s="856"/>
      <c r="BK37" s="856"/>
      <c r="BL37" s="856"/>
      <c r="BM37" s="856"/>
      <c r="BN37" s="856"/>
      <c r="BO37" s="856"/>
      <c r="BP37" s="856"/>
      <c r="BQ37" s="856"/>
    </row>
    <row r="38" spans="1:69" ht="15.75">
      <c r="A38" s="872" t="s">
        <v>804</v>
      </c>
      <c r="B38" s="856"/>
      <c r="C38" s="728" t="s">
        <v>805</v>
      </c>
      <c r="D38" s="728"/>
      <c r="E38" s="728"/>
      <c r="F38" s="728"/>
      <c r="G38" s="728"/>
      <c r="H38" s="736" t="s">
        <v>806</v>
      </c>
      <c r="I38" s="736"/>
      <c r="J38" s="738">
        <f>IF(J37=0,0,J37/J18)</f>
        <v>1.4251915905639449E-3</v>
      </c>
      <c r="K38" s="738"/>
      <c r="L38" s="870">
        <f>J38</f>
        <v>1.4251915905639449E-3</v>
      </c>
      <c r="N38" s="856"/>
      <c r="O38" s="856"/>
      <c r="Q38" s="719"/>
      <c r="R38" s="740"/>
      <c r="S38" s="871"/>
      <c r="T38" s="742"/>
      <c r="U38" s="859"/>
      <c r="V38" s="860"/>
      <c r="W38" s="856"/>
      <c r="X38" s="856"/>
      <c r="Y38" s="856"/>
      <c r="Z38" s="856"/>
      <c r="AA38" s="856"/>
      <c r="AB38" s="856"/>
      <c r="AC38" s="856"/>
      <c r="AD38" s="856"/>
      <c r="AE38" s="856"/>
      <c r="AF38" s="856"/>
      <c r="AG38" s="856"/>
      <c r="AH38" s="856"/>
      <c r="AI38" s="856"/>
      <c r="AJ38" s="856"/>
      <c r="AK38" s="856"/>
      <c r="AL38" s="856"/>
      <c r="AM38" s="856"/>
      <c r="AN38" s="856"/>
      <c r="AO38" s="856"/>
      <c r="AP38" s="856"/>
      <c r="AQ38" s="856"/>
      <c r="AR38" s="856"/>
      <c r="AS38" s="856"/>
      <c r="AT38" s="856"/>
      <c r="AU38" s="856"/>
      <c r="AV38" s="856"/>
      <c r="AW38" s="856"/>
      <c r="AX38" s="856"/>
      <c r="AY38" s="856"/>
      <c r="AZ38" s="856"/>
      <c r="BA38" s="856"/>
      <c r="BB38" s="856"/>
      <c r="BC38" s="856"/>
      <c r="BD38" s="856"/>
      <c r="BE38" s="856"/>
      <c r="BF38" s="856"/>
      <c r="BG38" s="856"/>
      <c r="BH38" s="856"/>
      <c r="BI38" s="856"/>
      <c r="BJ38" s="856"/>
      <c r="BK38" s="856"/>
      <c r="BL38" s="856"/>
      <c r="BM38" s="856"/>
      <c r="BN38" s="856"/>
      <c r="BO38" s="856"/>
      <c r="BP38" s="856"/>
      <c r="BQ38" s="856"/>
    </row>
    <row r="39" spans="1:69" ht="15.75">
      <c r="A39" s="864"/>
      <c r="C39" s="728"/>
      <c r="D39" s="728"/>
      <c r="E39" s="728"/>
      <c r="F39" s="728"/>
      <c r="G39" s="728"/>
      <c r="H39" s="736"/>
      <c r="I39" s="736"/>
      <c r="J39" s="738"/>
      <c r="K39" s="738"/>
      <c r="L39" s="870"/>
      <c r="Q39" s="719"/>
      <c r="R39" s="740"/>
      <c r="S39" s="871"/>
      <c r="T39" s="742"/>
      <c r="U39" s="859"/>
      <c r="V39" s="860"/>
      <c r="W39" s="856"/>
      <c r="X39" s="856"/>
      <c r="Y39" s="856"/>
      <c r="Z39" s="856"/>
      <c r="AA39" s="856"/>
      <c r="AB39" s="856"/>
      <c r="AC39" s="856"/>
      <c r="AD39" s="856"/>
      <c r="AE39" s="856"/>
      <c r="AF39" s="856"/>
      <c r="AG39" s="856"/>
      <c r="AH39" s="856"/>
      <c r="AI39" s="856"/>
      <c r="AJ39" s="856"/>
      <c r="AK39" s="856"/>
      <c r="AL39" s="856"/>
      <c r="AM39" s="856"/>
      <c r="AN39" s="856"/>
      <c r="AO39" s="856"/>
      <c r="AP39" s="856"/>
      <c r="AQ39" s="856"/>
      <c r="AR39" s="856"/>
      <c r="AS39" s="856"/>
      <c r="AT39" s="856"/>
      <c r="AU39" s="856"/>
      <c r="AV39" s="856"/>
      <c r="AW39" s="856"/>
      <c r="AX39" s="856"/>
      <c r="AY39" s="856"/>
      <c r="AZ39" s="856"/>
      <c r="BA39" s="856"/>
      <c r="BB39" s="856"/>
      <c r="BC39" s="856"/>
      <c r="BD39" s="856"/>
      <c r="BE39" s="856"/>
      <c r="BF39" s="856"/>
      <c r="BG39" s="856"/>
      <c r="BH39" s="856"/>
      <c r="BI39" s="856"/>
      <c r="BJ39" s="856"/>
      <c r="BK39" s="856"/>
      <c r="BL39" s="856"/>
      <c r="BM39" s="856"/>
      <c r="BN39" s="856"/>
      <c r="BO39" s="856"/>
      <c r="BP39" s="856"/>
      <c r="BQ39" s="856"/>
    </row>
    <row r="40" spans="1:69" ht="15">
      <c r="A40" s="873"/>
      <c r="C40" s="728" t="s">
        <v>807</v>
      </c>
      <c r="D40" s="728"/>
      <c r="E40" s="728"/>
      <c r="F40" s="728"/>
      <c r="G40" s="728"/>
      <c r="H40" s="743"/>
      <c r="I40" s="743"/>
      <c r="J40" s="719"/>
      <c r="K40" s="719"/>
      <c r="L40" s="719"/>
      <c r="Q40" s="719"/>
      <c r="R40" s="719"/>
      <c r="S40" s="859"/>
      <c r="T40" s="719"/>
      <c r="U40" s="859"/>
      <c r="V40" s="860"/>
      <c r="W40" s="856"/>
      <c r="X40" s="856"/>
      <c r="Y40" s="856"/>
      <c r="Z40" s="856"/>
      <c r="AA40" s="856"/>
      <c r="AB40" s="856"/>
      <c r="AC40" s="856"/>
      <c r="AD40" s="856"/>
      <c r="AE40" s="856"/>
      <c r="AF40" s="856"/>
      <c r="AG40" s="856"/>
      <c r="AH40" s="856"/>
      <c r="AI40" s="856"/>
      <c r="AJ40" s="856"/>
      <c r="AK40" s="856"/>
      <c r="AL40" s="856"/>
      <c r="AM40" s="856"/>
      <c r="AN40" s="856"/>
      <c r="AO40" s="856"/>
      <c r="AP40" s="856"/>
      <c r="AQ40" s="856"/>
      <c r="AR40" s="856"/>
      <c r="AS40" s="856"/>
      <c r="AT40" s="856"/>
      <c r="AU40" s="856"/>
      <c r="AV40" s="856"/>
      <c r="AW40" s="856"/>
      <c r="AX40" s="856"/>
      <c r="AY40" s="856"/>
      <c r="AZ40" s="856"/>
      <c r="BA40" s="856"/>
      <c r="BB40" s="856"/>
      <c r="BC40" s="856"/>
      <c r="BD40" s="856"/>
      <c r="BE40" s="856"/>
      <c r="BF40" s="856"/>
      <c r="BG40" s="856"/>
      <c r="BH40" s="856"/>
      <c r="BI40" s="856"/>
      <c r="BJ40" s="856"/>
      <c r="BK40" s="856"/>
      <c r="BL40" s="856"/>
      <c r="BM40" s="856"/>
      <c r="BN40" s="856"/>
      <c r="BO40" s="856"/>
      <c r="BP40" s="856"/>
      <c r="BQ40" s="856"/>
    </row>
    <row r="41" spans="1:69" ht="15.75">
      <c r="A41" s="873" t="s">
        <v>808</v>
      </c>
      <c r="C41" s="728" t="s">
        <v>809</v>
      </c>
      <c r="D41" s="728"/>
      <c r="E41" s="728"/>
      <c r="F41" s="728"/>
      <c r="G41" s="728"/>
      <c r="H41" s="736" t="s">
        <v>810</v>
      </c>
      <c r="I41" s="736"/>
      <c r="J41" s="865">
        <f>'Attachment O Rev 2'!I186</f>
        <v>47835402.191161543</v>
      </c>
      <c r="K41" s="719"/>
      <c r="Q41" s="719"/>
      <c r="R41" s="732"/>
      <c r="S41" s="859"/>
      <c r="T41" s="874"/>
      <c r="U41" s="861"/>
      <c r="V41" s="860"/>
      <c r="W41" s="856"/>
      <c r="X41" s="856"/>
      <c r="Y41" s="856"/>
      <c r="Z41" s="856"/>
      <c r="AA41" s="856"/>
      <c r="AB41" s="856"/>
      <c r="AC41" s="856"/>
      <c r="AD41" s="856"/>
      <c r="AE41" s="856"/>
      <c r="AF41" s="856"/>
      <c r="AG41" s="856"/>
      <c r="AH41" s="856"/>
      <c r="AI41" s="856"/>
      <c r="AJ41" s="856"/>
      <c r="AK41" s="856"/>
      <c r="AL41" s="856"/>
      <c r="AM41" s="856"/>
      <c r="AN41" s="856"/>
      <c r="AO41" s="856"/>
      <c r="AP41" s="856"/>
      <c r="AQ41" s="856"/>
      <c r="AR41" s="856"/>
      <c r="AS41" s="856"/>
      <c r="AT41" s="856"/>
      <c r="AU41" s="856"/>
      <c r="AV41" s="856"/>
      <c r="AW41" s="856"/>
      <c r="AX41" s="856"/>
      <c r="AY41" s="856"/>
      <c r="AZ41" s="856"/>
      <c r="BA41" s="856"/>
      <c r="BB41" s="856"/>
      <c r="BC41" s="856"/>
      <c r="BD41" s="856"/>
      <c r="BE41" s="856"/>
      <c r="BF41" s="856"/>
      <c r="BG41" s="856"/>
      <c r="BH41" s="856"/>
      <c r="BI41" s="856"/>
      <c r="BJ41" s="856"/>
      <c r="BK41" s="856"/>
      <c r="BL41" s="856"/>
      <c r="BM41" s="856"/>
      <c r="BN41" s="856"/>
      <c r="BO41" s="856"/>
      <c r="BP41" s="856"/>
      <c r="BQ41" s="856"/>
    </row>
    <row r="42" spans="1:69" ht="15.75">
      <c r="A42" s="873" t="s">
        <v>811</v>
      </c>
      <c r="C42" s="728" t="s">
        <v>812</v>
      </c>
      <c r="D42" s="728"/>
      <c r="E42" s="728"/>
      <c r="F42" s="728"/>
      <c r="G42" s="728"/>
      <c r="H42" s="736" t="s">
        <v>813</v>
      </c>
      <c r="I42" s="736"/>
      <c r="J42" s="738">
        <f>IF(J41=0,0,J41/J18)</f>
        <v>1.199908587469835E-2</v>
      </c>
      <c r="K42" s="738"/>
      <c r="L42" s="870">
        <f>J42</f>
        <v>1.199908587469835E-2</v>
      </c>
      <c r="Q42" s="719"/>
      <c r="R42" s="740"/>
      <c r="S42" s="859"/>
      <c r="T42" s="742"/>
      <c r="U42" s="861"/>
      <c r="V42" s="860"/>
      <c r="W42" s="856"/>
      <c r="X42" s="856"/>
      <c r="Y42" s="856"/>
      <c r="Z42" s="856"/>
      <c r="AA42" s="856"/>
      <c r="AB42" s="856"/>
      <c r="AC42" s="856"/>
      <c r="AD42" s="856"/>
      <c r="AE42" s="856"/>
      <c r="AF42" s="856"/>
      <c r="AG42" s="856"/>
      <c r="AH42" s="856"/>
      <c r="AI42" s="856"/>
      <c r="AJ42" s="856"/>
      <c r="AK42" s="856"/>
      <c r="AL42" s="856"/>
      <c r="AM42" s="856"/>
      <c r="AN42" s="856"/>
      <c r="AO42" s="856"/>
      <c r="AP42" s="856"/>
      <c r="AQ42" s="856"/>
      <c r="AR42" s="856"/>
      <c r="AS42" s="856"/>
      <c r="AT42" s="856"/>
      <c r="AU42" s="856"/>
      <c r="AV42" s="856"/>
      <c r="AW42" s="856"/>
      <c r="AX42" s="856"/>
      <c r="AY42" s="856"/>
      <c r="AZ42" s="856"/>
      <c r="BA42" s="856"/>
      <c r="BB42" s="856"/>
      <c r="BC42" s="856"/>
      <c r="BD42" s="856"/>
      <c r="BE42" s="856"/>
      <c r="BF42" s="856"/>
      <c r="BG42" s="856"/>
      <c r="BH42" s="856"/>
      <c r="BI42" s="856"/>
      <c r="BJ42" s="856"/>
      <c r="BK42" s="856"/>
      <c r="BL42" s="856"/>
      <c r="BM42" s="856"/>
      <c r="BN42" s="856"/>
      <c r="BO42" s="856"/>
      <c r="BP42" s="856"/>
      <c r="BQ42" s="856"/>
    </row>
    <row r="43" spans="1:69" ht="15">
      <c r="A43" s="873"/>
      <c r="C43" s="728"/>
      <c r="D43" s="728"/>
      <c r="E43" s="728"/>
      <c r="F43" s="728"/>
      <c r="G43" s="728"/>
      <c r="H43" s="736"/>
      <c r="I43" s="736"/>
      <c r="J43" s="719"/>
      <c r="K43" s="719"/>
      <c r="L43" s="719"/>
      <c r="Q43" s="719"/>
      <c r="U43" s="859"/>
      <c r="V43" s="860"/>
      <c r="W43" s="856"/>
      <c r="X43" s="856"/>
      <c r="Y43" s="856"/>
      <c r="Z43" s="856"/>
      <c r="AA43" s="856"/>
      <c r="AB43" s="856"/>
      <c r="AC43" s="856"/>
      <c r="AD43" s="856"/>
      <c r="AE43" s="856"/>
      <c r="AF43" s="856"/>
      <c r="AG43" s="856"/>
      <c r="AH43" s="856"/>
      <c r="AI43" s="856"/>
      <c r="AJ43" s="856"/>
      <c r="AK43" s="856"/>
      <c r="AL43" s="856"/>
      <c r="AM43" s="856"/>
      <c r="AN43" s="856"/>
      <c r="AO43" s="856"/>
      <c r="AP43" s="856"/>
      <c r="AQ43" s="856"/>
      <c r="AR43" s="856"/>
      <c r="AS43" s="856"/>
      <c r="AT43" s="856"/>
      <c r="AU43" s="856"/>
      <c r="AV43" s="856"/>
      <c r="AW43" s="856"/>
      <c r="AX43" s="856"/>
      <c r="AY43" s="856"/>
      <c r="AZ43" s="856"/>
      <c r="BA43" s="856"/>
      <c r="BB43" s="856"/>
      <c r="BC43" s="856"/>
      <c r="BD43" s="856"/>
      <c r="BE43" s="856"/>
      <c r="BF43" s="856"/>
      <c r="BG43" s="856"/>
      <c r="BH43" s="856"/>
      <c r="BI43" s="856"/>
      <c r="BJ43" s="856"/>
      <c r="BK43" s="856"/>
      <c r="BL43" s="856"/>
      <c r="BM43" s="856"/>
      <c r="BN43" s="856"/>
      <c r="BO43" s="856"/>
      <c r="BP43" s="856"/>
      <c r="BQ43" s="856"/>
    </row>
    <row r="44" spans="1:69" ht="15.75">
      <c r="A44" s="875" t="s">
        <v>814</v>
      </c>
      <c r="B44" s="876"/>
      <c r="C44" s="733" t="s">
        <v>973</v>
      </c>
      <c r="D44" s="733"/>
      <c r="E44" s="733"/>
      <c r="F44" s="733"/>
      <c r="G44" s="733"/>
      <c r="H44" s="729" t="s">
        <v>974</v>
      </c>
      <c r="I44" s="729"/>
      <c r="J44" s="746">
        <f>J34+J38+J42</f>
        <v>1.7882410012035888E-2</v>
      </c>
      <c r="K44" s="746"/>
      <c r="L44" s="746">
        <f>L34+L38+L42</f>
        <v>1.7882410012035888E-2</v>
      </c>
      <c r="Q44" s="719"/>
      <c r="U44" s="859"/>
      <c r="V44" s="860"/>
      <c r="W44" s="856"/>
      <c r="X44" s="856"/>
      <c r="Y44" s="856"/>
      <c r="Z44" s="856"/>
      <c r="AA44" s="856"/>
      <c r="AB44" s="856"/>
      <c r="AC44" s="856"/>
      <c r="AD44" s="856"/>
      <c r="AE44" s="856"/>
      <c r="AF44" s="856"/>
      <c r="AG44" s="856"/>
      <c r="AH44" s="856"/>
      <c r="AI44" s="856"/>
      <c r="AJ44" s="856"/>
      <c r="AK44" s="856"/>
      <c r="AL44" s="856"/>
      <c r="AM44" s="856"/>
      <c r="AN44" s="856"/>
      <c r="AO44" s="856"/>
      <c r="AP44" s="856"/>
      <c r="AQ44" s="856"/>
      <c r="AR44" s="856"/>
      <c r="AS44" s="856"/>
      <c r="AT44" s="856"/>
      <c r="AU44" s="856"/>
      <c r="AV44" s="856"/>
      <c r="AW44" s="856"/>
      <c r="AX44" s="856"/>
      <c r="AY44" s="856"/>
      <c r="AZ44" s="856"/>
      <c r="BA44" s="856"/>
      <c r="BB44" s="856"/>
      <c r="BC44" s="856"/>
      <c r="BD44" s="856"/>
      <c r="BE44" s="856"/>
      <c r="BF44" s="856"/>
      <c r="BG44" s="856"/>
      <c r="BH44" s="856"/>
      <c r="BI44" s="856"/>
      <c r="BJ44" s="856"/>
      <c r="BK44" s="856"/>
      <c r="BL44" s="856"/>
      <c r="BM44" s="856"/>
      <c r="BN44" s="856"/>
      <c r="BO44" s="856"/>
      <c r="BP44" s="856"/>
      <c r="BQ44" s="856"/>
    </row>
    <row r="45" spans="1:69" ht="15">
      <c r="A45" s="873"/>
      <c r="C45" s="728"/>
      <c r="D45" s="728"/>
      <c r="E45" s="728"/>
      <c r="F45" s="728"/>
      <c r="G45" s="728"/>
      <c r="H45" s="736"/>
      <c r="I45" s="736"/>
      <c r="J45" s="719"/>
      <c r="K45" s="719"/>
      <c r="L45" s="719"/>
      <c r="Q45" s="719"/>
      <c r="R45" s="719"/>
      <c r="S45" s="859"/>
      <c r="T45" s="877"/>
      <c r="U45" s="859"/>
      <c r="V45" s="860"/>
      <c r="W45" s="856"/>
      <c r="X45" s="856"/>
      <c r="Y45" s="856"/>
      <c r="Z45" s="856"/>
      <c r="AA45" s="856"/>
      <c r="AB45" s="856"/>
      <c r="AC45" s="856"/>
      <c r="AD45" s="856"/>
      <c r="AE45" s="856"/>
      <c r="AF45" s="856"/>
      <c r="AG45" s="856"/>
      <c r="AH45" s="856"/>
      <c r="AI45" s="856"/>
      <c r="AJ45" s="856"/>
      <c r="AK45" s="856"/>
      <c r="AL45" s="856"/>
      <c r="AM45" s="856"/>
      <c r="AN45" s="856"/>
      <c r="AO45" s="856"/>
      <c r="AP45" s="856"/>
      <c r="AQ45" s="856"/>
      <c r="AR45" s="856"/>
      <c r="AS45" s="856"/>
      <c r="AT45" s="856"/>
      <c r="AU45" s="856"/>
      <c r="AV45" s="856"/>
      <c r="AW45" s="856"/>
      <c r="AX45" s="856"/>
      <c r="AY45" s="856"/>
      <c r="AZ45" s="856"/>
      <c r="BA45" s="856"/>
      <c r="BB45" s="856"/>
      <c r="BC45" s="856"/>
      <c r="BD45" s="856"/>
      <c r="BE45" s="856"/>
      <c r="BF45" s="856"/>
      <c r="BG45" s="856"/>
      <c r="BH45" s="856"/>
      <c r="BI45" s="856"/>
      <c r="BJ45" s="856"/>
      <c r="BK45" s="856"/>
      <c r="BL45" s="856"/>
      <c r="BM45" s="856"/>
      <c r="BN45" s="856"/>
      <c r="BO45" s="856"/>
      <c r="BP45" s="856"/>
      <c r="BQ45" s="856"/>
    </row>
    <row r="46" spans="1:69" ht="15">
      <c r="A46" s="872"/>
      <c r="B46" s="878"/>
      <c r="C46" s="719" t="s">
        <v>817</v>
      </c>
      <c r="D46" s="719"/>
      <c r="E46" s="719"/>
      <c r="F46" s="719"/>
      <c r="G46" s="719"/>
      <c r="H46" s="736"/>
      <c r="I46" s="736"/>
      <c r="J46" s="719"/>
      <c r="K46" s="719"/>
      <c r="L46" s="719"/>
      <c r="Q46" s="749"/>
      <c r="R46" s="878"/>
      <c r="U46" s="861"/>
      <c r="V46" s="859" t="s">
        <v>5</v>
      </c>
      <c r="W46" s="856"/>
      <c r="X46" s="856"/>
      <c r="Y46" s="856"/>
      <c r="Z46" s="856"/>
      <c r="AA46" s="856"/>
      <c r="AB46" s="856"/>
      <c r="AC46" s="856"/>
      <c r="AD46" s="856"/>
      <c r="AE46" s="856"/>
      <c r="AF46" s="856"/>
      <c r="AG46" s="856"/>
      <c r="AH46" s="856"/>
      <c r="AI46" s="856"/>
      <c r="AJ46" s="856"/>
      <c r="AK46" s="856"/>
      <c r="AL46" s="856"/>
      <c r="AM46" s="856"/>
      <c r="AN46" s="856"/>
      <c r="AO46" s="856"/>
      <c r="AP46" s="856"/>
      <c r="AQ46" s="856"/>
      <c r="AR46" s="856"/>
      <c r="AS46" s="856"/>
      <c r="AT46" s="856"/>
      <c r="AU46" s="856"/>
      <c r="AV46" s="856"/>
      <c r="AW46" s="856"/>
      <c r="AX46" s="856"/>
      <c r="AY46" s="856"/>
      <c r="AZ46" s="856"/>
      <c r="BA46" s="856"/>
      <c r="BB46" s="856"/>
      <c r="BC46" s="856"/>
      <c r="BD46" s="856"/>
      <c r="BE46" s="856"/>
      <c r="BF46" s="856"/>
      <c r="BG46" s="856"/>
      <c r="BH46" s="856"/>
      <c r="BI46" s="856"/>
      <c r="BJ46" s="856"/>
      <c r="BK46" s="856"/>
      <c r="BL46" s="856"/>
      <c r="BM46" s="856"/>
      <c r="BN46" s="856"/>
      <c r="BO46" s="856"/>
      <c r="BP46" s="856"/>
      <c r="BQ46" s="856"/>
    </row>
    <row r="47" spans="1:69" ht="15">
      <c r="A47" s="873" t="s">
        <v>818</v>
      </c>
      <c r="B47" s="878"/>
      <c r="C47" s="719" t="s">
        <v>588</v>
      </c>
      <c r="D47" s="719"/>
      <c r="E47" s="719"/>
      <c r="F47" s="719"/>
      <c r="G47" s="719"/>
      <c r="H47" s="736" t="s">
        <v>819</v>
      </c>
      <c r="I47" s="736"/>
      <c r="J47" s="865">
        <f>'Attachment O Rev 2'!I198</f>
        <v>111716427.22993058</v>
      </c>
      <c r="K47" s="719"/>
      <c r="L47" s="719"/>
      <c r="Q47" s="749"/>
      <c r="R47" s="878"/>
      <c r="U47" s="861"/>
      <c r="V47" s="859"/>
      <c r="W47" s="856"/>
      <c r="X47" s="856"/>
      <c r="Y47" s="856"/>
      <c r="Z47" s="856"/>
      <c r="AA47" s="856"/>
      <c r="AB47" s="856"/>
      <c r="AC47" s="856"/>
      <c r="AD47" s="856"/>
      <c r="AE47" s="856"/>
      <c r="AF47" s="856"/>
      <c r="AG47" s="856"/>
      <c r="AH47" s="856"/>
      <c r="AI47" s="856"/>
      <c r="AJ47" s="856"/>
      <c r="AK47" s="856"/>
      <c r="AL47" s="856"/>
      <c r="AM47" s="856"/>
      <c r="AN47" s="856"/>
      <c r="AO47" s="856"/>
      <c r="AP47" s="856"/>
      <c r="AQ47" s="856"/>
      <c r="AR47" s="856"/>
      <c r="AS47" s="856"/>
      <c r="AT47" s="856"/>
      <c r="AU47" s="856"/>
      <c r="AV47" s="856"/>
      <c r="AW47" s="856"/>
      <c r="AX47" s="856"/>
      <c r="AY47" s="856"/>
      <c r="AZ47" s="856"/>
      <c r="BA47" s="856"/>
      <c r="BB47" s="856"/>
      <c r="BC47" s="856"/>
      <c r="BD47" s="856"/>
      <c r="BE47" s="856"/>
      <c r="BF47" s="856"/>
      <c r="BG47" s="856"/>
      <c r="BH47" s="856"/>
      <c r="BI47" s="856"/>
      <c r="BJ47" s="856"/>
      <c r="BK47" s="856"/>
      <c r="BL47" s="856"/>
      <c r="BM47" s="856"/>
      <c r="BN47" s="856"/>
      <c r="BO47" s="856"/>
      <c r="BP47" s="856"/>
      <c r="BQ47" s="856"/>
    </row>
    <row r="48" spans="1:69" ht="15">
      <c r="A48" s="873" t="s">
        <v>820</v>
      </c>
      <c r="B48" s="878"/>
      <c r="C48" s="719" t="s">
        <v>821</v>
      </c>
      <c r="D48" s="719"/>
      <c r="E48" s="719"/>
      <c r="F48" s="719"/>
      <c r="G48" s="719"/>
      <c r="H48" s="736" t="s">
        <v>822</v>
      </c>
      <c r="I48" s="736"/>
      <c r="J48" s="738">
        <f>IF(J47=0,0,J47/J20)</f>
        <v>3.6691117963540541E-2</v>
      </c>
      <c r="K48" s="738"/>
      <c r="L48" s="870">
        <f>J48</f>
        <v>3.6691117963540541E-2</v>
      </c>
      <c r="Q48" s="749"/>
      <c r="R48" s="878"/>
      <c r="S48" s="859"/>
      <c r="T48" s="859"/>
      <c r="U48" s="861"/>
      <c r="V48" s="859"/>
      <c r="W48" s="856"/>
      <c r="X48" s="856"/>
      <c r="Y48" s="856"/>
      <c r="Z48" s="856"/>
      <c r="AA48" s="856"/>
      <c r="AB48" s="856"/>
      <c r="AC48" s="856"/>
      <c r="AD48" s="856"/>
      <c r="AE48" s="856"/>
      <c r="AF48" s="856"/>
      <c r="AG48" s="856"/>
      <c r="AH48" s="856"/>
      <c r="AI48" s="856"/>
      <c r="AJ48" s="856"/>
      <c r="AK48" s="856"/>
      <c r="AL48" s="856"/>
      <c r="AM48" s="856"/>
      <c r="AN48" s="856"/>
      <c r="AO48" s="856"/>
      <c r="AP48" s="856"/>
      <c r="AQ48" s="856"/>
      <c r="AR48" s="856"/>
      <c r="AS48" s="856"/>
      <c r="AT48" s="856"/>
      <c r="AU48" s="856"/>
      <c r="AV48" s="856"/>
      <c r="AW48" s="856"/>
      <c r="AX48" s="856"/>
      <c r="AY48" s="856"/>
      <c r="AZ48" s="856"/>
      <c r="BA48" s="856"/>
      <c r="BB48" s="856"/>
      <c r="BC48" s="856"/>
      <c r="BD48" s="856"/>
      <c r="BE48" s="856"/>
      <c r="BF48" s="856"/>
      <c r="BG48" s="856"/>
      <c r="BH48" s="856"/>
      <c r="BI48" s="856"/>
      <c r="BJ48" s="856"/>
      <c r="BK48" s="856"/>
      <c r="BL48" s="856"/>
      <c r="BM48" s="856"/>
      <c r="BN48" s="856"/>
      <c r="BO48" s="856"/>
      <c r="BP48" s="856"/>
      <c r="BQ48" s="856"/>
    </row>
    <row r="49" spans="1:69" ht="15">
      <c r="A49" s="873"/>
      <c r="C49" s="719"/>
      <c r="D49" s="719"/>
      <c r="E49" s="719"/>
      <c r="F49" s="719"/>
      <c r="G49" s="719"/>
      <c r="H49" s="736"/>
      <c r="I49" s="736"/>
      <c r="J49" s="719"/>
      <c r="K49" s="719"/>
      <c r="L49" s="719"/>
      <c r="Q49" s="719"/>
      <c r="S49" s="854"/>
      <c r="T49" s="859"/>
      <c r="U49" s="854"/>
      <c r="V49" s="860"/>
      <c r="W49" s="856"/>
      <c r="X49" s="856"/>
      <c r="Y49" s="856"/>
      <c r="Z49" s="856"/>
      <c r="AA49" s="856"/>
      <c r="AB49" s="856"/>
      <c r="AC49" s="856"/>
      <c r="AD49" s="856"/>
      <c r="AE49" s="856"/>
      <c r="AF49" s="856"/>
      <c r="AG49" s="856"/>
      <c r="AH49" s="856"/>
      <c r="AI49" s="856"/>
      <c r="AJ49" s="856"/>
      <c r="AK49" s="856"/>
      <c r="AL49" s="856"/>
      <c r="AM49" s="856"/>
      <c r="AN49" s="856"/>
      <c r="AO49" s="856"/>
      <c r="AP49" s="856"/>
      <c r="AQ49" s="856"/>
      <c r="AR49" s="856"/>
      <c r="AS49" s="856"/>
      <c r="AT49" s="856"/>
      <c r="AU49" s="856"/>
      <c r="AV49" s="856"/>
      <c r="AW49" s="856"/>
      <c r="AX49" s="856"/>
      <c r="AY49" s="856"/>
      <c r="AZ49" s="856"/>
      <c r="BA49" s="856"/>
      <c r="BB49" s="856"/>
      <c r="BC49" s="856"/>
      <c r="BD49" s="856"/>
      <c r="BE49" s="856"/>
      <c r="BF49" s="856"/>
      <c r="BG49" s="856"/>
      <c r="BH49" s="856"/>
      <c r="BI49" s="856"/>
      <c r="BJ49" s="856"/>
      <c r="BK49" s="856"/>
      <c r="BL49" s="856"/>
      <c r="BM49" s="856"/>
      <c r="BN49" s="856"/>
      <c r="BO49" s="856"/>
      <c r="BP49" s="856"/>
      <c r="BQ49" s="856"/>
    </row>
    <row r="50" spans="1:69" ht="15">
      <c r="A50" s="873"/>
      <c r="C50" s="728" t="s">
        <v>590</v>
      </c>
      <c r="D50" s="728"/>
      <c r="E50" s="728"/>
      <c r="F50" s="728"/>
      <c r="G50" s="728"/>
      <c r="H50" s="750"/>
      <c r="I50" s="750"/>
      <c r="Q50" s="719"/>
      <c r="S50" s="859"/>
      <c r="T50" s="859"/>
      <c r="U50" s="859"/>
      <c r="V50" s="860"/>
      <c r="W50" s="856"/>
      <c r="X50" s="856"/>
      <c r="Y50" s="856"/>
      <c r="Z50" s="856"/>
      <c r="AA50" s="856"/>
      <c r="AB50" s="856"/>
      <c r="AC50" s="856"/>
      <c r="AD50" s="856"/>
      <c r="AE50" s="856"/>
      <c r="AF50" s="856"/>
      <c r="AG50" s="856"/>
      <c r="AH50" s="856"/>
      <c r="AI50" s="856"/>
      <c r="AJ50" s="856"/>
      <c r="AK50" s="856"/>
      <c r="AL50" s="856"/>
      <c r="AM50" s="856"/>
      <c r="AN50" s="856"/>
      <c r="AO50" s="856"/>
      <c r="AP50" s="856"/>
      <c r="AQ50" s="856"/>
      <c r="AR50" s="856"/>
      <c r="AS50" s="856"/>
      <c r="AT50" s="856"/>
      <c r="AU50" s="856"/>
      <c r="AV50" s="856"/>
      <c r="AW50" s="856"/>
      <c r="AX50" s="856"/>
      <c r="AY50" s="856"/>
      <c r="AZ50" s="856"/>
      <c r="BA50" s="856"/>
      <c r="BB50" s="856"/>
      <c r="BC50" s="856"/>
      <c r="BD50" s="856"/>
      <c r="BE50" s="856"/>
      <c r="BF50" s="856"/>
      <c r="BG50" s="856"/>
      <c r="BH50" s="856"/>
      <c r="BI50" s="856"/>
      <c r="BJ50" s="856"/>
      <c r="BK50" s="856"/>
      <c r="BL50" s="856"/>
      <c r="BM50" s="856"/>
      <c r="BN50" s="856"/>
      <c r="BO50" s="856"/>
      <c r="BP50" s="856"/>
      <c r="BQ50" s="856"/>
    </row>
    <row r="51" spans="1:69" ht="15">
      <c r="A51" s="873" t="s">
        <v>823</v>
      </c>
      <c r="C51" s="728" t="s">
        <v>824</v>
      </c>
      <c r="D51" s="728"/>
      <c r="E51" s="728"/>
      <c r="F51" s="728"/>
      <c r="G51" s="728"/>
      <c r="H51" s="736" t="s">
        <v>825</v>
      </c>
      <c r="I51" s="736"/>
      <c r="J51" s="865">
        <f>'Attachment O Rev 2'!I200</f>
        <v>221202521.56809095</v>
      </c>
      <c r="K51" s="719"/>
      <c r="L51" s="719"/>
      <c r="Q51" s="719"/>
      <c r="S51" s="859"/>
      <c r="T51" s="859"/>
      <c r="U51" s="859"/>
      <c r="V51" s="860"/>
      <c r="W51" s="856"/>
      <c r="X51" s="856"/>
      <c r="Y51" s="856"/>
      <c r="Z51" s="856"/>
      <c r="AA51" s="856"/>
      <c r="AB51" s="856"/>
      <c r="AC51" s="856"/>
      <c r="AD51" s="856"/>
      <c r="AE51" s="856"/>
      <c r="AF51" s="856"/>
      <c r="AG51" s="856"/>
      <c r="AH51" s="856"/>
      <c r="AI51" s="856"/>
      <c r="AJ51" s="856"/>
      <c r="AK51" s="856"/>
      <c r="AL51" s="856"/>
      <c r="AM51" s="856"/>
      <c r="AN51" s="856"/>
      <c r="AO51" s="856"/>
      <c r="AP51" s="856"/>
      <c r="AQ51" s="856"/>
      <c r="AR51" s="856"/>
      <c r="AS51" s="856"/>
      <c r="AT51" s="856"/>
      <c r="AU51" s="856"/>
      <c r="AV51" s="856"/>
      <c r="AW51" s="856"/>
      <c r="AX51" s="856"/>
      <c r="AY51" s="856"/>
      <c r="AZ51" s="856"/>
      <c r="BA51" s="856"/>
      <c r="BB51" s="856"/>
      <c r="BC51" s="856"/>
      <c r="BD51" s="856"/>
      <c r="BE51" s="856"/>
      <c r="BF51" s="856"/>
      <c r="BG51" s="856"/>
      <c r="BH51" s="856"/>
      <c r="BI51" s="856"/>
      <c r="BJ51" s="856"/>
      <c r="BK51" s="856"/>
      <c r="BL51" s="856"/>
      <c r="BM51" s="856"/>
      <c r="BN51" s="856"/>
      <c r="BO51" s="856"/>
      <c r="BP51" s="856"/>
      <c r="BQ51" s="856"/>
    </row>
    <row r="52" spans="1:69" ht="15">
      <c r="A52" s="873" t="s">
        <v>826</v>
      </c>
      <c r="B52" s="878"/>
      <c r="C52" s="719" t="s">
        <v>827</v>
      </c>
      <c r="D52" s="719"/>
      <c r="E52" s="719"/>
      <c r="F52" s="719"/>
      <c r="G52" s="719"/>
      <c r="H52" s="736" t="s">
        <v>828</v>
      </c>
      <c r="I52" s="736"/>
      <c r="J52" s="739">
        <f>IF(J51=0,0,J51/J20)</f>
        <v>7.2649725863350903E-2</v>
      </c>
      <c r="K52" s="739"/>
      <c r="L52" s="870">
        <f>J52</f>
        <v>7.2649725863350903E-2</v>
      </c>
      <c r="Q52" s="719"/>
      <c r="T52" s="879"/>
      <c r="U52" s="861"/>
      <c r="V52" s="859"/>
      <c r="W52" s="856"/>
      <c r="X52" s="856"/>
      <c r="Y52" s="856"/>
      <c r="Z52" s="856"/>
      <c r="AA52" s="856"/>
      <c r="AB52" s="856"/>
      <c r="AC52" s="856"/>
      <c r="AD52" s="856"/>
      <c r="AE52" s="856"/>
      <c r="AF52" s="856"/>
      <c r="AG52" s="856"/>
      <c r="AH52" s="856"/>
      <c r="AI52" s="856"/>
      <c r="AJ52" s="856"/>
      <c r="AK52" s="856"/>
      <c r="AL52" s="856"/>
      <c r="AM52" s="856"/>
      <c r="AN52" s="856"/>
      <c r="AO52" s="856"/>
      <c r="AP52" s="856"/>
      <c r="AQ52" s="856"/>
      <c r="AR52" s="856"/>
      <c r="AS52" s="856"/>
      <c r="AT52" s="856"/>
      <c r="AU52" s="856"/>
      <c r="AV52" s="856"/>
      <c r="AW52" s="856"/>
      <c r="AX52" s="856"/>
      <c r="AY52" s="856"/>
      <c r="AZ52" s="856"/>
      <c r="BA52" s="856"/>
      <c r="BB52" s="856"/>
      <c r="BC52" s="856"/>
      <c r="BD52" s="856"/>
      <c r="BE52" s="856"/>
      <c r="BF52" s="856"/>
      <c r="BG52" s="856"/>
      <c r="BH52" s="856"/>
      <c r="BI52" s="856"/>
      <c r="BJ52" s="856"/>
      <c r="BK52" s="856"/>
      <c r="BL52" s="856"/>
      <c r="BM52" s="856"/>
      <c r="BN52" s="856"/>
      <c r="BO52" s="856"/>
      <c r="BP52" s="856"/>
      <c r="BQ52" s="856"/>
    </row>
    <row r="53" spans="1:69" ht="15">
      <c r="A53" s="873"/>
      <c r="C53" s="728"/>
      <c r="D53" s="728"/>
      <c r="E53" s="728"/>
      <c r="F53" s="728"/>
      <c r="G53" s="728"/>
      <c r="H53" s="736"/>
      <c r="I53" s="736"/>
      <c r="J53" s="719"/>
      <c r="K53" s="719"/>
      <c r="L53" s="719"/>
      <c r="Q53" s="719"/>
      <c r="R53" s="750"/>
      <c r="S53" s="859"/>
      <c r="T53" s="859"/>
      <c r="U53" s="859"/>
      <c r="V53" s="860"/>
      <c r="W53" s="856"/>
      <c r="X53" s="856"/>
      <c r="Y53" s="856"/>
      <c r="Z53" s="856"/>
      <c r="AA53" s="856"/>
      <c r="AB53" s="856"/>
      <c r="AC53" s="856"/>
      <c r="AD53" s="856"/>
      <c r="AE53" s="856"/>
      <c r="AF53" s="856"/>
      <c r="AG53" s="856"/>
      <c r="AH53" s="856"/>
      <c r="AI53" s="856"/>
      <c r="AJ53" s="856"/>
      <c r="AK53" s="856"/>
      <c r="AL53" s="856"/>
      <c r="AM53" s="856"/>
      <c r="AN53" s="856"/>
      <c r="AO53" s="856"/>
      <c r="AP53" s="856"/>
      <c r="AQ53" s="856"/>
      <c r="AR53" s="856"/>
      <c r="AS53" s="856"/>
      <c r="AT53" s="856"/>
      <c r="AU53" s="856"/>
      <c r="AV53" s="856"/>
      <c r="AW53" s="856"/>
      <c r="AX53" s="856"/>
      <c r="AY53" s="856"/>
      <c r="AZ53" s="856"/>
      <c r="BA53" s="856"/>
      <c r="BB53" s="856"/>
      <c r="BC53" s="856"/>
      <c r="BD53" s="856"/>
      <c r="BE53" s="856"/>
      <c r="BF53" s="856"/>
      <c r="BG53" s="856"/>
      <c r="BH53" s="856"/>
      <c r="BI53" s="856"/>
      <c r="BJ53" s="856"/>
      <c r="BK53" s="856"/>
      <c r="BL53" s="856"/>
      <c r="BM53" s="856"/>
      <c r="BN53" s="856"/>
      <c r="BO53" s="856"/>
      <c r="BP53" s="856"/>
      <c r="BQ53" s="856"/>
    </row>
    <row r="54" spans="1:69" ht="15.75">
      <c r="A54" s="875" t="s">
        <v>829</v>
      </c>
      <c r="B54" s="876"/>
      <c r="C54" s="733" t="s">
        <v>830</v>
      </c>
      <c r="D54" s="733"/>
      <c r="E54" s="733"/>
      <c r="F54" s="733"/>
      <c r="G54" s="733"/>
      <c r="H54" s="729" t="s">
        <v>831</v>
      </c>
      <c r="I54" s="729"/>
      <c r="J54" s="741"/>
      <c r="K54" s="741"/>
      <c r="L54" s="746">
        <f>L48+L52</f>
        <v>0.10934084382689144</v>
      </c>
      <c r="Q54" s="719"/>
      <c r="R54" s="750"/>
      <c r="S54" s="859"/>
      <c r="T54" s="859"/>
      <c r="U54" s="859"/>
      <c r="V54" s="860"/>
      <c r="W54" s="856"/>
      <c r="X54" s="856"/>
      <c r="Y54" s="856"/>
      <c r="Z54" s="856"/>
      <c r="AA54" s="856"/>
      <c r="AB54" s="856"/>
      <c r="AC54" s="856"/>
      <c r="AD54" s="856"/>
      <c r="AE54" s="856"/>
      <c r="AF54" s="856"/>
      <c r="AG54" s="856"/>
      <c r="AH54" s="856"/>
      <c r="AI54" s="856"/>
      <c r="AJ54" s="856"/>
      <c r="AK54" s="856"/>
      <c r="AL54" s="856"/>
      <c r="AM54" s="856"/>
      <c r="AN54" s="856"/>
      <c r="AO54" s="856"/>
      <c r="AP54" s="856"/>
      <c r="AQ54" s="856"/>
      <c r="AR54" s="856"/>
      <c r="AS54" s="856"/>
      <c r="AT54" s="856"/>
      <c r="AU54" s="856"/>
      <c r="AV54" s="856"/>
      <c r="AW54" s="856"/>
      <c r="AX54" s="856"/>
      <c r="AY54" s="856"/>
      <c r="AZ54" s="856"/>
      <c r="BA54" s="856"/>
      <c r="BB54" s="856"/>
      <c r="BC54" s="856"/>
      <c r="BD54" s="856"/>
      <c r="BE54" s="856"/>
      <c r="BF54" s="856"/>
      <c r="BG54" s="856"/>
      <c r="BH54" s="856"/>
      <c r="BI54" s="856"/>
      <c r="BJ54" s="856"/>
      <c r="BK54" s="856"/>
      <c r="BL54" s="856"/>
      <c r="BM54" s="856"/>
      <c r="BN54" s="856"/>
      <c r="BO54" s="856"/>
      <c r="BP54" s="856"/>
      <c r="BQ54" s="856"/>
    </row>
    <row r="55" spans="1:69" ht="15">
      <c r="Q55" s="752"/>
      <c r="R55" s="752"/>
      <c r="S55" s="859"/>
      <c r="T55" s="859"/>
      <c r="U55" s="859"/>
      <c r="V55" s="860"/>
      <c r="W55" s="856"/>
      <c r="X55" s="856"/>
      <c r="Y55" s="856"/>
      <c r="Z55" s="856"/>
      <c r="AA55" s="856"/>
      <c r="AB55" s="856"/>
      <c r="AC55" s="856"/>
      <c r="AD55" s="856"/>
      <c r="AE55" s="856"/>
      <c r="AF55" s="856"/>
      <c r="AG55" s="856"/>
      <c r="AH55" s="856"/>
      <c r="AI55" s="856"/>
      <c r="AJ55" s="856"/>
      <c r="AK55" s="856"/>
      <c r="AL55" s="856"/>
      <c r="AM55" s="856"/>
      <c r="AN55" s="856"/>
      <c r="AO55" s="856"/>
      <c r="AP55" s="856"/>
      <c r="AQ55" s="856"/>
      <c r="AR55" s="856"/>
      <c r="AS55" s="856"/>
      <c r="AT55" s="856"/>
      <c r="AU55" s="856"/>
      <c r="AV55" s="856"/>
      <c r="AW55" s="856"/>
      <c r="AX55" s="856"/>
      <c r="AY55" s="856"/>
      <c r="AZ55" s="856"/>
      <c r="BA55" s="856"/>
      <c r="BB55" s="856"/>
      <c r="BC55" s="856"/>
      <c r="BD55" s="856"/>
      <c r="BE55" s="856"/>
      <c r="BF55" s="856"/>
      <c r="BG55" s="856"/>
      <c r="BH55" s="856"/>
      <c r="BI55" s="856"/>
      <c r="BJ55" s="856"/>
      <c r="BK55" s="856"/>
      <c r="BL55" s="856"/>
      <c r="BM55" s="856"/>
      <c r="BN55" s="856"/>
      <c r="BO55" s="856"/>
      <c r="BP55" s="856"/>
      <c r="BQ55" s="856"/>
    </row>
    <row r="56" spans="1:69" ht="15">
      <c r="A56" s="858"/>
      <c r="C56" s="711"/>
      <c r="D56" s="711"/>
      <c r="E56" s="711"/>
      <c r="F56" s="711"/>
      <c r="G56" s="711"/>
      <c r="H56" s="711"/>
      <c r="I56" s="711"/>
      <c r="J56" s="719"/>
      <c r="K56" s="719"/>
      <c r="L56" s="711"/>
      <c r="M56" s="711"/>
      <c r="N56" s="711"/>
      <c r="O56" s="711"/>
      <c r="Q56" s="719"/>
      <c r="R56" s="719"/>
      <c r="S56" s="859"/>
      <c r="T56" s="859"/>
      <c r="U56" s="861"/>
      <c r="V56" s="859" t="s">
        <v>5</v>
      </c>
      <c r="W56" s="856"/>
      <c r="X56" s="856"/>
      <c r="Y56" s="856"/>
      <c r="Z56" s="856"/>
      <c r="AA56" s="856"/>
      <c r="AB56" s="856"/>
      <c r="AC56" s="856"/>
      <c r="AD56" s="856"/>
      <c r="AE56" s="856"/>
      <c r="AF56" s="856"/>
      <c r="AG56" s="856"/>
      <c r="AH56" s="856"/>
      <c r="AI56" s="856"/>
      <c r="AJ56" s="856"/>
      <c r="AK56" s="856"/>
      <c r="AL56" s="856"/>
      <c r="AM56" s="856"/>
      <c r="AN56" s="856"/>
      <c r="AO56" s="856"/>
      <c r="AP56" s="856"/>
      <c r="AQ56" s="856"/>
      <c r="AR56" s="856"/>
      <c r="AS56" s="856"/>
      <c r="AT56" s="856"/>
      <c r="AU56" s="856"/>
      <c r="AV56" s="856"/>
      <c r="AW56" s="856"/>
      <c r="AX56" s="856"/>
      <c r="AY56" s="856"/>
      <c r="AZ56" s="856"/>
      <c r="BA56" s="856"/>
      <c r="BB56" s="856"/>
      <c r="BC56" s="856"/>
      <c r="BD56" s="856"/>
      <c r="BE56" s="856"/>
      <c r="BF56" s="856"/>
      <c r="BG56" s="856"/>
      <c r="BH56" s="856"/>
      <c r="BI56" s="856"/>
      <c r="BJ56" s="856"/>
      <c r="BK56" s="856"/>
      <c r="BL56" s="856"/>
      <c r="BM56" s="856"/>
      <c r="BN56" s="856"/>
      <c r="BO56" s="856"/>
      <c r="BP56" s="856"/>
      <c r="BQ56" s="856"/>
    </row>
    <row r="57" spans="1:69">
      <c r="R57" s="853"/>
    </row>
    <row r="58" spans="1:69">
      <c r="R58" s="853"/>
    </row>
    <row r="60" spans="1:69" ht="15">
      <c r="A60" s="858"/>
      <c r="C60" s="711"/>
      <c r="D60" s="711"/>
      <c r="E60" s="711"/>
      <c r="F60" s="711"/>
      <c r="G60" s="711"/>
      <c r="H60" s="711"/>
      <c r="I60" s="711"/>
      <c r="J60" s="719"/>
      <c r="K60" s="719"/>
      <c r="L60" s="711"/>
      <c r="M60" s="711"/>
      <c r="N60" s="711"/>
      <c r="O60" s="711"/>
      <c r="Q60" s="719"/>
      <c r="S60" s="859"/>
      <c r="T60" s="854"/>
      <c r="U60" s="859"/>
      <c r="V60" s="860"/>
      <c r="W60" s="856"/>
      <c r="X60" s="856"/>
      <c r="Y60" s="856"/>
      <c r="Z60" s="856"/>
      <c r="AA60" s="856"/>
      <c r="AB60" s="856"/>
      <c r="AC60" s="856"/>
      <c r="AD60" s="856"/>
      <c r="AE60" s="856"/>
      <c r="AF60" s="856"/>
      <c r="AG60" s="856"/>
      <c r="AH60" s="856"/>
      <c r="AI60" s="856"/>
      <c r="AJ60" s="856"/>
      <c r="AK60" s="856"/>
      <c r="AL60" s="856"/>
      <c r="AM60" s="856"/>
      <c r="AN60" s="856"/>
      <c r="AO60" s="856"/>
      <c r="AP60" s="856"/>
      <c r="AQ60" s="856"/>
      <c r="AR60" s="856"/>
      <c r="AS60" s="856"/>
      <c r="AT60" s="856"/>
      <c r="AU60" s="856"/>
      <c r="AV60" s="856"/>
      <c r="AW60" s="856"/>
      <c r="AX60" s="856"/>
      <c r="AY60" s="856"/>
      <c r="AZ60" s="856"/>
      <c r="BA60" s="856"/>
      <c r="BB60" s="856"/>
      <c r="BC60" s="856"/>
      <c r="BD60" s="856"/>
      <c r="BE60" s="856"/>
      <c r="BF60" s="856"/>
      <c r="BG60" s="856"/>
      <c r="BH60" s="856"/>
      <c r="BI60" s="856"/>
      <c r="BJ60" s="856"/>
      <c r="BK60" s="856"/>
      <c r="BL60" s="856"/>
      <c r="BM60" s="856"/>
      <c r="BN60" s="856"/>
      <c r="BO60" s="856"/>
      <c r="BP60" s="856"/>
      <c r="BQ60" s="856"/>
    </row>
    <row r="61" spans="1:69" ht="15">
      <c r="A61" s="858"/>
      <c r="C61" s="728" t="str">
        <f>C5</f>
        <v>Formula Rate calculation</v>
      </c>
      <c r="D61" s="728"/>
      <c r="E61" s="728"/>
      <c r="F61" s="728"/>
      <c r="G61" s="728"/>
      <c r="H61" s="711"/>
      <c r="I61" s="711"/>
      <c r="J61" s="711" t="str">
        <f>J5</f>
        <v xml:space="preserve">     Rate Formula Template</v>
      </c>
      <c r="K61" s="711"/>
      <c r="L61" s="711"/>
      <c r="M61" s="711"/>
      <c r="N61" s="711"/>
      <c r="O61" s="711"/>
      <c r="Q61" s="719"/>
      <c r="R61" s="969" t="str">
        <f>R4</f>
        <v>Attachment MM - Generic Company</v>
      </c>
      <c r="S61" s="859"/>
      <c r="T61" s="854"/>
      <c r="U61" s="859"/>
      <c r="V61" s="860"/>
      <c r="W61" s="856"/>
      <c r="X61" s="856"/>
      <c r="Y61" s="856"/>
      <c r="Z61" s="856"/>
      <c r="AA61" s="856"/>
      <c r="AB61" s="856"/>
      <c r="AC61" s="856"/>
      <c r="AD61" s="856"/>
      <c r="AE61" s="856"/>
      <c r="AF61" s="856"/>
      <c r="AG61" s="856"/>
      <c r="AH61" s="856"/>
      <c r="AI61" s="856"/>
      <c r="AJ61" s="856"/>
      <c r="AK61" s="856"/>
      <c r="AL61" s="856"/>
      <c r="AM61" s="856"/>
      <c r="AN61" s="856"/>
      <c r="AO61" s="856"/>
      <c r="AP61" s="856"/>
      <c r="AQ61" s="856"/>
      <c r="AR61" s="856"/>
      <c r="AS61" s="856"/>
      <c r="AT61" s="856"/>
      <c r="AU61" s="856"/>
      <c r="AV61" s="856"/>
      <c r="AW61" s="856"/>
      <c r="AX61" s="856"/>
      <c r="AY61" s="856"/>
      <c r="AZ61" s="856"/>
      <c r="BA61" s="856"/>
      <c r="BB61" s="856"/>
      <c r="BC61" s="856"/>
      <c r="BD61" s="856"/>
      <c r="BE61" s="856"/>
      <c r="BF61" s="856"/>
      <c r="BG61" s="856"/>
      <c r="BH61" s="856"/>
      <c r="BI61" s="856"/>
      <c r="BJ61" s="856"/>
      <c r="BK61" s="856"/>
      <c r="BL61" s="856"/>
      <c r="BM61" s="856"/>
      <c r="BN61" s="856"/>
      <c r="BO61" s="856"/>
      <c r="BP61" s="856"/>
      <c r="BQ61" s="856"/>
    </row>
    <row r="62" spans="1:69" ht="15">
      <c r="A62" s="858"/>
      <c r="C62" s="728"/>
      <c r="D62" s="728"/>
      <c r="E62" s="728"/>
      <c r="F62" s="728"/>
      <c r="G62" s="728"/>
      <c r="H62" s="711"/>
      <c r="I62" s="711"/>
      <c r="J62" s="711" t="str">
        <f>J6</f>
        <v xml:space="preserve"> Utilizing Attachment O Data</v>
      </c>
      <c r="K62" s="711"/>
      <c r="L62" s="711"/>
      <c r="M62" s="711"/>
      <c r="N62" s="711"/>
      <c r="O62" s="711"/>
      <c r="P62" s="719"/>
      <c r="Q62" s="719"/>
      <c r="R62" s="712" t="str">
        <f>R5</f>
        <v>For  the 12 months ended 12/31/2015</v>
      </c>
      <c r="S62" s="859"/>
      <c r="T62" s="854"/>
      <c r="U62" s="859"/>
      <c r="V62" s="860"/>
      <c r="W62" s="856"/>
      <c r="X62" s="856"/>
      <c r="Y62" s="856"/>
      <c r="Z62" s="856"/>
      <c r="AA62" s="856"/>
      <c r="AB62" s="856"/>
      <c r="AC62" s="856"/>
      <c r="AD62" s="856"/>
      <c r="AE62" s="856"/>
      <c r="AF62" s="856"/>
      <c r="AG62" s="856"/>
      <c r="AH62" s="856"/>
      <c r="AI62" s="856"/>
      <c r="AJ62" s="856"/>
      <c r="AK62" s="856"/>
      <c r="AL62" s="856"/>
      <c r="AM62" s="856"/>
      <c r="AN62" s="856"/>
      <c r="AO62" s="856"/>
      <c r="AP62" s="856"/>
      <c r="AQ62" s="856"/>
      <c r="AR62" s="856"/>
      <c r="AS62" s="856"/>
      <c r="AT62" s="856"/>
      <c r="AU62" s="856"/>
      <c r="AV62" s="856"/>
      <c r="AW62" s="856"/>
      <c r="AX62" s="856"/>
      <c r="AY62" s="856"/>
      <c r="AZ62" s="856"/>
      <c r="BA62" s="856"/>
      <c r="BB62" s="856"/>
      <c r="BC62" s="856"/>
      <c r="BD62" s="856"/>
      <c r="BE62" s="856"/>
      <c r="BF62" s="856"/>
      <c r="BG62" s="856"/>
      <c r="BH62" s="856"/>
      <c r="BI62" s="856"/>
      <c r="BJ62" s="856"/>
      <c r="BK62" s="856"/>
      <c r="BL62" s="856"/>
      <c r="BM62" s="856"/>
      <c r="BN62" s="856"/>
      <c r="BO62" s="856"/>
      <c r="BP62" s="856"/>
      <c r="BQ62" s="856"/>
    </row>
    <row r="63" spans="1:69" ht="14.25" customHeight="1">
      <c r="A63" s="858"/>
      <c r="C63" s="711"/>
      <c r="D63" s="711"/>
      <c r="E63" s="711"/>
      <c r="F63" s="711"/>
      <c r="G63" s="711"/>
      <c r="H63" s="711"/>
      <c r="I63" s="711"/>
      <c r="J63" s="711"/>
      <c r="K63" s="711"/>
      <c r="L63" s="711"/>
      <c r="M63" s="711"/>
      <c r="N63" s="711"/>
      <c r="O63" s="711"/>
      <c r="Q63" s="719"/>
      <c r="R63" s="711" t="s">
        <v>832</v>
      </c>
      <c r="S63" s="859"/>
      <c r="T63" s="854"/>
      <c r="U63" s="859"/>
      <c r="V63" s="860"/>
      <c r="W63" s="856"/>
      <c r="X63" s="856"/>
      <c r="Y63" s="856"/>
      <c r="Z63" s="856"/>
      <c r="AA63" s="856"/>
      <c r="AB63" s="856"/>
      <c r="AC63" s="856"/>
      <c r="AD63" s="856"/>
      <c r="AE63" s="856"/>
      <c r="AF63" s="856"/>
      <c r="AG63" s="856"/>
      <c r="AH63" s="856"/>
      <c r="AI63" s="856"/>
      <c r="AJ63" s="856"/>
      <c r="AK63" s="856"/>
      <c r="AL63" s="856"/>
      <c r="AM63" s="856"/>
      <c r="AN63" s="856"/>
      <c r="AO63" s="856"/>
      <c r="AP63" s="856"/>
      <c r="AQ63" s="856"/>
      <c r="AR63" s="856"/>
      <c r="AS63" s="856"/>
      <c r="AT63" s="856"/>
      <c r="AU63" s="856"/>
      <c r="AV63" s="856"/>
      <c r="AW63" s="856"/>
      <c r="AX63" s="856"/>
      <c r="AY63" s="856"/>
      <c r="AZ63" s="856"/>
      <c r="BA63" s="856"/>
      <c r="BB63" s="856"/>
      <c r="BC63" s="856"/>
      <c r="BD63" s="856"/>
      <c r="BE63" s="856"/>
      <c r="BF63" s="856"/>
      <c r="BG63" s="856"/>
      <c r="BH63" s="856"/>
      <c r="BI63" s="856"/>
      <c r="BJ63" s="856"/>
      <c r="BK63" s="856"/>
      <c r="BL63" s="856"/>
      <c r="BM63" s="856"/>
      <c r="BN63" s="856"/>
      <c r="BO63" s="856"/>
      <c r="BP63" s="856"/>
      <c r="BQ63" s="856"/>
    </row>
    <row r="64" spans="1:69" ht="15">
      <c r="A64" s="858"/>
      <c r="H64" s="711"/>
      <c r="I64" s="711"/>
      <c r="J64" s="711" t="str">
        <f>J8</f>
        <v>Northern States Power Companies</v>
      </c>
      <c r="K64" s="711"/>
      <c r="L64" s="711"/>
      <c r="M64" s="711"/>
      <c r="N64" s="711"/>
      <c r="O64" s="711"/>
      <c r="P64" s="711"/>
      <c r="Q64" s="719"/>
      <c r="R64" s="719"/>
      <c r="S64" s="859"/>
      <c r="T64" s="854"/>
      <c r="U64" s="859"/>
      <c r="V64" s="860"/>
      <c r="W64" s="856"/>
      <c r="X64" s="856"/>
      <c r="Y64" s="856"/>
      <c r="Z64" s="856"/>
      <c r="AA64" s="856"/>
      <c r="AB64" s="856"/>
      <c r="AC64" s="856"/>
      <c r="AD64" s="856"/>
      <c r="AE64" s="856"/>
      <c r="AF64" s="856"/>
      <c r="AG64" s="856"/>
      <c r="AH64" s="856"/>
      <c r="AI64" s="856"/>
      <c r="AJ64" s="856"/>
      <c r="AK64" s="856"/>
      <c r="AL64" s="856"/>
      <c r="AM64" s="856"/>
      <c r="AN64" s="856"/>
      <c r="AO64" s="856"/>
      <c r="AP64" s="856"/>
      <c r="AQ64" s="856"/>
      <c r="AR64" s="856"/>
      <c r="AS64" s="856"/>
      <c r="AT64" s="856"/>
      <c r="AU64" s="856"/>
      <c r="AV64" s="856"/>
      <c r="AW64" s="856"/>
      <c r="AX64" s="856"/>
      <c r="AY64" s="856"/>
      <c r="AZ64" s="856"/>
      <c r="BA64" s="856"/>
      <c r="BB64" s="856"/>
      <c r="BC64" s="856"/>
      <c r="BD64" s="856"/>
      <c r="BE64" s="856"/>
      <c r="BF64" s="856"/>
      <c r="BG64" s="856"/>
      <c r="BH64" s="856"/>
      <c r="BI64" s="856"/>
      <c r="BJ64" s="856"/>
      <c r="BK64" s="856"/>
      <c r="BL64" s="856"/>
      <c r="BM64" s="856"/>
      <c r="BN64" s="856"/>
      <c r="BO64" s="856"/>
      <c r="BP64" s="856"/>
      <c r="BQ64" s="856"/>
    </row>
    <row r="65" spans="1:69" ht="15">
      <c r="A65" s="858"/>
      <c r="H65" s="728"/>
      <c r="I65" s="728"/>
      <c r="J65" s="728"/>
      <c r="K65" s="728"/>
      <c r="L65" s="728"/>
      <c r="M65" s="728"/>
      <c r="N65" s="728"/>
      <c r="O65" s="728"/>
      <c r="P65" s="728"/>
      <c r="Q65" s="728"/>
      <c r="R65" s="728"/>
      <c r="S65" s="859"/>
      <c r="T65" s="854"/>
      <c r="U65" s="859"/>
      <c r="V65" s="860"/>
      <c r="W65" s="856"/>
      <c r="X65" s="856"/>
      <c r="Y65" s="856"/>
      <c r="Z65" s="856"/>
      <c r="AA65" s="856"/>
      <c r="AB65" s="856"/>
      <c r="AC65" s="856"/>
      <c r="AD65" s="856"/>
      <c r="AE65" s="856"/>
      <c r="AF65" s="856"/>
      <c r="AG65" s="856"/>
      <c r="AH65" s="856"/>
      <c r="AI65" s="856"/>
      <c r="AJ65" s="856"/>
      <c r="AK65" s="856"/>
      <c r="AL65" s="856"/>
      <c r="AM65" s="856"/>
      <c r="AN65" s="856"/>
      <c r="AO65" s="856"/>
      <c r="AP65" s="856"/>
      <c r="AQ65" s="856"/>
      <c r="AR65" s="856"/>
      <c r="AS65" s="856"/>
      <c r="AT65" s="856"/>
      <c r="AU65" s="856"/>
      <c r="AV65" s="856"/>
      <c r="AW65" s="856"/>
      <c r="AX65" s="856"/>
      <c r="AY65" s="856"/>
      <c r="AZ65" s="856"/>
      <c r="BA65" s="856"/>
      <c r="BB65" s="856"/>
      <c r="BC65" s="856"/>
      <c r="BD65" s="856"/>
      <c r="BE65" s="856"/>
      <c r="BF65" s="856"/>
      <c r="BG65" s="856"/>
      <c r="BH65" s="856"/>
      <c r="BI65" s="856"/>
      <c r="BJ65" s="856"/>
      <c r="BK65" s="856"/>
      <c r="BL65" s="856"/>
      <c r="BM65" s="856"/>
      <c r="BN65" s="856"/>
      <c r="BO65" s="856"/>
      <c r="BP65" s="856"/>
      <c r="BQ65" s="856"/>
    </row>
    <row r="66" spans="1:69" ht="15.75">
      <c r="A66" s="858"/>
      <c r="C66" s="711"/>
      <c r="D66" s="711"/>
      <c r="E66" s="711"/>
      <c r="F66" s="711"/>
      <c r="G66" s="711"/>
      <c r="H66" s="733" t="s">
        <v>975</v>
      </c>
      <c r="I66" s="733"/>
      <c r="L66" s="716"/>
      <c r="M66" s="716"/>
      <c r="N66" s="716"/>
      <c r="O66" s="716"/>
      <c r="P66" s="716"/>
      <c r="Q66" s="719"/>
      <c r="R66" s="719"/>
      <c r="S66" s="859"/>
      <c r="T66" s="854"/>
      <c r="U66" s="859"/>
      <c r="V66" s="860"/>
      <c r="W66" s="856"/>
      <c r="X66" s="856"/>
      <c r="Y66" s="856"/>
      <c r="Z66" s="856"/>
      <c r="AA66" s="856"/>
      <c r="AB66" s="856"/>
      <c r="AC66" s="856"/>
      <c r="AD66" s="856"/>
      <c r="AE66" s="856"/>
      <c r="AF66" s="856"/>
      <c r="AG66" s="856"/>
      <c r="AH66" s="856"/>
      <c r="AI66" s="856"/>
      <c r="AJ66" s="856"/>
      <c r="AK66" s="856"/>
      <c r="AL66" s="856"/>
      <c r="AM66" s="856"/>
      <c r="AN66" s="856"/>
      <c r="AO66" s="856"/>
      <c r="AP66" s="856"/>
      <c r="AQ66" s="856"/>
      <c r="AR66" s="856"/>
      <c r="AS66" s="856"/>
      <c r="AT66" s="856"/>
      <c r="AU66" s="856"/>
      <c r="AV66" s="856"/>
      <c r="AW66" s="856"/>
      <c r="AX66" s="856"/>
      <c r="AY66" s="856"/>
      <c r="AZ66" s="856"/>
      <c r="BA66" s="856"/>
      <c r="BB66" s="856"/>
      <c r="BC66" s="856"/>
      <c r="BD66" s="856"/>
      <c r="BE66" s="856"/>
      <c r="BF66" s="856"/>
      <c r="BG66" s="856"/>
      <c r="BH66" s="856"/>
      <c r="BI66" s="856"/>
      <c r="BJ66" s="856"/>
      <c r="BK66" s="856"/>
      <c r="BL66" s="856"/>
      <c r="BM66" s="856"/>
      <c r="BN66" s="856"/>
      <c r="BO66" s="856"/>
      <c r="BP66" s="856"/>
      <c r="BQ66" s="856"/>
    </row>
    <row r="67" spans="1:69" ht="15.75">
      <c r="A67" s="858"/>
      <c r="C67" s="711"/>
      <c r="D67" s="711"/>
      <c r="E67" s="711"/>
      <c r="F67" s="711"/>
      <c r="G67" s="711"/>
      <c r="H67" s="733"/>
      <c r="I67" s="733"/>
      <c r="L67" s="716"/>
      <c r="M67" s="716"/>
      <c r="N67" s="716"/>
      <c r="O67" s="716"/>
      <c r="P67" s="716"/>
      <c r="Q67" s="719"/>
      <c r="R67" s="719"/>
      <c r="S67" s="859"/>
      <c r="T67" s="854"/>
      <c r="U67" s="859"/>
      <c r="V67" s="860"/>
      <c r="W67" s="856"/>
      <c r="X67" s="856"/>
      <c r="Y67" s="856"/>
      <c r="Z67" s="856"/>
      <c r="AA67" s="856"/>
      <c r="AB67" s="856"/>
      <c r="AC67" s="856"/>
      <c r="AD67" s="856"/>
      <c r="AE67" s="856"/>
      <c r="AF67" s="856"/>
      <c r="AG67" s="856"/>
      <c r="AH67" s="856"/>
      <c r="AI67" s="856"/>
      <c r="AJ67" s="856"/>
      <c r="AK67" s="856"/>
      <c r="AL67" s="856"/>
      <c r="AM67" s="856"/>
      <c r="AN67" s="856"/>
      <c r="AO67" s="856"/>
      <c r="AP67" s="856"/>
      <c r="AQ67" s="856"/>
      <c r="AR67" s="856"/>
      <c r="AS67" s="856"/>
      <c r="AT67" s="856"/>
      <c r="AU67" s="856"/>
      <c r="AV67" s="856"/>
      <c r="AW67" s="856"/>
      <c r="AX67" s="856"/>
      <c r="AY67" s="856"/>
      <c r="AZ67" s="856"/>
      <c r="BA67" s="856"/>
      <c r="BB67" s="856"/>
      <c r="BC67" s="856"/>
      <c r="BD67" s="856"/>
      <c r="BE67" s="856"/>
      <c r="BF67" s="856"/>
      <c r="BG67" s="856"/>
      <c r="BH67" s="856"/>
      <c r="BI67" s="856"/>
      <c r="BJ67" s="856"/>
      <c r="BK67" s="856"/>
      <c r="BL67" s="856"/>
      <c r="BM67" s="856"/>
      <c r="BN67" s="856"/>
      <c r="BO67" s="856"/>
      <c r="BP67" s="856"/>
      <c r="BQ67" s="856"/>
    </row>
    <row r="68" spans="1:69" ht="15.75">
      <c r="A68" s="880"/>
      <c r="C68" s="881" t="s">
        <v>459</v>
      </c>
      <c r="D68" s="881" t="s">
        <v>460</v>
      </c>
      <c r="E68" s="881" t="s">
        <v>461</v>
      </c>
      <c r="F68" s="881" t="s">
        <v>462</v>
      </c>
      <c r="G68" s="881" t="s">
        <v>463</v>
      </c>
      <c r="H68" s="881" t="s">
        <v>976</v>
      </c>
      <c r="I68" s="881" t="s">
        <v>977</v>
      </c>
      <c r="J68" s="881" t="s">
        <v>978</v>
      </c>
      <c r="K68" s="881" t="s">
        <v>979</v>
      </c>
      <c r="L68" s="881" t="s">
        <v>980</v>
      </c>
      <c r="M68" s="881" t="s">
        <v>981</v>
      </c>
      <c r="N68" s="881" t="s">
        <v>982</v>
      </c>
      <c r="O68" s="881" t="s">
        <v>983</v>
      </c>
      <c r="P68" s="881" t="s">
        <v>984</v>
      </c>
      <c r="Q68" s="881" t="s">
        <v>985</v>
      </c>
      <c r="R68" s="881" t="s">
        <v>986</v>
      </c>
      <c r="S68" s="859"/>
      <c r="T68" s="854"/>
      <c r="U68" s="859"/>
      <c r="V68" s="860"/>
      <c r="W68" s="856"/>
      <c r="X68" s="856"/>
      <c r="Y68" s="856"/>
      <c r="Z68" s="856"/>
      <c r="AA68" s="856"/>
      <c r="AB68" s="856"/>
      <c r="AC68" s="856"/>
      <c r="AD68" s="856"/>
      <c r="AE68" s="856"/>
      <c r="AF68" s="856"/>
      <c r="AG68" s="856"/>
      <c r="AH68" s="856"/>
      <c r="AI68" s="856"/>
      <c r="AJ68" s="856"/>
      <c r="AK68" s="856"/>
      <c r="AL68" s="856"/>
      <c r="AM68" s="856"/>
      <c r="AN68" s="856"/>
      <c r="AO68" s="856"/>
      <c r="AP68" s="856"/>
      <c r="AQ68" s="856"/>
      <c r="AR68" s="856"/>
      <c r="AS68" s="856"/>
      <c r="AT68" s="856"/>
      <c r="AU68" s="856"/>
      <c r="AV68" s="856"/>
      <c r="AW68" s="856"/>
      <c r="AX68" s="856"/>
      <c r="AY68" s="856"/>
      <c r="AZ68" s="856"/>
      <c r="BA68" s="856"/>
      <c r="BB68" s="856"/>
      <c r="BC68" s="856"/>
      <c r="BD68" s="856"/>
      <c r="BE68" s="856"/>
      <c r="BF68" s="856"/>
      <c r="BG68" s="856"/>
      <c r="BH68" s="856"/>
      <c r="BI68" s="856"/>
      <c r="BJ68" s="856"/>
      <c r="BK68" s="856"/>
      <c r="BL68" s="856"/>
      <c r="BM68" s="856"/>
      <c r="BN68" s="856"/>
      <c r="BO68" s="856"/>
      <c r="BP68" s="856"/>
      <c r="BQ68" s="856"/>
    </row>
    <row r="69" spans="1:69" ht="85.5" customHeight="1">
      <c r="A69" s="882" t="s">
        <v>150</v>
      </c>
      <c r="B69" s="883"/>
      <c r="C69" s="884" t="s">
        <v>834</v>
      </c>
      <c r="D69" s="884" t="s">
        <v>835</v>
      </c>
      <c r="E69" s="884" t="s">
        <v>987</v>
      </c>
      <c r="F69" s="884" t="s">
        <v>988</v>
      </c>
      <c r="G69" s="884" t="s">
        <v>989</v>
      </c>
      <c r="H69" s="759" t="s">
        <v>990</v>
      </c>
      <c r="I69" s="759" t="s">
        <v>991</v>
      </c>
      <c r="J69" s="885" t="s">
        <v>992</v>
      </c>
      <c r="K69" s="886" t="s">
        <v>837</v>
      </c>
      <c r="L69" s="759" t="s">
        <v>838</v>
      </c>
      <c r="M69" s="759" t="s">
        <v>830</v>
      </c>
      <c r="N69" s="886" t="s">
        <v>839</v>
      </c>
      <c r="O69" s="759" t="s">
        <v>840</v>
      </c>
      <c r="P69" s="761" t="s">
        <v>841</v>
      </c>
      <c r="Q69" s="762" t="s">
        <v>842</v>
      </c>
      <c r="R69" s="761" t="s">
        <v>993</v>
      </c>
      <c r="S69" s="871"/>
      <c r="T69" s="854"/>
      <c r="U69" s="859"/>
      <c r="V69" s="860"/>
      <c r="W69" s="856"/>
      <c r="X69" s="856"/>
      <c r="Y69" s="856"/>
      <c r="Z69" s="856"/>
      <c r="AA69" s="856"/>
      <c r="AB69" s="856"/>
      <c r="AC69" s="856"/>
      <c r="AD69" s="856"/>
      <c r="AE69" s="856"/>
      <c r="AF69" s="856"/>
      <c r="AG69" s="856"/>
      <c r="AH69" s="856"/>
      <c r="AI69" s="856"/>
      <c r="AJ69" s="856"/>
      <c r="AK69" s="856"/>
      <c r="AL69" s="856"/>
      <c r="AM69" s="856"/>
      <c r="AN69" s="856"/>
      <c r="AO69" s="856"/>
      <c r="AP69" s="856"/>
      <c r="AQ69" s="856"/>
      <c r="AR69" s="856"/>
      <c r="AS69" s="856"/>
      <c r="AT69" s="856"/>
      <c r="AU69" s="856"/>
      <c r="AV69" s="856"/>
      <c r="AW69" s="856"/>
      <c r="AX69" s="856"/>
      <c r="AY69" s="856"/>
      <c r="AZ69" s="856"/>
      <c r="BA69" s="856"/>
      <c r="BB69" s="856"/>
      <c r="BC69" s="856"/>
      <c r="BD69" s="856"/>
      <c r="BE69" s="856"/>
      <c r="BF69" s="856"/>
      <c r="BG69" s="856"/>
      <c r="BH69" s="856"/>
      <c r="BI69" s="856"/>
      <c r="BJ69" s="856"/>
      <c r="BK69" s="856"/>
      <c r="BL69" s="856"/>
      <c r="BM69" s="856"/>
      <c r="BN69" s="856"/>
      <c r="BO69" s="856"/>
      <c r="BP69" s="856"/>
      <c r="BQ69" s="856"/>
    </row>
    <row r="70" spans="1:69" ht="46.5" customHeight="1">
      <c r="A70" s="763"/>
      <c r="B70" s="764"/>
      <c r="C70" s="764"/>
      <c r="D70" s="764"/>
      <c r="E70" s="887" t="s">
        <v>433</v>
      </c>
      <c r="F70" s="764"/>
      <c r="G70" s="764" t="s">
        <v>994</v>
      </c>
      <c r="H70" s="887" t="s">
        <v>995</v>
      </c>
      <c r="I70" s="765" t="s">
        <v>996</v>
      </c>
      <c r="J70" s="887" t="s">
        <v>997</v>
      </c>
      <c r="K70" s="888" t="s">
        <v>998</v>
      </c>
      <c r="L70" s="887" t="s">
        <v>999</v>
      </c>
      <c r="M70" s="765" t="s">
        <v>846</v>
      </c>
      <c r="N70" s="766" t="s">
        <v>1000</v>
      </c>
      <c r="O70" s="765" t="s">
        <v>455</v>
      </c>
      <c r="P70" s="766" t="s">
        <v>1001</v>
      </c>
      <c r="Q70" s="767" t="s">
        <v>849</v>
      </c>
      <c r="R70" s="768" t="s">
        <v>1002</v>
      </c>
      <c r="S70" s="859"/>
      <c r="T70" s="854"/>
      <c r="U70" s="859"/>
      <c r="V70" s="860"/>
      <c r="W70" s="856"/>
      <c r="X70" s="856"/>
      <c r="Y70" s="856"/>
      <c r="Z70" s="856"/>
      <c r="AA70" s="856"/>
      <c r="AB70" s="856"/>
      <c r="AC70" s="856"/>
      <c r="AD70" s="856"/>
      <c r="AE70" s="856"/>
      <c r="AF70" s="856"/>
      <c r="AG70" s="856"/>
      <c r="AH70" s="856"/>
      <c r="AI70" s="856"/>
      <c r="AJ70" s="856"/>
      <c r="AK70" s="856"/>
      <c r="AL70" s="856"/>
      <c r="AM70" s="856"/>
      <c r="AN70" s="856"/>
      <c r="AO70" s="856"/>
      <c r="AP70" s="856"/>
      <c r="AQ70" s="856"/>
      <c r="AR70" s="856"/>
      <c r="AS70" s="856"/>
      <c r="AT70" s="856"/>
      <c r="AU70" s="856"/>
      <c r="AV70" s="856"/>
      <c r="AW70" s="856"/>
      <c r="AX70" s="856"/>
      <c r="AY70" s="856"/>
      <c r="AZ70" s="856"/>
      <c r="BA70" s="856"/>
      <c r="BB70" s="856"/>
      <c r="BC70" s="856"/>
      <c r="BD70" s="856"/>
      <c r="BE70" s="856"/>
      <c r="BF70" s="856"/>
      <c r="BG70" s="856"/>
      <c r="BH70" s="856"/>
      <c r="BI70" s="856"/>
      <c r="BJ70" s="856"/>
      <c r="BK70" s="856"/>
      <c r="BL70" s="856"/>
      <c r="BM70" s="856"/>
      <c r="BN70" s="856"/>
      <c r="BO70" s="856"/>
      <c r="BP70" s="856"/>
      <c r="BQ70" s="856"/>
    </row>
    <row r="71" spans="1:69" ht="15">
      <c r="A71" s="769" t="s">
        <v>1003</v>
      </c>
      <c r="B71" s="716"/>
      <c r="C71" s="716"/>
      <c r="D71" s="716"/>
      <c r="E71" s="716"/>
      <c r="F71" s="716"/>
      <c r="G71" s="716"/>
      <c r="H71" s="716"/>
      <c r="I71" s="716"/>
      <c r="J71" s="716"/>
      <c r="K71" s="770"/>
      <c r="L71" s="716"/>
      <c r="M71" s="716"/>
      <c r="N71" s="770"/>
      <c r="O71" s="716"/>
      <c r="P71" s="770"/>
      <c r="Q71" s="719"/>
      <c r="R71" s="771"/>
      <c r="S71" s="859"/>
      <c r="T71" s="854"/>
      <c r="U71" s="859"/>
      <c r="V71" s="860"/>
      <c r="W71" s="856"/>
      <c r="X71" s="856"/>
      <c r="Y71" s="856"/>
      <c r="Z71" s="856"/>
      <c r="AA71" s="856"/>
      <c r="AB71" s="856"/>
      <c r="AC71" s="856"/>
      <c r="AD71" s="856"/>
      <c r="AE71" s="856"/>
      <c r="AF71" s="856"/>
      <c r="AG71" s="856"/>
      <c r="AH71" s="856"/>
      <c r="AI71" s="856"/>
      <c r="AJ71" s="856"/>
      <c r="AK71" s="856"/>
      <c r="AL71" s="856"/>
      <c r="AM71" s="856"/>
      <c r="AN71" s="856"/>
      <c r="AO71" s="856"/>
      <c r="AP71" s="856"/>
      <c r="AQ71" s="856"/>
      <c r="AR71" s="856"/>
      <c r="AS71" s="856"/>
      <c r="AT71" s="856"/>
      <c r="AU71" s="856"/>
      <c r="AV71" s="856"/>
      <c r="AW71" s="856"/>
      <c r="AX71" s="856"/>
      <c r="AY71" s="856"/>
      <c r="AZ71" s="856"/>
      <c r="BA71" s="856"/>
      <c r="BB71" s="856"/>
      <c r="BC71" s="856"/>
      <c r="BD71" s="856"/>
      <c r="BE71" s="856"/>
      <c r="BF71" s="856"/>
      <c r="BG71" s="856"/>
      <c r="BH71" s="856"/>
      <c r="BI71" s="856"/>
      <c r="BJ71" s="856"/>
      <c r="BK71" s="856"/>
      <c r="BL71" s="856"/>
      <c r="BM71" s="856"/>
      <c r="BN71" s="856"/>
      <c r="BO71" s="856"/>
      <c r="BP71" s="856"/>
      <c r="BQ71" s="856"/>
    </row>
    <row r="72" spans="1:69" s="711" customFormat="1" ht="15">
      <c r="A72" s="772" t="s">
        <v>542</v>
      </c>
      <c r="C72" s="711" t="s">
        <v>240</v>
      </c>
      <c r="D72" s="726">
        <v>1203</v>
      </c>
      <c r="E72" s="889">
        <v>14894946.495279441</v>
      </c>
      <c r="F72" s="889">
        <v>0</v>
      </c>
      <c r="G72" s="739">
        <f>$L$29</f>
        <v>5.5997287941266898E-2</v>
      </c>
      <c r="H72" s="773">
        <f>F72*G72</f>
        <v>0</v>
      </c>
      <c r="I72" s="739">
        <f>$L$44</f>
        <v>1.7882410012035888E-2</v>
      </c>
      <c r="J72" s="775">
        <f>E72*I72</f>
        <v>266357.5403359239</v>
      </c>
      <c r="K72" s="774">
        <f>H72+J72</f>
        <v>266357.5403359239</v>
      </c>
      <c r="L72" s="773">
        <f>E72-F72</f>
        <v>14894946.495279441</v>
      </c>
      <c r="M72" s="739">
        <f>$L$54</f>
        <v>0.10934084382689144</v>
      </c>
      <c r="N72" s="774">
        <f>L72*M72</f>
        <v>1628626.0185502532</v>
      </c>
      <c r="O72" s="889">
        <v>0</v>
      </c>
      <c r="P72" s="774">
        <f>K72+N72+O72</f>
        <v>1894983.5588861771</v>
      </c>
      <c r="Q72" s="773">
        <v>0</v>
      </c>
      <c r="R72" s="774">
        <f>P72+Q72</f>
        <v>1894983.5588861771</v>
      </c>
      <c r="S72" s="776"/>
      <c r="T72" s="776"/>
      <c r="U72" s="776"/>
      <c r="V72" s="776"/>
      <c r="W72" s="776"/>
      <c r="X72" s="776"/>
      <c r="Y72" s="776"/>
    </row>
    <row r="73" spans="1:69" s="711" customFormat="1" ht="15">
      <c r="A73" s="772" t="s">
        <v>851</v>
      </c>
      <c r="C73" s="711" t="s">
        <v>1004</v>
      </c>
      <c r="D73" s="726">
        <v>1203</v>
      </c>
      <c r="E73" s="889">
        <v>398212115.45294708</v>
      </c>
      <c r="F73" s="889">
        <v>7721489.3691509319</v>
      </c>
      <c r="G73" s="739">
        <f>$L$29</f>
        <v>5.5997287941266898E-2</v>
      </c>
      <c r="H73" s="773">
        <f>F73*G73</f>
        <v>432382.46353977604</v>
      </c>
      <c r="I73" s="739">
        <f>$L$44</f>
        <v>1.7882410012035888E-2</v>
      </c>
      <c r="J73" s="775">
        <f>E73*I73</f>
        <v>7120992.320289772</v>
      </c>
      <c r="K73" s="774">
        <f>H73+J73</f>
        <v>7553374.7838295484</v>
      </c>
      <c r="L73" s="773">
        <f>E73-F73</f>
        <v>390490626.08379614</v>
      </c>
      <c r="M73" s="739">
        <f>$L$54</f>
        <v>0.10934084382689144</v>
      </c>
      <c r="N73" s="774">
        <f>L73*M73</f>
        <v>42696574.562493414</v>
      </c>
      <c r="O73" s="889">
        <v>7649450.1112426976</v>
      </c>
      <c r="P73" s="774">
        <f>K73+N73+O73</f>
        <v>57899399.457565658</v>
      </c>
      <c r="Q73" s="773">
        <v>-1388236</v>
      </c>
      <c r="R73" s="774">
        <f>P73+Q73</f>
        <v>56511163.457565658</v>
      </c>
      <c r="S73" s="776"/>
      <c r="T73" s="776"/>
      <c r="U73" s="776"/>
      <c r="V73" s="776"/>
      <c r="W73" s="776"/>
      <c r="X73" s="776"/>
      <c r="Y73" s="776"/>
    </row>
    <row r="74" spans="1:69" s="711" customFormat="1" ht="15">
      <c r="A74" s="772"/>
      <c r="D74" s="726"/>
      <c r="E74" s="726"/>
      <c r="F74" s="726"/>
      <c r="G74" s="739"/>
      <c r="H74" s="773"/>
      <c r="I74" s="739"/>
      <c r="K74" s="890"/>
      <c r="L74" s="773"/>
      <c r="M74" s="739"/>
      <c r="N74" s="774"/>
      <c r="O74" s="773"/>
      <c r="P74" s="774"/>
      <c r="Q74" s="773"/>
      <c r="R74" s="774"/>
      <c r="S74" s="776"/>
      <c r="T74" s="776"/>
      <c r="U74" s="776"/>
      <c r="V74" s="776"/>
      <c r="W74" s="776"/>
      <c r="X74" s="776"/>
      <c r="Y74" s="776"/>
    </row>
    <row r="75" spans="1:69" s="711" customFormat="1" ht="15.75" thickBot="1">
      <c r="A75" s="772"/>
      <c r="C75" s="711" t="s">
        <v>1021</v>
      </c>
      <c r="D75" s="726"/>
      <c r="E75" s="959">
        <f>E72+E73</f>
        <v>413107061.94822651</v>
      </c>
      <c r="K75" s="890"/>
      <c r="N75" s="890"/>
      <c r="P75" s="890"/>
      <c r="R75" s="890"/>
      <c r="S75" s="776"/>
      <c r="T75" s="776"/>
      <c r="U75" s="776"/>
      <c r="V75" s="776"/>
      <c r="W75" s="776"/>
      <c r="X75" s="776"/>
      <c r="Y75" s="776"/>
    </row>
    <row r="76" spans="1:69" ht="13.5" thickTop="1">
      <c r="A76" s="891"/>
      <c r="D76" s="892"/>
      <c r="K76" s="893"/>
      <c r="N76" s="893"/>
      <c r="P76" s="893"/>
      <c r="R76" s="893"/>
      <c r="S76" s="894"/>
      <c r="T76" s="894"/>
      <c r="U76" s="894"/>
      <c r="V76" s="894"/>
      <c r="W76" s="894"/>
      <c r="X76" s="894"/>
      <c r="Y76" s="894"/>
    </row>
    <row r="77" spans="1:69">
      <c r="A77" s="891"/>
      <c r="D77" s="892"/>
      <c r="K77" s="893"/>
      <c r="N77" s="893"/>
      <c r="P77" s="893"/>
      <c r="R77" s="893"/>
      <c r="S77" s="894"/>
      <c r="T77" s="894"/>
      <c r="U77" s="894"/>
      <c r="V77" s="894"/>
      <c r="W77" s="894"/>
      <c r="X77" s="894"/>
      <c r="Y77" s="894"/>
    </row>
    <row r="78" spans="1:69">
      <c r="A78" s="891"/>
      <c r="D78" s="892"/>
      <c r="K78" s="893"/>
      <c r="N78" s="893"/>
      <c r="P78" s="893"/>
      <c r="R78" s="893"/>
      <c r="S78" s="894"/>
      <c r="T78" s="894"/>
      <c r="U78" s="894"/>
      <c r="V78" s="894"/>
      <c r="W78" s="894"/>
      <c r="X78" s="894"/>
      <c r="Y78" s="894"/>
    </row>
    <row r="79" spans="1:69">
      <c r="A79" s="891"/>
      <c r="D79" s="892"/>
      <c r="K79" s="893"/>
      <c r="N79" s="893"/>
      <c r="P79" s="893"/>
      <c r="R79" s="893"/>
      <c r="S79" s="894"/>
      <c r="T79" s="894"/>
      <c r="U79" s="894"/>
      <c r="V79" s="894"/>
      <c r="W79" s="894"/>
      <c r="X79" s="894"/>
      <c r="Y79" s="894"/>
    </row>
    <row r="80" spans="1:69">
      <c r="A80" s="891"/>
      <c r="C80" s="894"/>
      <c r="D80" s="895"/>
      <c r="E80" s="894"/>
      <c r="F80" s="894"/>
      <c r="G80" s="894"/>
      <c r="H80" s="894"/>
      <c r="I80" s="894"/>
      <c r="J80" s="894"/>
      <c r="K80" s="896"/>
      <c r="L80" s="894"/>
      <c r="M80" s="894"/>
      <c r="N80" s="896"/>
      <c r="O80" s="894"/>
      <c r="P80" s="896"/>
      <c r="Q80" s="894"/>
      <c r="R80" s="896"/>
      <c r="S80" s="894"/>
      <c r="T80" s="894"/>
      <c r="U80" s="894"/>
      <c r="V80" s="894"/>
      <c r="W80" s="894"/>
      <c r="X80" s="894"/>
      <c r="Y80" s="894"/>
    </row>
    <row r="81" spans="1:25">
      <c r="A81" s="891"/>
      <c r="C81" s="894"/>
      <c r="D81" s="895"/>
      <c r="E81" s="894"/>
      <c r="F81" s="894"/>
      <c r="G81" s="894"/>
      <c r="H81" s="894"/>
      <c r="I81" s="894"/>
      <c r="J81" s="894"/>
      <c r="K81" s="896"/>
      <c r="L81" s="894"/>
      <c r="M81" s="894"/>
      <c r="N81" s="896"/>
      <c r="O81" s="894"/>
      <c r="P81" s="896"/>
      <c r="Q81" s="894"/>
      <c r="R81" s="896"/>
      <c r="S81" s="894"/>
      <c r="T81" s="894"/>
      <c r="U81" s="894"/>
      <c r="V81" s="894"/>
      <c r="W81" s="894"/>
      <c r="X81" s="894"/>
      <c r="Y81" s="894"/>
    </row>
    <row r="82" spans="1:25">
      <c r="A82" s="891"/>
      <c r="C82" s="894"/>
      <c r="D82" s="895"/>
      <c r="E82" s="894"/>
      <c r="F82" s="894"/>
      <c r="G82" s="894"/>
      <c r="H82" s="894"/>
      <c r="I82" s="894"/>
      <c r="J82" s="894"/>
      <c r="K82" s="896"/>
      <c r="L82" s="894"/>
      <c r="M82" s="894"/>
      <c r="N82" s="896"/>
      <c r="O82" s="894"/>
      <c r="P82" s="896"/>
      <c r="Q82" s="894"/>
      <c r="R82" s="896"/>
      <c r="S82" s="894"/>
      <c r="T82" s="894"/>
      <c r="U82" s="894"/>
      <c r="V82" s="894"/>
      <c r="W82" s="894"/>
      <c r="X82" s="894"/>
      <c r="Y82" s="894"/>
    </row>
    <row r="83" spans="1:25">
      <c r="A83" s="891"/>
      <c r="C83" s="894"/>
      <c r="D83" s="895"/>
      <c r="E83" s="894"/>
      <c r="F83" s="894"/>
      <c r="G83" s="894"/>
      <c r="H83" s="894"/>
      <c r="I83" s="894"/>
      <c r="J83" s="894"/>
      <c r="K83" s="896"/>
      <c r="L83" s="894"/>
      <c r="M83" s="894"/>
      <c r="N83" s="896"/>
      <c r="O83" s="894"/>
      <c r="P83" s="896"/>
      <c r="Q83" s="894"/>
      <c r="R83" s="896"/>
      <c r="S83" s="894"/>
      <c r="T83" s="894"/>
      <c r="U83" s="894"/>
      <c r="V83" s="894"/>
      <c r="W83" s="894"/>
      <c r="X83" s="894"/>
      <c r="Y83" s="894"/>
    </row>
    <row r="84" spans="1:25">
      <c r="A84" s="891"/>
      <c r="C84" s="894"/>
      <c r="D84" s="895"/>
      <c r="E84" s="894"/>
      <c r="F84" s="894"/>
      <c r="G84" s="894"/>
      <c r="H84" s="894"/>
      <c r="I84" s="894"/>
      <c r="J84" s="894"/>
      <c r="K84" s="896"/>
      <c r="L84" s="894"/>
      <c r="M84" s="894"/>
      <c r="N84" s="896"/>
      <c r="O84" s="894"/>
      <c r="P84" s="896"/>
      <c r="Q84" s="894"/>
      <c r="R84" s="896"/>
      <c r="S84" s="894"/>
      <c r="T84" s="894"/>
      <c r="U84" s="894"/>
      <c r="V84" s="894"/>
      <c r="W84" s="894"/>
      <c r="X84" s="894"/>
      <c r="Y84" s="894"/>
    </row>
    <row r="85" spans="1:25">
      <c r="A85" s="891"/>
      <c r="C85" s="894"/>
      <c r="D85" s="895"/>
      <c r="E85" s="894"/>
      <c r="F85" s="894"/>
      <c r="G85" s="894"/>
      <c r="H85" s="894"/>
      <c r="I85" s="894"/>
      <c r="J85" s="894"/>
      <c r="K85" s="896"/>
      <c r="L85" s="894"/>
      <c r="M85" s="894"/>
      <c r="N85" s="896"/>
      <c r="O85" s="894"/>
      <c r="P85" s="896"/>
      <c r="Q85" s="894"/>
      <c r="R85" s="896"/>
      <c r="S85" s="894"/>
      <c r="T85" s="894"/>
      <c r="U85" s="894"/>
      <c r="V85" s="894"/>
      <c r="W85" s="894"/>
      <c r="X85" s="894"/>
      <c r="Y85" s="894"/>
    </row>
    <row r="86" spans="1:25">
      <c r="A86" s="891"/>
      <c r="C86" s="894"/>
      <c r="D86" s="895"/>
      <c r="E86" s="894"/>
      <c r="F86" s="894"/>
      <c r="G86" s="894"/>
      <c r="H86" s="894"/>
      <c r="I86" s="894"/>
      <c r="J86" s="894"/>
      <c r="K86" s="896"/>
      <c r="L86" s="894"/>
      <c r="M86" s="894"/>
      <c r="N86" s="896"/>
      <c r="O86" s="894"/>
      <c r="P86" s="896"/>
      <c r="Q86" s="894"/>
      <c r="R86" s="896"/>
      <c r="S86" s="894"/>
      <c r="T86" s="894"/>
      <c r="U86" s="894"/>
      <c r="V86" s="894"/>
      <c r="W86" s="894"/>
      <c r="X86" s="894"/>
      <c r="Y86" s="894"/>
    </row>
    <row r="87" spans="1:25">
      <c r="A87" s="891"/>
      <c r="C87" s="894"/>
      <c r="D87" s="895"/>
      <c r="E87" s="894"/>
      <c r="F87" s="894"/>
      <c r="G87" s="894"/>
      <c r="H87" s="894"/>
      <c r="I87" s="894"/>
      <c r="J87" s="894"/>
      <c r="K87" s="896"/>
      <c r="L87" s="894"/>
      <c r="M87" s="894"/>
      <c r="N87" s="896"/>
      <c r="O87" s="894"/>
      <c r="P87" s="896"/>
      <c r="Q87" s="894"/>
      <c r="R87" s="896"/>
      <c r="S87" s="894"/>
      <c r="T87" s="894"/>
      <c r="U87" s="894"/>
      <c r="V87" s="894"/>
      <c r="W87" s="894"/>
      <c r="X87" s="894"/>
      <c r="Y87" s="894"/>
    </row>
    <row r="88" spans="1:25">
      <c r="A88" s="891"/>
      <c r="C88" s="894"/>
      <c r="D88" s="895"/>
      <c r="E88" s="894"/>
      <c r="F88" s="894"/>
      <c r="G88" s="894"/>
      <c r="H88" s="894"/>
      <c r="I88" s="894"/>
      <c r="J88" s="894"/>
      <c r="K88" s="896"/>
      <c r="L88" s="894"/>
      <c r="M88" s="894"/>
      <c r="N88" s="896"/>
      <c r="O88" s="894"/>
      <c r="P88" s="896"/>
      <c r="Q88" s="894"/>
      <c r="R88" s="896"/>
      <c r="S88" s="894"/>
      <c r="T88" s="894"/>
      <c r="U88" s="894"/>
      <c r="V88" s="894"/>
      <c r="W88" s="894"/>
      <c r="X88" s="894"/>
      <c r="Y88" s="894"/>
    </row>
    <row r="89" spans="1:25">
      <c r="A89" s="891"/>
      <c r="C89" s="894"/>
      <c r="D89" s="895"/>
      <c r="E89" s="894"/>
      <c r="F89" s="894"/>
      <c r="G89" s="894"/>
      <c r="H89" s="894"/>
      <c r="I89" s="894"/>
      <c r="J89" s="894"/>
      <c r="K89" s="896"/>
      <c r="L89" s="894"/>
      <c r="M89" s="894"/>
      <c r="N89" s="896"/>
      <c r="O89" s="894"/>
      <c r="P89" s="896"/>
      <c r="Q89" s="894"/>
      <c r="R89" s="896"/>
      <c r="S89" s="894"/>
      <c r="T89" s="894"/>
      <c r="U89" s="894"/>
      <c r="V89" s="894"/>
      <c r="W89" s="894"/>
      <c r="X89" s="894"/>
      <c r="Y89" s="894"/>
    </row>
    <row r="90" spans="1:25">
      <c r="A90" s="891"/>
      <c r="C90" s="894"/>
      <c r="D90" s="895"/>
      <c r="E90" s="894"/>
      <c r="F90" s="894"/>
      <c r="G90" s="894"/>
      <c r="H90" s="894"/>
      <c r="I90" s="894"/>
      <c r="J90" s="894"/>
      <c r="K90" s="896"/>
      <c r="L90" s="894"/>
      <c r="M90" s="894"/>
      <c r="N90" s="896"/>
      <c r="O90" s="894"/>
      <c r="P90" s="896"/>
      <c r="Q90" s="894"/>
      <c r="R90" s="896"/>
      <c r="S90" s="894"/>
      <c r="T90" s="894"/>
      <c r="U90" s="894"/>
      <c r="V90" s="894"/>
      <c r="W90" s="894"/>
      <c r="X90" s="894"/>
      <c r="Y90" s="894"/>
    </row>
    <row r="91" spans="1:25">
      <c r="A91" s="897"/>
      <c r="B91" s="898"/>
      <c r="C91" s="899"/>
      <c r="D91" s="899"/>
      <c r="E91" s="899"/>
      <c r="F91" s="899"/>
      <c r="G91" s="899"/>
      <c r="H91" s="899"/>
      <c r="I91" s="899"/>
      <c r="J91" s="899"/>
      <c r="K91" s="900"/>
      <c r="L91" s="899"/>
      <c r="M91" s="899"/>
      <c r="N91" s="900"/>
      <c r="O91" s="899"/>
      <c r="P91" s="900"/>
      <c r="Q91" s="899"/>
      <c r="R91" s="900"/>
      <c r="S91" s="894"/>
      <c r="T91" s="894"/>
      <c r="U91" s="894"/>
      <c r="V91" s="894"/>
      <c r="W91" s="894"/>
      <c r="X91" s="894"/>
      <c r="Y91" s="894"/>
    </row>
    <row r="92" spans="1:25" ht="15">
      <c r="A92" s="727" t="s">
        <v>879</v>
      </c>
      <c r="B92" s="878"/>
      <c r="C92" s="728" t="s">
        <v>1005</v>
      </c>
      <c r="D92" s="728"/>
      <c r="E92" s="728"/>
      <c r="F92" s="728"/>
      <c r="G92" s="728"/>
      <c r="H92" s="743"/>
      <c r="I92" s="743"/>
      <c r="J92" s="719"/>
      <c r="K92" s="719"/>
      <c r="L92" s="719"/>
      <c r="M92" s="719"/>
      <c r="N92" s="719"/>
      <c r="O92" s="719"/>
      <c r="P92" s="751">
        <f>SUM(P72:P91)</f>
        <v>59794383.016451836</v>
      </c>
      <c r="Q92" s="972">
        <f>SUM(Q72:Q91)</f>
        <v>-1388236</v>
      </c>
      <c r="R92" s="751">
        <f>SUM(R72:R91)</f>
        <v>58406147.016451836</v>
      </c>
      <c r="S92" s="894"/>
      <c r="T92" s="894"/>
      <c r="U92" s="894"/>
      <c r="V92" s="894"/>
      <c r="W92" s="894"/>
      <c r="X92" s="894"/>
      <c r="Y92" s="894"/>
    </row>
    <row r="93" spans="1:25">
      <c r="A93" s="776"/>
      <c r="B93" s="894"/>
      <c r="C93" s="894"/>
      <c r="D93" s="894"/>
      <c r="E93" s="894"/>
      <c r="F93" s="894"/>
      <c r="G93" s="894"/>
      <c r="H93" s="894"/>
      <c r="I93" s="894"/>
      <c r="J93" s="894"/>
      <c r="K93" s="894"/>
      <c r="L93" s="894"/>
      <c r="M93" s="894"/>
      <c r="N93" s="894"/>
      <c r="O93" s="894"/>
      <c r="P93" s="894"/>
      <c r="Q93" s="894"/>
      <c r="R93" s="894"/>
      <c r="S93" s="894"/>
      <c r="T93" s="894"/>
      <c r="U93" s="894"/>
      <c r="V93" s="894"/>
      <c r="W93" s="894"/>
      <c r="X93" s="894"/>
      <c r="Y93" s="894"/>
    </row>
    <row r="94" spans="1:25" ht="15">
      <c r="A94" s="783">
        <v>3</v>
      </c>
      <c r="B94" s="894"/>
      <c r="C94" s="711" t="s">
        <v>881</v>
      </c>
      <c r="D94" s="711"/>
      <c r="E94" s="711"/>
      <c r="F94" s="711"/>
      <c r="G94" s="894"/>
      <c r="H94" s="894"/>
      <c r="I94" s="894"/>
      <c r="J94" s="894"/>
      <c r="K94" s="894"/>
      <c r="L94" s="894"/>
      <c r="M94" s="894"/>
      <c r="N94" s="894"/>
      <c r="O94" s="894"/>
      <c r="P94" s="751">
        <f>P92</f>
        <v>59794383.016451836</v>
      </c>
      <c r="Q94" s="894"/>
      <c r="R94" s="894"/>
      <c r="S94" s="894"/>
      <c r="T94" s="894"/>
      <c r="U94" s="894"/>
      <c r="V94" s="894"/>
      <c r="W94" s="894"/>
      <c r="X94" s="894"/>
      <c r="Y94" s="894"/>
    </row>
    <row r="95" spans="1:25">
      <c r="A95" s="894"/>
      <c r="B95" s="894"/>
      <c r="C95" s="894"/>
      <c r="D95" s="894"/>
      <c r="E95" s="894"/>
      <c r="F95" s="894"/>
      <c r="G95" s="894"/>
      <c r="H95" s="894"/>
      <c r="I95" s="894"/>
      <c r="J95" s="894"/>
      <c r="K95" s="894"/>
      <c r="L95" s="894"/>
      <c r="M95" s="894"/>
      <c r="N95" s="894"/>
      <c r="O95" s="894"/>
      <c r="P95" s="894"/>
      <c r="Q95" s="894"/>
      <c r="R95" s="894"/>
      <c r="S95" s="894"/>
      <c r="T95" s="894"/>
      <c r="U95" s="894"/>
      <c r="V95" s="894"/>
      <c r="W95" s="894"/>
      <c r="X95" s="894"/>
      <c r="Y95" s="894"/>
    </row>
    <row r="96" spans="1:25">
      <c r="A96" s="894"/>
      <c r="B96" s="894"/>
      <c r="C96" s="894"/>
      <c r="D96" s="894"/>
      <c r="E96" s="894"/>
      <c r="F96" s="894"/>
      <c r="G96" s="894"/>
      <c r="H96" s="894"/>
      <c r="I96" s="894"/>
      <c r="J96" s="894"/>
      <c r="K96" s="894"/>
      <c r="L96" s="894"/>
      <c r="M96" s="894"/>
      <c r="N96" s="894"/>
      <c r="O96" s="894"/>
      <c r="P96" s="894"/>
      <c r="Q96" s="894"/>
      <c r="R96" s="894"/>
      <c r="S96" s="894"/>
      <c r="T96" s="894"/>
      <c r="U96" s="894"/>
      <c r="V96" s="894"/>
      <c r="W96" s="894"/>
      <c r="X96" s="894"/>
      <c r="Y96" s="894"/>
    </row>
    <row r="97" spans="1:25" ht="15">
      <c r="A97" s="711" t="s">
        <v>688</v>
      </c>
      <c r="B97" s="894"/>
      <c r="C97" s="894"/>
      <c r="D97" s="894"/>
      <c r="E97" s="894"/>
      <c r="F97" s="894"/>
      <c r="G97" s="894"/>
      <c r="H97" s="894"/>
      <c r="I97" s="894"/>
      <c r="J97" s="894"/>
      <c r="K97" s="894"/>
      <c r="L97" s="894"/>
      <c r="M97" s="894"/>
      <c r="N97" s="894"/>
      <c r="O97" s="894"/>
      <c r="P97" s="751"/>
      <c r="Q97" s="972"/>
      <c r="R97" s="751"/>
      <c r="S97" s="894"/>
      <c r="T97" s="894"/>
      <c r="U97" s="894"/>
      <c r="V97" s="894"/>
      <c r="W97" s="894"/>
      <c r="X97" s="894"/>
      <c r="Y97" s="894"/>
    </row>
    <row r="98" spans="1:25" ht="15.75" thickBot="1">
      <c r="A98" s="784" t="s">
        <v>689</v>
      </c>
      <c r="B98" s="894"/>
      <c r="C98" s="894"/>
      <c r="D98" s="894"/>
      <c r="E98" s="894"/>
      <c r="F98" s="894"/>
      <c r="G98" s="894"/>
      <c r="H98" s="894"/>
      <c r="I98" s="894"/>
      <c r="J98" s="894"/>
      <c r="K98" s="894"/>
      <c r="L98" s="894"/>
      <c r="M98" s="894"/>
      <c r="N98" s="894"/>
      <c r="O98" s="894"/>
      <c r="P98" s="751"/>
      <c r="Q98" s="972"/>
      <c r="R98" s="751"/>
      <c r="S98" s="894"/>
      <c r="T98" s="894"/>
      <c r="U98" s="894"/>
      <c r="V98" s="894"/>
      <c r="W98" s="894"/>
      <c r="X98" s="894"/>
      <c r="Y98" s="894"/>
    </row>
    <row r="99" spans="1:25" ht="17.100000000000001" customHeight="1">
      <c r="A99" s="901" t="s">
        <v>366</v>
      </c>
      <c r="B99" s="902"/>
      <c r="C99" s="1021" t="s">
        <v>882</v>
      </c>
      <c r="D99" s="1021"/>
      <c r="E99" s="1021"/>
      <c r="F99" s="1021"/>
      <c r="G99" s="1022"/>
      <c r="H99" s="1022"/>
      <c r="I99" s="1022"/>
      <c r="J99" s="1022"/>
      <c r="K99" s="1022"/>
      <c r="L99" s="1022"/>
      <c r="M99" s="1022"/>
      <c r="N99" s="1022"/>
      <c r="O99" s="1022"/>
      <c r="P99" s="1022"/>
      <c r="Q99" s="1022"/>
      <c r="R99" s="1022"/>
      <c r="S99" s="894"/>
      <c r="T99" s="894"/>
      <c r="U99" s="894"/>
      <c r="V99" s="894"/>
      <c r="W99" s="894"/>
      <c r="X99" s="894"/>
      <c r="Y99" s="894"/>
    </row>
    <row r="100" spans="1:25" ht="15">
      <c r="A100" s="901"/>
      <c r="B100" s="902"/>
      <c r="C100" s="1021" t="s">
        <v>1006</v>
      </c>
      <c r="D100" s="1021"/>
      <c r="E100" s="1021"/>
      <c r="F100" s="1021"/>
      <c r="G100" s="1021"/>
      <c r="H100" s="1021"/>
      <c r="I100" s="1021"/>
      <c r="J100" s="1021"/>
      <c r="K100" s="1021"/>
      <c r="L100" s="1021"/>
      <c r="M100" s="1021"/>
      <c r="N100" s="1021"/>
      <c r="O100" s="1021"/>
      <c r="P100" s="1021"/>
      <c r="Q100" s="1021"/>
      <c r="R100" s="1021"/>
      <c r="S100" s="894"/>
      <c r="T100" s="894"/>
      <c r="U100" s="894"/>
      <c r="V100" s="894"/>
      <c r="W100" s="894"/>
      <c r="X100" s="894"/>
      <c r="Y100" s="894"/>
    </row>
    <row r="101" spans="1:25" ht="17.100000000000001" customHeight="1">
      <c r="A101" s="901" t="s">
        <v>367</v>
      </c>
      <c r="B101" s="902"/>
      <c r="C101" s="1021" t="s">
        <v>1007</v>
      </c>
      <c r="D101" s="1021"/>
      <c r="E101" s="1021"/>
      <c r="F101" s="1021"/>
      <c r="G101" s="1022"/>
      <c r="H101" s="1022"/>
      <c r="I101" s="1022"/>
      <c r="J101" s="1022"/>
      <c r="K101" s="1022"/>
      <c r="L101" s="1022"/>
      <c r="M101" s="1022"/>
      <c r="N101" s="1022"/>
      <c r="O101" s="1022"/>
      <c r="P101" s="1022"/>
      <c r="Q101" s="1022"/>
      <c r="R101" s="1022"/>
      <c r="S101" s="894"/>
      <c r="T101" s="894"/>
      <c r="U101" s="894"/>
      <c r="V101" s="894"/>
      <c r="W101" s="894"/>
      <c r="X101" s="894"/>
      <c r="Y101" s="894"/>
    </row>
    <row r="102" spans="1:25" ht="15" customHeight="1">
      <c r="A102" s="901" t="s">
        <v>692</v>
      </c>
      <c r="B102" s="902"/>
      <c r="C102" s="1021" t="s">
        <v>1008</v>
      </c>
      <c r="D102" s="1021"/>
      <c r="E102" s="1021"/>
      <c r="F102" s="1021"/>
      <c r="G102" s="1022"/>
      <c r="H102" s="1022"/>
      <c r="I102" s="1022"/>
      <c r="J102" s="1022"/>
      <c r="K102" s="1022"/>
      <c r="L102" s="1022"/>
      <c r="M102" s="1022"/>
      <c r="N102" s="1022"/>
      <c r="O102" s="1022"/>
      <c r="P102" s="1022"/>
      <c r="Q102" s="1022"/>
      <c r="R102" s="1022"/>
      <c r="S102" s="894"/>
      <c r="T102" s="894"/>
      <c r="U102" s="894"/>
      <c r="V102" s="894"/>
      <c r="W102" s="894"/>
      <c r="X102" s="894"/>
      <c r="Y102" s="894"/>
    </row>
    <row r="103" spans="1:25" ht="17.100000000000001" customHeight="1">
      <c r="A103" s="901"/>
      <c r="B103" s="902"/>
      <c r="C103" s="1021" t="s">
        <v>1009</v>
      </c>
      <c r="D103" s="1021"/>
      <c r="E103" s="1021"/>
      <c r="F103" s="1021"/>
      <c r="G103" s="1022"/>
      <c r="H103" s="1022"/>
      <c r="I103" s="1022"/>
      <c r="J103" s="1022"/>
      <c r="K103" s="1022"/>
      <c r="L103" s="1022"/>
      <c r="M103" s="1022"/>
      <c r="N103" s="1022"/>
      <c r="O103" s="1022"/>
      <c r="P103" s="1022"/>
      <c r="Q103" s="1022"/>
      <c r="R103" s="1022"/>
      <c r="S103" s="894"/>
      <c r="T103" s="894"/>
      <c r="U103" s="894"/>
      <c r="V103" s="894"/>
      <c r="W103" s="894"/>
      <c r="X103" s="894"/>
      <c r="Y103" s="894"/>
    </row>
    <row r="104" spans="1:25" ht="17.100000000000001" customHeight="1">
      <c r="A104" s="901" t="s">
        <v>694</v>
      </c>
      <c r="B104" s="902"/>
      <c r="C104" s="1021" t="s">
        <v>1010</v>
      </c>
      <c r="D104" s="1021"/>
      <c r="E104" s="1021"/>
      <c r="F104" s="1021"/>
      <c r="G104" s="1022"/>
      <c r="H104" s="1022"/>
      <c r="I104" s="1022"/>
      <c r="J104" s="1022"/>
      <c r="K104" s="1022"/>
      <c r="L104" s="1022"/>
      <c r="M104" s="1022"/>
      <c r="N104" s="1022"/>
      <c r="O104" s="1022"/>
      <c r="P104" s="1022"/>
      <c r="Q104" s="1022"/>
      <c r="R104" s="1022"/>
      <c r="S104" s="894"/>
      <c r="T104" s="894"/>
      <c r="U104" s="894"/>
      <c r="V104" s="894"/>
      <c r="W104" s="894"/>
      <c r="X104" s="894"/>
      <c r="Y104" s="894"/>
    </row>
    <row r="105" spans="1:25" ht="17.100000000000001" customHeight="1">
      <c r="A105" s="903" t="s">
        <v>696</v>
      </c>
      <c r="B105" s="902"/>
      <c r="C105" s="1021" t="s">
        <v>886</v>
      </c>
      <c r="D105" s="1021"/>
      <c r="E105" s="1021"/>
      <c r="F105" s="1021"/>
      <c r="G105" s="1022"/>
      <c r="H105" s="1022"/>
      <c r="I105" s="1022"/>
      <c r="J105" s="1022"/>
      <c r="K105" s="1022"/>
      <c r="L105" s="1022"/>
      <c r="M105" s="1022"/>
      <c r="N105" s="1022"/>
      <c r="O105" s="1022"/>
      <c r="P105" s="1022"/>
      <c r="Q105" s="1022"/>
      <c r="R105" s="1022"/>
      <c r="S105" s="894"/>
      <c r="T105" s="894"/>
      <c r="U105" s="894"/>
      <c r="V105" s="894"/>
      <c r="W105" s="894"/>
      <c r="X105" s="894"/>
      <c r="Y105" s="894"/>
    </row>
    <row r="106" spans="1:25" ht="17.100000000000001" customHeight="1">
      <c r="A106" s="903" t="s">
        <v>698</v>
      </c>
      <c r="B106" s="902"/>
      <c r="C106" s="1021" t="s">
        <v>887</v>
      </c>
      <c r="D106" s="1021"/>
      <c r="E106" s="1021"/>
      <c r="F106" s="1021"/>
      <c r="G106" s="1022"/>
      <c r="H106" s="1022"/>
      <c r="I106" s="1022"/>
      <c r="J106" s="1022"/>
      <c r="K106" s="1022"/>
      <c r="L106" s="1022"/>
      <c r="M106" s="1022"/>
      <c r="N106" s="1022"/>
      <c r="O106" s="1022"/>
      <c r="P106" s="1022"/>
      <c r="Q106" s="1022"/>
      <c r="R106" s="1022"/>
      <c r="S106" s="894"/>
      <c r="T106" s="894"/>
      <c r="U106" s="894"/>
      <c r="V106" s="894"/>
      <c r="W106" s="894"/>
      <c r="X106" s="894"/>
      <c r="Y106" s="894"/>
    </row>
    <row r="107" spans="1:25" ht="17.100000000000001" customHeight="1">
      <c r="A107" s="903" t="s">
        <v>702</v>
      </c>
      <c r="B107" s="902"/>
      <c r="C107" s="1021" t="s">
        <v>1011</v>
      </c>
      <c r="D107" s="1021"/>
      <c r="E107" s="1021"/>
      <c r="F107" s="1021"/>
      <c r="G107" s="1022"/>
      <c r="H107" s="1022"/>
      <c r="I107" s="1022"/>
      <c r="J107" s="1022"/>
      <c r="K107" s="1022"/>
      <c r="L107" s="1022"/>
      <c r="M107" s="1022"/>
      <c r="N107" s="1022"/>
      <c r="O107" s="1022"/>
      <c r="P107" s="1022"/>
      <c r="Q107" s="1022"/>
      <c r="R107" s="1022"/>
      <c r="S107" s="894"/>
      <c r="T107" s="894"/>
      <c r="U107" s="894"/>
      <c r="V107" s="894"/>
      <c r="W107" s="894"/>
      <c r="X107" s="894"/>
      <c r="Y107" s="894"/>
    </row>
    <row r="108" spans="1:25" ht="17.100000000000001" customHeight="1">
      <c r="A108" s="904" t="s">
        <v>704</v>
      </c>
      <c r="B108" s="856"/>
      <c r="C108" s="1021" t="s">
        <v>1012</v>
      </c>
      <c r="D108" s="1021"/>
      <c r="E108" s="1021"/>
      <c r="F108" s="1021"/>
      <c r="G108" s="1022"/>
      <c r="H108" s="1022"/>
      <c r="I108" s="1022"/>
      <c r="J108" s="1022"/>
      <c r="K108" s="1022"/>
      <c r="L108" s="1022"/>
      <c r="M108" s="1022"/>
      <c r="N108" s="1022"/>
      <c r="O108" s="1022"/>
      <c r="P108" s="1022"/>
      <c r="Q108" s="1022"/>
      <c r="R108" s="1022"/>
      <c r="S108" s="894"/>
      <c r="T108" s="894"/>
      <c r="U108" s="894"/>
      <c r="V108" s="894"/>
      <c r="W108" s="894"/>
      <c r="X108" s="894"/>
      <c r="Y108" s="894"/>
    </row>
    <row r="109" spans="1:25" ht="17.100000000000001" customHeight="1">
      <c r="A109" s="905"/>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row>
    <row r="110" spans="1:25" ht="17.100000000000001" customHeight="1">
      <c r="A110" s="906"/>
      <c r="B110" s="624"/>
      <c r="C110" s="907"/>
      <c r="D110" s="907"/>
      <c r="E110" s="907"/>
      <c r="F110" s="907"/>
      <c r="G110" s="872"/>
      <c r="H110" s="743"/>
      <c r="I110" s="743"/>
      <c r="J110" s="719"/>
      <c r="K110" s="719"/>
      <c r="L110" s="711"/>
      <c r="M110" s="711"/>
      <c r="N110" s="738"/>
      <c r="O110" s="711"/>
      <c r="Q110" s="719"/>
      <c r="R110" s="908"/>
      <c r="S110" s="894"/>
      <c r="T110" s="894"/>
      <c r="U110" s="894"/>
      <c r="V110" s="894"/>
      <c r="W110" s="894"/>
      <c r="X110" s="894"/>
      <c r="Y110" s="894"/>
    </row>
    <row r="111" spans="1:25" ht="15.75">
      <c r="A111" s="906"/>
      <c r="B111" s="624"/>
      <c r="C111" s="907"/>
      <c r="D111" s="907"/>
      <c r="E111" s="907"/>
      <c r="F111" s="907"/>
      <c r="G111" s="872"/>
      <c r="H111" s="743"/>
      <c r="I111" s="743"/>
      <c r="J111" s="719"/>
      <c r="K111" s="719"/>
      <c r="L111" s="711"/>
      <c r="M111" s="711"/>
      <c r="N111" s="738"/>
      <c r="O111" s="711"/>
      <c r="Q111" s="719"/>
      <c r="R111" s="740"/>
      <c r="S111" s="894"/>
      <c r="T111" s="894"/>
      <c r="U111" s="894"/>
      <c r="V111" s="894"/>
      <c r="W111" s="894"/>
      <c r="X111" s="894"/>
      <c r="Y111" s="894"/>
    </row>
    <row r="112" spans="1:25">
      <c r="C112" s="894"/>
      <c r="D112" s="894"/>
      <c r="E112" s="894"/>
      <c r="F112" s="894"/>
      <c r="G112" s="894"/>
      <c r="H112" s="894"/>
      <c r="I112" s="894"/>
      <c r="J112" s="894"/>
      <c r="K112" s="894"/>
      <c r="L112" s="894"/>
      <c r="M112" s="894"/>
      <c r="N112" s="894"/>
      <c r="O112" s="894"/>
      <c r="P112" s="894"/>
      <c r="Q112" s="894"/>
      <c r="R112" s="894"/>
      <c r="S112" s="894"/>
      <c r="T112" s="894"/>
      <c r="U112" s="894"/>
      <c r="V112" s="894"/>
      <c r="W112" s="894"/>
      <c r="X112" s="894"/>
      <c r="Y112" s="894"/>
    </row>
    <row r="113" spans="3:25">
      <c r="C113" s="894"/>
      <c r="D113" s="894"/>
      <c r="E113" s="894"/>
      <c r="F113" s="894"/>
      <c r="G113" s="894"/>
      <c r="H113" s="894"/>
      <c r="I113" s="894"/>
      <c r="J113" s="894"/>
      <c r="K113" s="894"/>
      <c r="L113" s="894"/>
      <c r="M113" s="894"/>
      <c r="N113" s="894"/>
      <c r="O113" s="894"/>
      <c r="P113" s="894"/>
      <c r="Q113" s="894"/>
      <c r="R113" s="894"/>
      <c r="S113" s="894"/>
      <c r="T113" s="894"/>
      <c r="U113" s="894"/>
      <c r="V113" s="894"/>
      <c r="W113" s="894"/>
      <c r="X113" s="894"/>
      <c r="Y113" s="894"/>
    </row>
    <row r="114" spans="3:25">
      <c r="C114" s="894"/>
      <c r="D114" s="894"/>
      <c r="E114" s="894"/>
      <c r="F114" s="894"/>
      <c r="G114" s="894"/>
      <c r="H114" s="894"/>
      <c r="I114" s="894"/>
      <c r="J114" s="894"/>
      <c r="K114" s="894"/>
      <c r="L114" s="894"/>
      <c r="M114" s="894"/>
      <c r="N114" s="894"/>
      <c r="O114" s="894"/>
      <c r="P114" s="894"/>
      <c r="Q114" s="894"/>
      <c r="R114" s="894"/>
      <c r="S114" s="894"/>
      <c r="T114" s="894"/>
      <c r="U114" s="894"/>
      <c r="V114" s="894"/>
      <c r="W114" s="894"/>
      <c r="X114" s="894"/>
      <c r="Y114" s="894"/>
    </row>
    <row r="115" spans="3:25">
      <c r="C115" s="894"/>
      <c r="D115" s="894"/>
      <c r="E115" s="894"/>
      <c r="F115" s="894"/>
      <c r="G115" s="894"/>
      <c r="H115" s="894"/>
      <c r="I115" s="894"/>
      <c r="J115" s="894"/>
      <c r="K115" s="894"/>
      <c r="L115" s="894"/>
      <c r="M115" s="894"/>
      <c r="N115" s="894"/>
      <c r="O115" s="894"/>
      <c r="P115" s="894"/>
      <c r="Q115" s="894"/>
      <c r="R115" s="894"/>
      <c r="S115" s="894"/>
      <c r="T115" s="894"/>
      <c r="U115" s="894"/>
      <c r="V115" s="894"/>
      <c r="W115" s="894"/>
      <c r="X115" s="894"/>
      <c r="Y115" s="894"/>
    </row>
    <row r="116" spans="3:25">
      <c r="C116" s="894"/>
      <c r="D116" s="894"/>
      <c r="E116" s="894"/>
      <c r="F116" s="894"/>
      <c r="G116" s="894"/>
      <c r="H116" s="894"/>
      <c r="I116" s="894"/>
      <c r="J116" s="894"/>
      <c r="K116" s="894"/>
      <c r="L116" s="894"/>
      <c r="M116" s="894"/>
      <c r="N116" s="894"/>
      <c r="O116" s="894"/>
      <c r="P116" s="894"/>
      <c r="Q116" s="894"/>
      <c r="R116" s="894"/>
      <c r="S116" s="894"/>
      <c r="T116" s="894"/>
      <c r="U116" s="894"/>
      <c r="V116" s="894"/>
      <c r="W116" s="894"/>
      <c r="X116" s="894"/>
      <c r="Y116" s="894"/>
    </row>
    <row r="117" spans="3:25">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894"/>
    </row>
    <row r="118" spans="3:25">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row>
    <row r="119" spans="3:25">
      <c r="C119" s="894"/>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row>
    <row r="120" spans="3:25">
      <c r="C120" s="894"/>
      <c r="D120" s="894"/>
      <c r="E120" s="894"/>
      <c r="F120" s="894"/>
      <c r="G120" s="894"/>
      <c r="H120" s="894"/>
      <c r="I120" s="894"/>
      <c r="J120" s="894"/>
      <c r="K120" s="894"/>
      <c r="L120" s="894"/>
      <c r="M120" s="894"/>
      <c r="N120" s="894"/>
      <c r="O120" s="894"/>
      <c r="P120" s="894"/>
      <c r="Q120" s="894"/>
      <c r="R120" s="894"/>
      <c r="S120" s="894"/>
      <c r="T120" s="894"/>
      <c r="U120" s="894"/>
      <c r="V120" s="894"/>
      <c r="W120" s="894"/>
      <c r="X120" s="894"/>
      <c r="Y120" s="894"/>
    </row>
    <row r="121" spans="3:25">
      <c r="C121" s="894"/>
      <c r="D121" s="894"/>
      <c r="E121" s="894"/>
      <c r="F121" s="894"/>
      <c r="G121" s="894"/>
      <c r="H121" s="894"/>
      <c r="I121" s="894"/>
      <c r="J121" s="894"/>
      <c r="K121" s="894"/>
      <c r="L121" s="894"/>
      <c r="M121" s="894"/>
      <c r="N121" s="894"/>
      <c r="O121" s="894"/>
      <c r="P121" s="894"/>
      <c r="Q121" s="894"/>
      <c r="R121" s="894"/>
      <c r="S121" s="894"/>
      <c r="T121" s="894"/>
      <c r="U121" s="894"/>
      <c r="V121" s="894"/>
      <c r="W121" s="894"/>
      <c r="X121" s="894"/>
      <c r="Y121" s="894"/>
    </row>
    <row r="122" spans="3:25">
      <c r="C122" s="894"/>
      <c r="D122" s="894"/>
      <c r="E122" s="894"/>
      <c r="F122" s="894"/>
      <c r="G122" s="894"/>
      <c r="H122" s="894"/>
      <c r="I122" s="894"/>
      <c r="J122" s="894"/>
      <c r="K122" s="894"/>
      <c r="L122" s="894"/>
      <c r="M122" s="894"/>
      <c r="N122" s="894"/>
      <c r="O122" s="894"/>
      <c r="P122" s="894"/>
      <c r="Q122" s="894"/>
      <c r="R122" s="894"/>
      <c r="S122" s="894"/>
      <c r="T122" s="894"/>
      <c r="U122" s="894"/>
      <c r="V122" s="894"/>
      <c r="W122" s="894"/>
      <c r="X122" s="894"/>
      <c r="Y122" s="894"/>
    </row>
    <row r="123" spans="3:25">
      <c r="C123" s="894"/>
      <c r="D123" s="894"/>
      <c r="E123" s="894"/>
      <c r="F123" s="894"/>
      <c r="G123" s="894"/>
      <c r="H123" s="894"/>
      <c r="I123" s="894"/>
      <c r="J123" s="894"/>
      <c r="K123" s="894"/>
      <c r="L123" s="894"/>
      <c r="M123" s="894"/>
      <c r="N123" s="894"/>
      <c r="O123" s="894"/>
      <c r="P123" s="894"/>
      <c r="Q123" s="894"/>
      <c r="R123" s="894"/>
      <c r="S123" s="894"/>
      <c r="T123" s="894"/>
      <c r="U123" s="894"/>
      <c r="V123" s="894"/>
      <c r="W123" s="894"/>
      <c r="X123" s="894"/>
      <c r="Y123" s="894"/>
    </row>
    <row r="124" spans="3:25">
      <c r="C124" s="894"/>
      <c r="D124" s="894"/>
      <c r="E124" s="894"/>
      <c r="F124" s="894"/>
      <c r="G124" s="894"/>
      <c r="H124" s="894"/>
      <c r="I124" s="894"/>
      <c r="J124" s="894"/>
      <c r="K124" s="894"/>
      <c r="L124" s="894"/>
      <c r="M124" s="894"/>
      <c r="N124" s="894"/>
      <c r="O124" s="894"/>
      <c r="P124" s="894"/>
      <c r="Q124" s="894"/>
      <c r="R124" s="894"/>
      <c r="S124" s="894"/>
      <c r="T124" s="894"/>
      <c r="U124" s="894"/>
      <c r="V124" s="894"/>
      <c r="W124" s="894"/>
      <c r="X124" s="894"/>
      <c r="Y124" s="894"/>
    </row>
    <row r="125" spans="3:25">
      <c r="C125" s="894"/>
      <c r="D125" s="894"/>
      <c r="E125" s="894"/>
      <c r="F125" s="894"/>
      <c r="G125" s="894"/>
      <c r="H125" s="894"/>
      <c r="I125" s="894"/>
      <c r="J125" s="894"/>
      <c r="K125" s="894"/>
      <c r="L125" s="894"/>
      <c r="M125" s="894"/>
      <c r="N125" s="894"/>
      <c r="O125" s="894"/>
      <c r="P125" s="894"/>
      <c r="Q125" s="894"/>
      <c r="R125" s="894"/>
      <c r="S125" s="894"/>
      <c r="T125" s="894"/>
      <c r="U125" s="894"/>
      <c r="V125" s="894"/>
      <c r="W125" s="894"/>
      <c r="X125" s="894"/>
      <c r="Y125" s="894"/>
    </row>
    <row r="126" spans="3:25">
      <c r="C126" s="894"/>
      <c r="D126" s="894"/>
      <c r="E126" s="894"/>
      <c r="F126" s="894"/>
      <c r="G126" s="894"/>
      <c r="H126" s="894"/>
      <c r="I126" s="894"/>
      <c r="J126" s="894"/>
      <c r="K126" s="894"/>
      <c r="L126" s="894"/>
      <c r="M126" s="894"/>
      <c r="N126" s="894"/>
      <c r="O126" s="894"/>
      <c r="P126" s="894"/>
      <c r="Q126" s="894"/>
      <c r="R126" s="894"/>
      <c r="S126" s="894"/>
      <c r="T126" s="894"/>
      <c r="U126" s="894"/>
      <c r="V126" s="894"/>
      <c r="W126" s="894"/>
      <c r="X126" s="894"/>
      <c r="Y126" s="894"/>
    </row>
    <row r="127" spans="3:25">
      <c r="C127" s="894"/>
      <c r="D127" s="894"/>
      <c r="E127" s="894"/>
      <c r="F127" s="894"/>
      <c r="G127" s="894"/>
      <c r="H127" s="894"/>
      <c r="I127" s="894"/>
      <c r="J127" s="894"/>
      <c r="K127" s="894"/>
      <c r="L127" s="894"/>
      <c r="M127" s="894"/>
      <c r="N127" s="894"/>
      <c r="O127" s="894"/>
      <c r="P127" s="894"/>
      <c r="Q127" s="894"/>
      <c r="R127" s="894"/>
      <c r="S127" s="894"/>
      <c r="T127" s="894"/>
      <c r="U127" s="894"/>
      <c r="V127" s="894"/>
      <c r="W127" s="894"/>
      <c r="X127" s="894"/>
      <c r="Y127" s="894"/>
    </row>
    <row r="128" spans="3:25">
      <c r="C128" s="894"/>
      <c r="D128" s="894"/>
      <c r="E128" s="894"/>
      <c r="F128" s="894"/>
      <c r="G128" s="894"/>
      <c r="H128" s="894"/>
      <c r="I128" s="894"/>
      <c r="J128" s="894"/>
      <c r="K128" s="894"/>
      <c r="L128" s="894"/>
      <c r="M128" s="894"/>
      <c r="N128" s="894"/>
      <c r="O128" s="894"/>
      <c r="P128" s="894"/>
      <c r="Q128" s="894"/>
      <c r="R128" s="894"/>
      <c r="S128" s="894"/>
      <c r="T128" s="894"/>
      <c r="U128" s="894"/>
      <c r="V128" s="894"/>
      <c r="W128" s="894"/>
      <c r="X128" s="894"/>
      <c r="Y128" s="894"/>
    </row>
    <row r="129" spans="3:25">
      <c r="C129" s="894"/>
      <c r="D129" s="894"/>
      <c r="E129" s="894"/>
      <c r="F129" s="894"/>
      <c r="G129" s="894"/>
      <c r="H129" s="894"/>
      <c r="I129" s="894"/>
      <c r="J129" s="894"/>
      <c r="K129" s="894"/>
      <c r="L129" s="894"/>
      <c r="M129" s="894"/>
      <c r="N129" s="894"/>
      <c r="O129" s="894"/>
      <c r="P129" s="894"/>
      <c r="Q129" s="894"/>
      <c r="R129" s="894"/>
      <c r="S129" s="894"/>
      <c r="T129" s="894"/>
      <c r="U129" s="894"/>
      <c r="V129" s="894"/>
      <c r="W129" s="894"/>
      <c r="X129" s="894"/>
      <c r="Y129" s="894"/>
    </row>
    <row r="130" spans="3:25">
      <c r="C130" s="894"/>
      <c r="D130" s="894"/>
      <c r="E130" s="894"/>
      <c r="F130" s="894"/>
      <c r="G130" s="894"/>
      <c r="H130" s="894"/>
      <c r="I130" s="894"/>
      <c r="J130" s="894"/>
      <c r="K130" s="894"/>
      <c r="L130" s="894"/>
      <c r="M130" s="894"/>
      <c r="N130" s="894"/>
      <c r="O130" s="894"/>
      <c r="P130" s="894"/>
      <c r="Q130" s="894"/>
      <c r="R130" s="894"/>
      <c r="S130" s="894"/>
      <c r="T130" s="894"/>
      <c r="U130" s="894"/>
      <c r="V130" s="894"/>
      <c r="W130" s="894"/>
      <c r="X130" s="894"/>
      <c r="Y130" s="894"/>
    </row>
    <row r="131" spans="3:25">
      <c r="C131" s="894"/>
      <c r="D131" s="894"/>
      <c r="E131" s="894"/>
      <c r="F131" s="894"/>
      <c r="G131" s="894"/>
      <c r="H131" s="894"/>
      <c r="I131" s="894"/>
      <c r="J131" s="894"/>
      <c r="K131" s="894"/>
      <c r="L131" s="894"/>
      <c r="M131" s="894"/>
      <c r="N131" s="894"/>
      <c r="O131" s="894"/>
      <c r="P131" s="894"/>
      <c r="Q131" s="894"/>
      <c r="R131" s="894"/>
      <c r="S131" s="894"/>
      <c r="T131" s="894"/>
      <c r="U131" s="894"/>
      <c r="V131" s="894"/>
      <c r="W131" s="894"/>
      <c r="X131" s="894"/>
      <c r="Y131" s="894"/>
    </row>
    <row r="132" spans="3:25">
      <c r="C132" s="894"/>
      <c r="D132" s="894"/>
      <c r="E132" s="894"/>
      <c r="F132" s="894"/>
      <c r="G132" s="894"/>
      <c r="H132" s="894"/>
      <c r="I132" s="894"/>
      <c r="J132" s="894"/>
      <c r="K132" s="894"/>
      <c r="L132" s="894"/>
      <c r="M132" s="894"/>
      <c r="N132" s="894"/>
      <c r="O132" s="894"/>
      <c r="P132" s="894"/>
      <c r="Q132" s="894"/>
      <c r="R132" s="894"/>
      <c r="S132" s="894"/>
      <c r="T132" s="894"/>
      <c r="U132" s="894"/>
      <c r="V132" s="894"/>
      <c r="W132" s="894"/>
      <c r="X132" s="894"/>
      <c r="Y132" s="894"/>
    </row>
    <row r="133" spans="3:25">
      <c r="C133" s="894"/>
      <c r="D133" s="894"/>
      <c r="E133" s="894"/>
      <c r="F133" s="894"/>
      <c r="G133" s="894"/>
      <c r="H133" s="894"/>
      <c r="I133" s="894"/>
      <c r="J133" s="894"/>
      <c r="K133" s="894"/>
      <c r="L133" s="894"/>
      <c r="M133" s="894"/>
      <c r="N133" s="894"/>
      <c r="O133" s="894"/>
      <c r="P133" s="894"/>
      <c r="Q133" s="894"/>
      <c r="R133" s="894"/>
      <c r="S133" s="894"/>
      <c r="T133" s="894"/>
      <c r="U133" s="894"/>
      <c r="V133" s="894"/>
      <c r="W133" s="894"/>
      <c r="X133" s="894"/>
      <c r="Y133" s="894"/>
    </row>
    <row r="134" spans="3:25">
      <c r="C134" s="894"/>
      <c r="D134" s="894"/>
      <c r="E134" s="894"/>
      <c r="F134" s="894"/>
      <c r="G134" s="894"/>
      <c r="H134" s="894"/>
      <c r="I134" s="894"/>
      <c r="J134" s="894"/>
      <c r="K134" s="894"/>
      <c r="L134" s="894"/>
      <c r="M134" s="894"/>
      <c r="N134" s="894"/>
      <c r="O134" s="894"/>
      <c r="P134" s="894"/>
      <c r="Q134" s="894"/>
      <c r="R134" s="894"/>
      <c r="S134" s="894"/>
      <c r="T134" s="894"/>
      <c r="U134" s="894"/>
      <c r="V134" s="894"/>
      <c r="W134" s="894"/>
      <c r="X134" s="894"/>
      <c r="Y134" s="894"/>
    </row>
    <row r="135" spans="3:25">
      <c r="C135" s="894"/>
      <c r="D135" s="894"/>
      <c r="E135" s="894"/>
      <c r="F135" s="894"/>
      <c r="G135" s="894"/>
      <c r="H135" s="894"/>
      <c r="I135" s="894"/>
      <c r="J135" s="894"/>
      <c r="K135" s="894"/>
      <c r="L135" s="894"/>
      <c r="M135" s="894"/>
      <c r="N135" s="894"/>
      <c r="O135" s="894"/>
      <c r="P135" s="894"/>
      <c r="Q135" s="894"/>
      <c r="R135" s="894"/>
      <c r="S135" s="894"/>
      <c r="T135" s="894"/>
      <c r="U135" s="894"/>
      <c r="V135" s="894"/>
      <c r="W135" s="894"/>
      <c r="X135" s="894"/>
      <c r="Y135" s="894"/>
    </row>
    <row r="136" spans="3:25">
      <c r="C136" s="894"/>
      <c r="D136" s="894"/>
      <c r="E136" s="894"/>
      <c r="F136" s="894"/>
      <c r="G136" s="894"/>
      <c r="H136" s="894"/>
      <c r="I136" s="894"/>
      <c r="J136" s="894"/>
      <c r="K136" s="894"/>
      <c r="L136" s="894"/>
      <c r="M136" s="894"/>
      <c r="N136" s="894"/>
      <c r="O136" s="894"/>
      <c r="P136" s="894"/>
      <c r="Q136" s="894"/>
      <c r="R136" s="894"/>
      <c r="S136" s="894"/>
      <c r="T136" s="894"/>
      <c r="U136" s="894"/>
      <c r="V136" s="894"/>
      <c r="W136" s="894"/>
      <c r="X136" s="894"/>
      <c r="Y136" s="894"/>
    </row>
    <row r="137" spans="3:25">
      <c r="C137" s="894"/>
      <c r="D137" s="894"/>
      <c r="E137" s="894"/>
      <c r="F137" s="894"/>
      <c r="G137" s="894"/>
      <c r="H137" s="894"/>
      <c r="I137" s="894"/>
      <c r="J137" s="894"/>
      <c r="K137" s="894"/>
      <c r="L137" s="894"/>
      <c r="M137" s="894"/>
      <c r="N137" s="894"/>
      <c r="O137" s="894"/>
      <c r="P137" s="894"/>
      <c r="Q137" s="894"/>
      <c r="R137" s="894"/>
      <c r="S137" s="894"/>
      <c r="T137" s="894"/>
      <c r="U137" s="894"/>
      <c r="V137" s="894"/>
      <c r="W137" s="894"/>
      <c r="X137" s="894"/>
      <c r="Y137" s="894"/>
    </row>
    <row r="138" spans="3:25">
      <c r="C138" s="894"/>
      <c r="D138" s="894"/>
      <c r="E138" s="894"/>
      <c r="F138" s="894"/>
      <c r="G138" s="894"/>
      <c r="H138" s="894"/>
      <c r="I138" s="894"/>
      <c r="J138" s="894"/>
      <c r="K138" s="894"/>
      <c r="L138" s="894"/>
      <c r="M138" s="894"/>
      <c r="N138" s="894"/>
      <c r="O138" s="894"/>
      <c r="P138" s="894"/>
      <c r="Q138" s="894"/>
      <c r="R138" s="894"/>
      <c r="S138" s="894"/>
      <c r="T138" s="894"/>
      <c r="U138" s="894"/>
      <c r="V138" s="894"/>
      <c r="W138" s="894"/>
      <c r="X138" s="894"/>
      <c r="Y138" s="894"/>
    </row>
    <row r="139" spans="3:25">
      <c r="C139" s="894"/>
      <c r="D139" s="894"/>
      <c r="E139" s="894"/>
      <c r="F139" s="894"/>
      <c r="G139" s="894"/>
      <c r="H139" s="894"/>
      <c r="I139" s="894"/>
      <c r="J139" s="894"/>
      <c r="K139" s="894"/>
      <c r="L139" s="894"/>
      <c r="M139" s="894"/>
      <c r="N139" s="894"/>
      <c r="O139" s="894"/>
      <c r="P139" s="894"/>
      <c r="Q139" s="894"/>
      <c r="R139" s="894"/>
      <c r="S139" s="894"/>
      <c r="T139" s="894"/>
      <c r="U139" s="894"/>
      <c r="V139" s="894"/>
      <c r="W139" s="894"/>
      <c r="X139" s="894"/>
      <c r="Y139" s="894"/>
    </row>
    <row r="140" spans="3:25">
      <c r="C140" s="894"/>
      <c r="D140" s="894"/>
      <c r="E140" s="894"/>
      <c r="F140" s="894"/>
      <c r="G140" s="894"/>
      <c r="H140" s="894"/>
      <c r="I140" s="894"/>
      <c r="J140" s="894"/>
      <c r="K140" s="894"/>
      <c r="L140" s="894"/>
      <c r="M140" s="894"/>
      <c r="N140" s="894"/>
      <c r="O140" s="894"/>
      <c r="P140" s="894"/>
      <c r="Q140" s="894"/>
      <c r="R140" s="894"/>
      <c r="S140" s="894"/>
      <c r="T140" s="894"/>
      <c r="U140" s="894"/>
      <c r="V140" s="894"/>
      <c r="W140" s="894"/>
      <c r="X140" s="894"/>
      <c r="Y140" s="894"/>
    </row>
    <row r="141" spans="3:25">
      <c r="C141" s="894"/>
      <c r="D141" s="894"/>
      <c r="E141" s="894"/>
      <c r="F141" s="894"/>
      <c r="G141" s="894"/>
      <c r="H141" s="894"/>
      <c r="I141" s="894"/>
      <c r="J141" s="894"/>
      <c r="K141" s="894"/>
      <c r="L141" s="894"/>
      <c r="M141" s="894"/>
      <c r="N141" s="894"/>
      <c r="O141" s="894"/>
      <c r="P141" s="894"/>
      <c r="Q141" s="894"/>
      <c r="R141" s="894"/>
      <c r="S141" s="894"/>
      <c r="T141" s="894"/>
      <c r="U141" s="894"/>
      <c r="V141" s="894"/>
      <c r="W141" s="894"/>
      <c r="X141" s="894"/>
      <c r="Y141" s="894"/>
    </row>
    <row r="142" spans="3:25">
      <c r="C142" s="894"/>
      <c r="D142" s="894"/>
      <c r="E142" s="894"/>
      <c r="F142" s="894"/>
      <c r="G142" s="894"/>
      <c r="H142" s="894"/>
      <c r="I142" s="894"/>
      <c r="J142" s="894"/>
      <c r="K142" s="894"/>
      <c r="L142" s="894"/>
      <c r="M142" s="894"/>
      <c r="N142" s="894"/>
      <c r="O142" s="894"/>
      <c r="P142" s="894"/>
      <c r="Q142" s="894"/>
      <c r="R142" s="894"/>
      <c r="S142" s="894"/>
      <c r="T142" s="894"/>
      <c r="U142" s="894"/>
      <c r="V142" s="894"/>
      <c r="W142" s="894"/>
      <c r="X142" s="894"/>
      <c r="Y142" s="894"/>
    </row>
    <row r="143" spans="3:25">
      <c r="C143" s="894"/>
      <c r="D143" s="894"/>
      <c r="E143" s="894"/>
      <c r="F143" s="894"/>
      <c r="G143" s="894"/>
      <c r="H143" s="894"/>
      <c r="I143" s="894"/>
      <c r="J143" s="894"/>
      <c r="K143" s="894"/>
      <c r="L143" s="894"/>
      <c r="M143" s="894"/>
      <c r="N143" s="894"/>
      <c r="O143" s="894"/>
      <c r="P143" s="894"/>
      <c r="Q143" s="894"/>
      <c r="R143" s="894"/>
      <c r="S143" s="894"/>
      <c r="T143" s="894"/>
      <c r="U143" s="894"/>
      <c r="V143" s="894"/>
      <c r="W143" s="894"/>
      <c r="X143" s="894"/>
      <c r="Y143" s="894"/>
    </row>
    <row r="144" spans="3:25">
      <c r="C144" s="894"/>
      <c r="D144" s="894"/>
      <c r="E144" s="894"/>
      <c r="F144" s="894"/>
      <c r="G144" s="894"/>
      <c r="H144" s="894"/>
      <c r="I144" s="894"/>
      <c r="J144" s="894"/>
      <c r="K144" s="894"/>
      <c r="L144" s="894"/>
      <c r="M144" s="894"/>
      <c r="N144" s="894"/>
      <c r="O144" s="894"/>
      <c r="P144" s="894"/>
      <c r="Q144" s="894"/>
      <c r="R144" s="894"/>
      <c r="S144" s="894"/>
      <c r="T144" s="894"/>
      <c r="U144" s="894"/>
      <c r="V144" s="894"/>
      <c r="W144" s="894"/>
      <c r="X144" s="894"/>
      <c r="Y144" s="894"/>
    </row>
    <row r="145" spans="3:25">
      <c r="C145" s="894"/>
      <c r="D145" s="894"/>
      <c r="E145" s="894"/>
      <c r="F145" s="894"/>
      <c r="G145" s="894"/>
      <c r="H145" s="894"/>
      <c r="I145" s="894"/>
      <c r="J145" s="894"/>
      <c r="K145" s="894"/>
      <c r="L145" s="894"/>
      <c r="M145" s="894"/>
      <c r="N145" s="894"/>
      <c r="O145" s="894"/>
      <c r="P145" s="894"/>
      <c r="Q145" s="894"/>
      <c r="R145" s="894"/>
      <c r="S145" s="894"/>
      <c r="T145" s="894"/>
      <c r="U145" s="894"/>
      <c r="V145" s="894"/>
      <c r="W145" s="894"/>
      <c r="X145" s="894"/>
      <c r="Y145" s="894"/>
    </row>
    <row r="146" spans="3:25">
      <c r="C146" s="894"/>
      <c r="D146" s="894"/>
      <c r="E146" s="894"/>
      <c r="F146" s="894"/>
      <c r="G146" s="894"/>
      <c r="H146" s="894"/>
      <c r="I146" s="894"/>
      <c r="J146" s="894"/>
      <c r="K146" s="894"/>
      <c r="L146" s="894"/>
      <c r="M146" s="894"/>
      <c r="N146" s="894"/>
      <c r="O146" s="894"/>
      <c r="P146" s="894"/>
      <c r="Q146" s="894"/>
      <c r="R146" s="894"/>
      <c r="S146" s="894"/>
      <c r="T146" s="894"/>
      <c r="U146" s="894"/>
      <c r="V146" s="894"/>
      <c r="W146" s="894"/>
      <c r="X146" s="894"/>
      <c r="Y146" s="894"/>
    </row>
    <row r="147" spans="3:25">
      <c r="C147" s="894"/>
      <c r="D147" s="894"/>
      <c r="E147" s="894"/>
      <c r="F147" s="894"/>
      <c r="G147" s="894"/>
      <c r="H147" s="894"/>
      <c r="I147" s="894"/>
      <c r="J147" s="894"/>
      <c r="K147" s="894"/>
      <c r="L147" s="894"/>
      <c r="M147" s="894"/>
      <c r="N147" s="894"/>
      <c r="O147" s="894"/>
      <c r="P147" s="894"/>
      <c r="Q147" s="894"/>
      <c r="R147" s="894"/>
      <c r="S147" s="894"/>
      <c r="T147" s="894"/>
      <c r="U147" s="894"/>
      <c r="V147" s="894"/>
      <c r="W147" s="894"/>
      <c r="X147" s="894"/>
      <c r="Y147" s="894"/>
    </row>
    <row r="148" spans="3:25">
      <c r="C148" s="894"/>
      <c r="D148" s="894"/>
      <c r="E148" s="894"/>
      <c r="F148" s="894"/>
      <c r="G148" s="894"/>
      <c r="H148" s="894"/>
      <c r="I148" s="894"/>
      <c r="J148" s="894"/>
      <c r="K148" s="894"/>
      <c r="L148" s="894"/>
      <c r="M148" s="894"/>
      <c r="N148" s="894"/>
      <c r="O148" s="894"/>
      <c r="P148" s="894"/>
      <c r="Q148" s="894"/>
      <c r="R148" s="894"/>
      <c r="S148" s="894"/>
      <c r="T148" s="894"/>
      <c r="U148" s="894"/>
      <c r="V148" s="894"/>
      <c r="W148" s="894"/>
      <c r="X148" s="894"/>
      <c r="Y148" s="894"/>
    </row>
    <row r="149" spans="3:25">
      <c r="C149" s="894"/>
      <c r="D149" s="894"/>
      <c r="E149" s="894"/>
      <c r="F149" s="894"/>
      <c r="G149" s="894"/>
      <c r="H149" s="894"/>
      <c r="I149" s="894"/>
      <c r="J149" s="894"/>
      <c r="K149" s="894"/>
      <c r="L149" s="894"/>
      <c r="M149" s="894"/>
      <c r="N149" s="894"/>
      <c r="O149" s="894"/>
      <c r="P149" s="894"/>
      <c r="Q149" s="894"/>
      <c r="R149" s="894"/>
      <c r="S149" s="894"/>
      <c r="T149" s="894"/>
      <c r="U149" s="894"/>
      <c r="V149" s="894"/>
      <c r="W149" s="894"/>
      <c r="X149" s="894"/>
      <c r="Y149" s="894"/>
    </row>
    <row r="150" spans="3:25">
      <c r="C150" s="894"/>
      <c r="D150" s="894"/>
      <c r="E150" s="894"/>
      <c r="F150" s="894"/>
      <c r="G150" s="894"/>
      <c r="H150" s="894"/>
      <c r="I150" s="894"/>
      <c r="J150" s="894"/>
      <c r="K150" s="894"/>
      <c r="L150" s="894"/>
      <c r="M150" s="894"/>
      <c r="N150" s="894"/>
      <c r="O150" s="894"/>
      <c r="P150" s="894"/>
      <c r="Q150" s="894"/>
      <c r="R150" s="894"/>
      <c r="S150" s="894"/>
      <c r="T150" s="894"/>
      <c r="U150" s="894"/>
      <c r="V150" s="894"/>
      <c r="W150" s="894"/>
      <c r="X150" s="894"/>
      <c r="Y150" s="894"/>
    </row>
    <row r="151" spans="3:25">
      <c r="C151" s="894"/>
      <c r="D151" s="894"/>
      <c r="E151" s="894"/>
      <c r="F151" s="894"/>
      <c r="G151" s="894"/>
      <c r="H151" s="894"/>
      <c r="I151" s="894"/>
      <c r="J151" s="894"/>
      <c r="K151" s="894"/>
      <c r="L151" s="894"/>
      <c r="M151" s="894"/>
      <c r="N151" s="894"/>
      <c r="O151" s="894"/>
      <c r="P151" s="894"/>
      <c r="Q151" s="894"/>
      <c r="R151" s="894"/>
      <c r="S151" s="894"/>
      <c r="T151" s="894"/>
      <c r="U151" s="894"/>
      <c r="V151" s="894"/>
      <c r="W151" s="894"/>
      <c r="X151" s="894"/>
      <c r="Y151" s="894"/>
    </row>
    <row r="152" spans="3:25">
      <c r="C152" s="894"/>
      <c r="D152" s="894"/>
      <c r="E152" s="894"/>
      <c r="F152" s="894"/>
      <c r="G152" s="894"/>
      <c r="H152" s="894"/>
      <c r="I152" s="894"/>
      <c r="J152" s="894"/>
      <c r="K152" s="894"/>
      <c r="L152" s="894"/>
      <c r="M152" s="894"/>
      <c r="N152" s="894"/>
      <c r="O152" s="894"/>
      <c r="P152" s="894"/>
      <c r="Q152" s="894"/>
      <c r="R152" s="894"/>
      <c r="S152" s="894"/>
      <c r="T152" s="894"/>
      <c r="U152" s="894"/>
      <c r="V152" s="894"/>
      <c r="W152" s="894"/>
      <c r="X152" s="894"/>
      <c r="Y152" s="894"/>
    </row>
    <row r="153" spans="3:25">
      <c r="C153" s="894"/>
      <c r="D153" s="894"/>
      <c r="E153" s="894"/>
      <c r="F153" s="894"/>
      <c r="G153" s="894"/>
      <c r="H153" s="894"/>
      <c r="I153" s="894"/>
      <c r="J153" s="894"/>
      <c r="K153" s="894"/>
      <c r="L153" s="894"/>
      <c r="M153" s="894"/>
      <c r="N153" s="894"/>
      <c r="O153" s="894"/>
      <c r="P153" s="894"/>
      <c r="Q153" s="894"/>
      <c r="R153" s="894"/>
      <c r="S153" s="894"/>
      <c r="T153" s="894"/>
      <c r="U153" s="894"/>
      <c r="V153" s="894"/>
      <c r="W153" s="894"/>
      <c r="X153" s="894"/>
      <c r="Y153" s="894"/>
    </row>
    <row r="154" spans="3:25">
      <c r="C154" s="894"/>
      <c r="D154" s="894"/>
      <c r="E154" s="894"/>
      <c r="F154" s="894"/>
      <c r="G154" s="894"/>
      <c r="H154" s="894"/>
      <c r="I154" s="894"/>
      <c r="J154" s="894"/>
      <c r="K154" s="894"/>
      <c r="L154" s="894"/>
      <c r="M154" s="894"/>
      <c r="N154" s="894"/>
      <c r="O154" s="894"/>
      <c r="P154" s="894"/>
      <c r="Q154" s="894"/>
      <c r="R154" s="894"/>
      <c r="S154" s="894"/>
      <c r="T154" s="894"/>
      <c r="U154" s="894"/>
      <c r="V154" s="894"/>
      <c r="W154" s="894"/>
      <c r="X154" s="894"/>
      <c r="Y154" s="894"/>
    </row>
    <row r="155" spans="3:25">
      <c r="C155" s="894"/>
      <c r="D155" s="894"/>
      <c r="E155" s="894"/>
      <c r="F155" s="894"/>
      <c r="G155" s="894"/>
      <c r="H155" s="894"/>
      <c r="I155" s="894"/>
      <c r="J155" s="894"/>
      <c r="K155" s="894"/>
      <c r="L155" s="894"/>
      <c r="M155" s="894"/>
      <c r="N155" s="894"/>
      <c r="O155" s="894"/>
      <c r="P155" s="894"/>
      <c r="Q155" s="894"/>
      <c r="R155" s="894"/>
      <c r="S155" s="894"/>
      <c r="T155" s="894"/>
      <c r="U155" s="894"/>
      <c r="V155" s="894"/>
      <c r="W155" s="894"/>
      <c r="X155" s="894"/>
      <c r="Y155" s="894"/>
    </row>
    <row r="156" spans="3:25">
      <c r="C156" s="894"/>
      <c r="D156" s="894"/>
      <c r="E156" s="894"/>
      <c r="F156" s="894"/>
      <c r="G156" s="894"/>
      <c r="H156" s="894"/>
      <c r="I156" s="894"/>
      <c r="J156" s="894"/>
      <c r="K156" s="894"/>
      <c r="L156" s="894"/>
      <c r="M156" s="894"/>
      <c r="N156" s="894"/>
      <c r="O156" s="894"/>
      <c r="P156" s="894"/>
      <c r="Q156" s="894"/>
      <c r="R156" s="894"/>
      <c r="S156" s="894"/>
      <c r="T156" s="894"/>
      <c r="U156" s="894"/>
      <c r="V156" s="894"/>
      <c r="W156" s="894"/>
      <c r="X156" s="894"/>
      <c r="Y156" s="894"/>
    </row>
    <row r="157" spans="3:25">
      <c r="C157" s="894"/>
      <c r="D157" s="894"/>
      <c r="E157" s="894"/>
      <c r="F157" s="894"/>
      <c r="G157" s="894"/>
      <c r="H157" s="894"/>
      <c r="I157" s="894"/>
      <c r="J157" s="894"/>
      <c r="K157" s="894"/>
      <c r="L157" s="894"/>
      <c r="M157" s="894"/>
      <c r="N157" s="894"/>
      <c r="O157" s="894"/>
      <c r="P157" s="894"/>
      <c r="Q157" s="894"/>
      <c r="R157" s="894"/>
      <c r="S157" s="894"/>
      <c r="T157" s="894"/>
      <c r="U157" s="894"/>
      <c r="V157" s="894"/>
      <c r="W157" s="894"/>
      <c r="X157" s="894"/>
      <c r="Y157" s="894"/>
    </row>
    <row r="158" spans="3:25">
      <c r="C158" s="894"/>
      <c r="D158" s="894"/>
      <c r="E158" s="894"/>
      <c r="F158" s="894"/>
      <c r="G158" s="894"/>
      <c r="H158" s="894"/>
      <c r="I158" s="894"/>
      <c r="J158" s="894"/>
      <c r="K158" s="894"/>
      <c r="L158" s="894"/>
      <c r="M158" s="894"/>
      <c r="N158" s="894"/>
      <c r="O158" s="894"/>
      <c r="P158" s="894"/>
      <c r="Q158" s="894"/>
      <c r="R158" s="894"/>
      <c r="S158" s="894"/>
      <c r="T158" s="894"/>
      <c r="U158" s="894"/>
      <c r="V158" s="894"/>
      <c r="W158" s="894"/>
      <c r="X158" s="894"/>
      <c r="Y158" s="894"/>
    </row>
    <row r="159" spans="3:25">
      <c r="C159" s="894"/>
      <c r="D159" s="894"/>
      <c r="E159" s="894"/>
      <c r="F159" s="894"/>
      <c r="G159" s="894"/>
      <c r="H159" s="894"/>
      <c r="I159" s="894"/>
      <c r="J159" s="894"/>
      <c r="K159" s="894"/>
      <c r="L159" s="894"/>
      <c r="M159" s="894"/>
      <c r="N159" s="894"/>
      <c r="O159" s="894"/>
      <c r="P159" s="894"/>
      <c r="Q159" s="894"/>
      <c r="R159" s="894"/>
      <c r="S159" s="894"/>
      <c r="T159" s="894"/>
      <c r="U159" s="894"/>
      <c r="V159" s="894"/>
      <c r="W159" s="894"/>
      <c r="X159" s="894"/>
      <c r="Y159" s="894"/>
    </row>
    <row r="160" spans="3:25">
      <c r="C160" s="894"/>
      <c r="D160" s="894"/>
      <c r="E160" s="894"/>
      <c r="F160" s="894"/>
      <c r="G160" s="894"/>
      <c r="H160" s="894"/>
      <c r="I160" s="894"/>
      <c r="J160" s="894"/>
      <c r="K160" s="894"/>
      <c r="L160" s="894"/>
      <c r="M160" s="894"/>
      <c r="N160" s="894"/>
      <c r="O160" s="894"/>
      <c r="P160" s="894"/>
      <c r="Q160" s="894"/>
      <c r="R160" s="894"/>
      <c r="S160" s="894"/>
      <c r="T160" s="894"/>
      <c r="U160" s="894"/>
      <c r="V160" s="894"/>
      <c r="W160" s="894"/>
      <c r="X160" s="894"/>
      <c r="Y160" s="894"/>
    </row>
    <row r="161" spans="3:25">
      <c r="C161" s="894"/>
      <c r="D161" s="894"/>
      <c r="E161" s="894"/>
      <c r="F161" s="894"/>
      <c r="G161" s="894"/>
      <c r="H161" s="894"/>
      <c r="I161" s="894"/>
      <c r="J161" s="894"/>
      <c r="K161" s="894"/>
      <c r="L161" s="894"/>
      <c r="M161" s="894"/>
      <c r="N161" s="894"/>
      <c r="O161" s="894"/>
      <c r="P161" s="894"/>
      <c r="Q161" s="894"/>
      <c r="R161" s="894"/>
      <c r="S161" s="894"/>
      <c r="T161" s="894"/>
      <c r="U161" s="894"/>
      <c r="V161" s="894"/>
      <c r="W161" s="894"/>
      <c r="X161" s="894"/>
      <c r="Y161" s="894"/>
    </row>
    <row r="162" spans="3:25">
      <c r="C162" s="894"/>
      <c r="D162" s="894"/>
      <c r="E162" s="894"/>
      <c r="F162" s="894"/>
      <c r="G162" s="894"/>
      <c r="H162" s="894"/>
      <c r="I162" s="894"/>
      <c r="J162" s="894"/>
      <c r="K162" s="894"/>
      <c r="L162" s="894"/>
      <c r="M162" s="894"/>
      <c r="N162" s="894"/>
      <c r="O162" s="894"/>
      <c r="P162" s="894"/>
      <c r="Q162" s="894"/>
      <c r="R162" s="894"/>
      <c r="S162" s="894"/>
      <c r="T162" s="894"/>
      <c r="U162" s="894"/>
      <c r="V162" s="894"/>
      <c r="W162" s="894"/>
      <c r="X162" s="894"/>
      <c r="Y162" s="894"/>
    </row>
    <row r="163" spans="3:25">
      <c r="C163" s="894"/>
      <c r="D163" s="894"/>
      <c r="E163" s="894"/>
      <c r="F163" s="894"/>
      <c r="G163" s="894"/>
      <c r="H163" s="894"/>
      <c r="I163" s="894"/>
      <c r="J163" s="894"/>
      <c r="K163" s="894"/>
      <c r="L163" s="894"/>
      <c r="M163" s="894"/>
      <c r="N163" s="894"/>
      <c r="O163" s="894"/>
      <c r="P163" s="894"/>
      <c r="Q163" s="894"/>
      <c r="R163" s="894"/>
      <c r="S163" s="894"/>
      <c r="T163" s="894"/>
      <c r="U163" s="894"/>
      <c r="V163" s="894"/>
      <c r="W163" s="894"/>
      <c r="X163" s="894"/>
      <c r="Y163" s="894"/>
    </row>
    <row r="164" spans="3:25">
      <c r="C164" s="894"/>
      <c r="D164" s="894"/>
      <c r="E164" s="894"/>
      <c r="F164" s="894"/>
      <c r="G164" s="894"/>
      <c r="H164" s="894"/>
      <c r="I164" s="894"/>
      <c r="J164" s="894"/>
      <c r="K164" s="894"/>
      <c r="L164" s="894"/>
      <c r="M164" s="894"/>
      <c r="N164" s="894"/>
      <c r="O164" s="894"/>
      <c r="P164" s="894"/>
      <c r="Q164" s="894"/>
      <c r="R164" s="894"/>
      <c r="S164" s="894"/>
      <c r="T164" s="894"/>
      <c r="U164" s="894"/>
      <c r="V164" s="894"/>
      <c r="W164" s="894"/>
      <c r="X164" s="894"/>
      <c r="Y164" s="894"/>
    </row>
    <row r="165" spans="3:25">
      <c r="C165" s="894"/>
      <c r="D165" s="894"/>
      <c r="E165" s="894"/>
      <c r="F165" s="894"/>
      <c r="G165" s="894"/>
      <c r="H165" s="894"/>
      <c r="I165" s="894"/>
      <c r="J165" s="894"/>
      <c r="K165" s="894"/>
      <c r="L165" s="894"/>
      <c r="M165" s="894"/>
      <c r="N165" s="894"/>
      <c r="O165" s="894"/>
      <c r="P165" s="894"/>
      <c r="Q165" s="894"/>
      <c r="R165" s="894"/>
      <c r="S165" s="894"/>
      <c r="T165" s="894"/>
      <c r="U165" s="894"/>
      <c r="V165" s="894"/>
      <c r="W165" s="894"/>
      <c r="X165" s="894"/>
      <c r="Y165" s="894"/>
    </row>
    <row r="166" spans="3:25">
      <c r="C166" s="894"/>
      <c r="D166" s="894"/>
      <c r="E166" s="894"/>
      <c r="F166" s="894"/>
      <c r="G166" s="894"/>
      <c r="H166" s="894"/>
      <c r="I166" s="894"/>
      <c r="J166" s="894"/>
      <c r="K166" s="894"/>
      <c r="L166" s="894"/>
      <c r="M166" s="894"/>
      <c r="N166" s="894"/>
      <c r="O166" s="894"/>
      <c r="P166" s="894"/>
      <c r="Q166" s="894"/>
      <c r="R166" s="894"/>
      <c r="S166" s="894"/>
      <c r="T166" s="894"/>
      <c r="U166" s="894"/>
      <c r="V166" s="894"/>
      <c r="W166" s="894"/>
      <c r="X166" s="894"/>
      <c r="Y166" s="894"/>
    </row>
    <row r="167" spans="3:25">
      <c r="C167" s="894"/>
      <c r="D167" s="894"/>
      <c r="E167" s="894"/>
      <c r="F167" s="894"/>
      <c r="G167" s="894"/>
      <c r="H167" s="894"/>
      <c r="I167" s="894"/>
      <c r="J167" s="894"/>
      <c r="K167" s="894"/>
      <c r="L167" s="894"/>
      <c r="M167" s="894"/>
      <c r="N167" s="894"/>
      <c r="O167" s="894"/>
      <c r="P167" s="894"/>
      <c r="Q167" s="894"/>
      <c r="R167" s="894"/>
      <c r="S167" s="894"/>
      <c r="T167" s="894"/>
      <c r="U167" s="894"/>
      <c r="V167" s="894"/>
      <c r="W167" s="894"/>
      <c r="X167" s="894"/>
      <c r="Y167" s="894"/>
    </row>
    <row r="168" spans="3:25">
      <c r="C168" s="894"/>
      <c r="D168" s="894"/>
      <c r="E168" s="894"/>
      <c r="F168" s="894"/>
      <c r="G168" s="894"/>
      <c r="H168" s="894"/>
      <c r="I168" s="894"/>
      <c r="J168" s="894"/>
      <c r="K168" s="894"/>
      <c r="L168" s="894"/>
      <c r="M168" s="894"/>
      <c r="N168" s="894"/>
      <c r="O168" s="894"/>
      <c r="P168" s="894"/>
      <c r="Q168" s="894"/>
      <c r="R168" s="894"/>
      <c r="S168" s="894"/>
      <c r="T168" s="894"/>
      <c r="U168" s="894"/>
      <c r="V168" s="894"/>
      <c r="W168" s="894"/>
      <c r="X168" s="894"/>
      <c r="Y168" s="894"/>
    </row>
    <row r="169" spans="3:25">
      <c r="C169" s="894"/>
      <c r="D169" s="894"/>
      <c r="E169" s="894"/>
      <c r="F169" s="894"/>
      <c r="G169" s="894"/>
      <c r="H169" s="894"/>
      <c r="I169" s="894"/>
      <c r="J169" s="894"/>
      <c r="K169" s="894"/>
      <c r="L169" s="894"/>
      <c r="M169" s="894"/>
      <c r="N169" s="894"/>
      <c r="O169" s="894"/>
      <c r="P169" s="894"/>
      <c r="Q169" s="894"/>
      <c r="R169" s="894"/>
      <c r="S169" s="894"/>
      <c r="T169" s="894"/>
      <c r="U169" s="894"/>
      <c r="V169" s="894"/>
      <c r="W169" s="894"/>
      <c r="X169" s="894"/>
      <c r="Y169" s="894"/>
    </row>
    <row r="170" spans="3:25">
      <c r="C170" s="894"/>
      <c r="D170" s="894"/>
      <c r="E170" s="894"/>
      <c r="F170" s="894"/>
      <c r="G170" s="894"/>
      <c r="H170" s="894"/>
      <c r="I170" s="894"/>
      <c r="J170" s="894"/>
      <c r="K170" s="894"/>
      <c r="L170" s="894"/>
      <c r="M170" s="894"/>
      <c r="N170" s="894"/>
      <c r="O170" s="894"/>
      <c r="P170" s="894"/>
      <c r="Q170" s="894"/>
      <c r="R170" s="894"/>
      <c r="S170" s="894"/>
      <c r="T170" s="894"/>
      <c r="U170" s="894"/>
      <c r="V170" s="894"/>
      <c r="W170" s="894"/>
      <c r="X170" s="894"/>
      <c r="Y170" s="894"/>
    </row>
    <row r="171" spans="3:25">
      <c r="C171" s="894"/>
      <c r="D171" s="894"/>
      <c r="E171" s="894"/>
      <c r="F171" s="894"/>
      <c r="G171" s="894"/>
      <c r="H171" s="894"/>
      <c r="I171" s="894"/>
      <c r="J171" s="894"/>
      <c r="K171" s="894"/>
      <c r="L171" s="894"/>
      <c r="M171" s="894"/>
      <c r="N171" s="894"/>
      <c r="O171" s="894"/>
      <c r="P171" s="894"/>
      <c r="Q171" s="894"/>
      <c r="R171" s="894"/>
      <c r="S171" s="894"/>
      <c r="T171" s="894"/>
      <c r="U171" s="894"/>
      <c r="V171" s="894"/>
      <c r="W171" s="894"/>
      <c r="X171" s="894"/>
      <c r="Y171" s="894"/>
    </row>
    <row r="172" spans="3:25">
      <c r="C172" s="894"/>
      <c r="D172" s="894"/>
      <c r="E172" s="894"/>
      <c r="F172" s="894"/>
      <c r="G172" s="894"/>
      <c r="H172" s="894"/>
      <c r="I172" s="894"/>
      <c r="J172" s="894"/>
      <c r="K172" s="894"/>
      <c r="L172" s="894"/>
      <c r="M172" s="894"/>
      <c r="N172" s="894"/>
      <c r="O172" s="894"/>
      <c r="P172" s="894"/>
      <c r="Q172" s="894"/>
      <c r="R172" s="894"/>
      <c r="S172" s="894"/>
      <c r="T172" s="894"/>
      <c r="U172" s="894"/>
      <c r="V172" s="894"/>
      <c r="W172" s="894"/>
      <c r="X172" s="894"/>
      <c r="Y172" s="894"/>
    </row>
    <row r="173" spans="3:25">
      <c r="C173" s="894"/>
      <c r="D173" s="894"/>
      <c r="E173" s="894"/>
      <c r="F173" s="894"/>
      <c r="G173" s="894"/>
      <c r="H173" s="894"/>
      <c r="I173" s="894"/>
      <c r="J173" s="894"/>
      <c r="K173" s="894"/>
      <c r="L173" s="894"/>
      <c r="M173" s="894"/>
      <c r="N173" s="894"/>
      <c r="O173" s="894"/>
      <c r="P173" s="894"/>
      <c r="Q173" s="894"/>
      <c r="R173" s="894"/>
      <c r="S173" s="894"/>
      <c r="T173" s="894"/>
      <c r="U173" s="894"/>
      <c r="V173" s="894"/>
      <c r="W173" s="894"/>
      <c r="X173" s="894"/>
      <c r="Y173" s="894"/>
    </row>
    <row r="174" spans="3:25">
      <c r="C174" s="894"/>
      <c r="D174" s="894"/>
      <c r="E174" s="894"/>
      <c r="F174" s="894"/>
      <c r="G174" s="894"/>
      <c r="H174" s="894"/>
      <c r="I174" s="894"/>
      <c r="J174" s="894"/>
      <c r="K174" s="894"/>
      <c r="L174" s="894"/>
      <c r="M174" s="894"/>
      <c r="N174" s="894"/>
      <c r="O174" s="894"/>
      <c r="P174" s="894"/>
      <c r="Q174" s="894"/>
      <c r="R174" s="894"/>
      <c r="S174" s="894"/>
      <c r="T174" s="894"/>
      <c r="U174" s="894"/>
      <c r="V174" s="894"/>
      <c r="W174" s="894"/>
      <c r="X174" s="894"/>
      <c r="Y174" s="894"/>
    </row>
    <row r="175" spans="3:25">
      <c r="C175" s="894"/>
      <c r="D175" s="894"/>
      <c r="E175" s="894"/>
      <c r="F175" s="894"/>
      <c r="G175" s="894"/>
      <c r="H175" s="894"/>
      <c r="I175" s="894"/>
      <c r="J175" s="894"/>
      <c r="K175" s="894"/>
      <c r="L175" s="894"/>
      <c r="M175" s="894"/>
      <c r="N175" s="894"/>
      <c r="O175" s="894"/>
      <c r="P175" s="894"/>
      <c r="Q175" s="894"/>
      <c r="R175" s="894"/>
      <c r="S175" s="894"/>
      <c r="T175" s="894"/>
      <c r="U175" s="894"/>
      <c r="V175" s="894"/>
      <c r="W175" s="894"/>
      <c r="X175" s="894"/>
      <c r="Y175" s="894"/>
    </row>
    <row r="176" spans="3:25">
      <c r="C176" s="894"/>
      <c r="D176" s="894"/>
      <c r="E176" s="894"/>
      <c r="F176" s="894"/>
      <c r="G176" s="894"/>
      <c r="H176" s="894"/>
      <c r="I176" s="894"/>
      <c r="J176" s="894"/>
      <c r="K176" s="894"/>
      <c r="L176" s="894"/>
      <c r="M176" s="894"/>
      <c r="N176" s="894"/>
      <c r="O176" s="894"/>
      <c r="P176" s="894"/>
      <c r="Q176" s="894"/>
      <c r="R176" s="894"/>
      <c r="S176" s="894"/>
      <c r="T176" s="894"/>
      <c r="U176" s="894"/>
      <c r="V176" s="894"/>
      <c r="W176" s="894"/>
      <c r="X176" s="894"/>
      <c r="Y176" s="894"/>
    </row>
    <row r="177" spans="3:25">
      <c r="C177" s="894"/>
      <c r="D177" s="894"/>
      <c r="E177" s="894"/>
      <c r="F177" s="894"/>
      <c r="G177" s="894"/>
      <c r="H177" s="894"/>
      <c r="I177" s="894"/>
      <c r="J177" s="894"/>
      <c r="K177" s="894"/>
      <c r="L177" s="894"/>
      <c r="M177" s="894"/>
      <c r="N177" s="894"/>
      <c r="O177" s="894"/>
      <c r="P177" s="894"/>
      <c r="Q177" s="894"/>
      <c r="R177" s="894"/>
      <c r="S177" s="894"/>
      <c r="T177" s="894"/>
      <c r="U177" s="894"/>
      <c r="V177" s="894"/>
      <c r="W177" s="894"/>
      <c r="X177" s="894"/>
      <c r="Y177" s="894"/>
    </row>
    <row r="178" spans="3:25">
      <c r="C178" s="894"/>
      <c r="D178" s="894"/>
      <c r="E178" s="894"/>
      <c r="F178" s="894"/>
      <c r="G178" s="894"/>
      <c r="H178" s="894"/>
      <c r="I178" s="894"/>
      <c r="J178" s="894"/>
      <c r="K178" s="894"/>
      <c r="L178" s="894"/>
      <c r="M178" s="894"/>
      <c r="N178" s="894"/>
      <c r="O178" s="894"/>
      <c r="P178" s="894"/>
      <c r="Q178" s="894"/>
      <c r="R178" s="894"/>
      <c r="S178" s="894"/>
      <c r="T178" s="894"/>
      <c r="U178" s="894"/>
      <c r="V178" s="894"/>
      <c r="W178" s="894"/>
      <c r="X178" s="894"/>
      <c r="Y178" s="894"/>
    </row>
    <row r="179" spans="3:25">
      <c r="C179" s="894"/>
      <c r="D179" s="894"/>
      <c r="E179" s="894"/>
      <c r="F179" s="894"/>
      <c r="G179" s="894"/>
      <c r="H179" s="894"/>
      <c r="I179" s="894"/>
      <c r="J179" s="894"/>
      <c r="K179" s="894"/>
      <c r="L179" s="894"/>
      <c r="M179" s="894"/>
      <c r="N179" s="894"/>
      <c r="O179" s="894"/>
      <c r="P179" s="894"/>
      <c r="Q179" s="894"/>
      <c r="R179" s="894"/>
      <c r="S179" s="894"/>
      <c r="T179" s="894"/>
      <c r="U179" s="894"/>
      <c r="V179" s="894"/>
      <c r="W179" s="894"/>
      <c r="X179" s="894"/>
      <c r="Y179" s="894"/>
    </row>
    <row r="180" spans="3:25">
      <c r="C180" s="894"/>
      <c r="D180" s="894"/>
      <c r="E180" s="894"/>
      <c r="F180" s="894"/>
      <c r="G180" s="894"/>
      <c r="H180" s="894"/>
      <c r="I180" s="894"/>
      <c r="J180" s="894"/>
      <c r="K180" s="894"/>
      <c r="L180" s="894"/>
      <c r="M180" s="894"/>
      <c r="N180" s="894"/>
      <c r="O180" s="894"/>
      <c r="P180" s="894"/>
      <c r="Q180" s="894"/>
      <c r="R180" s="894"/>
      <c r="S180" s="894"/>
      <c r="T180" s="894"/>
      <c r="U180" s="894"/>
      <c r="V180" s="894"/>
      <c r="W180" s="894"/>
      <c r="X180" s="894"/>
      <c r="Y180" s="894"/>
    </row>
    <row r="181" spans="3:25">
      <c r="C181" s="894"/>
      <c r="D181" s="894"/>
      <c r="E181" s="894"/>
      <c r="F181" s="894"/>
      <c r="G181" s="894"/>
      <c r="H181" s="894"/>
      <c r="I181" s="894"/>
      <c r="J181" s="894"/>
      <c r="K181" s="894"/>
      <c r="L181" s="894"/>
      <c r="M181" s="894"/>
      <c r="N181" s="894"/>
      <c r="O181" s="894"/>
      <c r="P181" s="894"/>
      <c r="Q181" s="894"/>
      <c r="R181" s="894"/>
      <c r="S181" s="894"/>
      <c r="T181" s="894"/>
      <c r="U181" s="894"/>
      <c r="V181" s="894"/>
      <c r="W181" s="894"/>
      <c r="X181" s="894"/>
      <c r="Y181" s="894"/>
    </row>
    <row r="182" spans="3:25">
      <c r="C182" s="894"/>
      <c r="D182" s="894"/>
      <c r="E182" s="894"/>
      <c r="F182" s="894"/>
      <c r="G182" s="894"/>
      <c r="H182" s="894"/>
      <c r="I182" s="894"/>
      <c r="J182" s="894"/>
      <c r="K182" s="894"/>
      <c r="L182" s="894"/>
      <c r="M182" s="894"/>
      <c r="N182" s="894"/>
      <c r="O182" s="894"/>
      <c r="P182" s="894"/>
      <c r="Q182" s="894"/>
      <c r="R182" s="894"/>
      <c r="S182" s="894"/>
      <c r="T182" s="894"/>
      <c r="U182" s="894"/>
      <c r="V182" s="894"/>
      <c r="W182" s="894"/>
      <c r="X182" s="894"/>
      <c r="Y182" s="894"/>
    </row>
    <row r="183" spans="3:25">
      <c r="C183" s="894"/>
      <c r="D183" s="894"/>
      <c r="E183" s="894"/>
      <c r="F183" s="894"/>
      <c r="G183" s="894"/>
      <c r="H183" s="894"/>
      <c r="I183" s="894"/>
      <c r="J183" s="894"/>
      <c r="K183" s="894"/>
      <c r="L183" s="894"/>
      <c r="M183" s="894"/>
      <c r="N183" s="894"/>
      <c r="O183" s="894"/>
      <c r="P183" s="894"/>
      <c r="Q183" s="894"/>
      <c r="R183" s="894"/>
      <c r="S183" s="894"/>
      <c r="T183" s="894"/>
      <c r="U183" s="894"/>
      <c r="V183" s="894"/>
      <c r="W183" s="894"/>
      <c r="X183" s="894"/>
      <c r="Y183" s="894"/>
    </row>
    <row r="184" spans="3:25">
      <c r="C184" s="894"/>
      <c r="D184" s="894"/>
      <c r="E184" s="894"/>
      <c r="F184" s="894"/>
      <c r="G184" s="894"/>
      <c r="H184" s="894"/>
      <c r="I184" s="894"/>
      <c r="J184" s="894"/>
      <c r="K184" s="894"/>
      <c r="L184" s="894"/>
      <c r="M184" s="894"/>
      <c r="N184" s="894"/>
      <c r="O184" s="894"/>
      <c r="P184" s="894"/>
      <c r="Q184" s="894"/>
      <c r="R184" s="894"/>
      <c r="S184" s="894"/>
      <c r="T184" s="894"/>
      <c r="U184" s="894"/>
      <c r="V184" s="894"/>
      <c r="W184" s="894"/>
      <c r="X184" s="894"/>
      <c r="Y184" s="894"/>
    </row>
    <row r="185" spans="3:25">
      <c r="C185" s="894"/>
      <c r="D185" s="894"/>
      <c r="E185" s="894"/>
      <c r="F185" s="894"/>
      <c r="G185" s="894"/>
      <c r="H185" s="894"/>
      <c r="I185" s="894"/>
      <c r="J185" s="894"/>
      <c r="K185" s="894"/>
      <c r="L185" s="894"/>
      <c r="M185" s="894"/>
      <c r="N185" s="894"/>
      <c r="O185" s="894"/>
      <c r="P185" s="894"/>
      <c r="Q185" s="894"/>
      <c r="R185" s="894"/>
      <c r="S185" s="894"/>
      <c r="T185" s="894"/>
      <c r="U185" s="894"/>
      <c r="V185" s="894"/>
      <c r="W185" s="894"/>
      <c r="X185" s="894"/>
      <c r="Y185" s="894"/>
    </row>
    <row r="186" spans="3:25">
      <c r="C186" s="894"/>
      <c r="D186" s="894"/>
      <c r="E186" s="894"/>
      <c r="F186" s="894"/>
      <c r="G186" s="894"/>
      <c r="H186" s="894"/>
      <c r="I186" s="894"/>
      <c r="J186" s="894"/>
      <c r="K186" s="894"/>
      <c r="L186" s="894"/>
      <c r="M186" s="894"/>
      <c r="N186" s="894"/>
      <c r="O186" s="894"/>
      <c r="P186" s="894"/>
      <c r="Q186" s="894"/>
      <c r="R186" s="894"/>
      <c r="S186" s="894"/>
      <c r="T186" s="894"/>
      <c r="U186" s="894"/>
      <c r="V186" s="894"/>
      <c r="W186" s="894"/>
      <c r="X186" s="894"/>
      <c r="Y186" s="894"/>
    </row>
    <row r="187" spans="3:25">
      <c r="C187" s="894"/>
      <c r="D187" s="894"/>
      <c r="E187" s="894"/>
      <c r="F187" s="894"/>
      <c r="G187" s="894"/>
      <c r="H187" s="894"/>
      <c r="I187" s="894"/>
      <c r="J187" s="894"/>
      <c r="K187" s="894"/>
      <c r="L187" s="894"/>
      <c r="M187" s="894"/>
      <c r="N187" s="894"/>
      <c r="O187" s="894"/>
      <c r="P187" s="894"/>
      <c r="Q187" s="894"/>
      <c r="R187" s="894"/>
      <c r="S187" s="894"/>
      <c r="T187" s="894"/>
      <c r="U187" s="894"/>
      <c r="V187" s="894"/>
      <c r="W187" s="894"/>
      <c r="X187" s="894"/>
      <c r="Y187" s="894"/>
    </row>
    <row r="188" spans="3:25">
      <c r="C188" s="894"/>
      <c r="D188" s="894"/>
      <c r="E188" s="894"/>
      <c r="F188" s="894"/>
      <c r="G188" s="894"/>
      <c r="H188" s="894"/>
      <c r="I188" s="894"/>
      <c r="J188" s="894"/>
      <c r="K188" s="894"/>
      <c r="L188" s="894"/>
      <c r="M188" s="894"/>
      <c r="N188" s="894"/>
      <c r="O188" s="894"/>
      <c r="P188" s="894"/>
      <c r="Q188" s="894"/>
      <c r="R188" s="894"/>
      <c r="S188" s="894"/>
      <c r="T188" s="894"/>
      <c r="U188" s="894"/>
      <c r="V188" s="894"/>
      <c r="W188" s="894"/>
      <c r="X188" s="894"/>
      <c r="Y188" s="894"/>
    </row>
    <row r="189" spans="3:25">
      <c r="C189" s="894"/>
      <c r="D189" s="894"/>
      <c r="E189" s="894"/>
      <c r="F189" s="894"/>
      <c r="G189" s="894"/>
      <c r="H189" s="894"/>
      <c r="I189" s="894"/>
      <c r="J189" s="894"/>
      <c r="K189" s="894"/>
      <c r="L189" s="894"/>
      <c r="M189" s="894"/>
      <c r="N189" s="894"/>
      <c r="O189" s="894"/>
      <c r="P189" s="894"/>
      <c r="Q189" s="894"/>
      <c r="R189" s="894"/>
      <c r="S189" s="894"/>
      <c r="T189" s="894"/>
      <c r="U189" s="894"/>
      <c r="V189" s="894"/>
      <c r="W189" s="894"/>
      <c r="X189" s="894"/>
      <c r="Y189" s="894"/>
    </row>
    <row r="190" spans="3:25">
      <c r="C190" s="894"/>
      <c r="D190" s="894"/>
      <c r="E190" s="894"/>
      <c r="F190" s="894"/>
      <c r="G190" s="894"/>
      <c r="H190" s="894"/>
      <c r="I190" s="894"/>
      <c r="J190" s="894"/>
      <c r="K190" s="894"/>
      <c r="L190" s="894"/>
      <c r="M190" s="894"/>
      <c r="N190" s="894"/>
      <c r="O190" s="894"/>
      <c r="P190" s="894"/>
      <c r="Q190" s="894"/>
      <c r="R190" s="894"/>
      <c r="S190" s="894"/>
      <c r="T190" s="894"/>
      <c r="U190" s="894"/>
      <c r="V190" s="894"/>
      <c r="W190" s="894"/>
      <c r="X190" s="894"/>
      <c r="Y190" s="894"/>
    </row>
    <row r="191" spans="3:25">
      <c r="C191" s="894"/>
      <c r="D191" s="894"/>
      <c r="E191" s="894"/>
      <c r="F191" s="894"/>
      <c r="G191" s="894"/>
      <c r="H191" s="894"/>
      <c r="I191" s="894"/>
      <c r="J191" s="894"/>
      <c r="K191" s="894"/>
      <c r="L191" s="894"/>
      <c r="M191" s="894"/>
      <c r="N191" s="894"/>
      <c r="O191" s="894"/>
      <c r="P191" s="894"/>
      <c r="Q191" s="894"/>
      <c r="R191" s="894"/>
      <c r="S191" s="894"/>
      <c r="T191" s="894"/>
      <c r="U191" s="894"/>
      <c r="V191" s="894"/>
      <c r="W191" s="894"/>
      <c r="X191" s="894"/>
      <c r="Y191" s="894"/>
    </row>
    <row r="192" spans="3:25">
      <c r="C192" s="894"/>
      <c r="D192" s="894"/>
      <c r="E192" s="894"/>
      <c r="F192" s="894"/>
      <c r="G192" s="894"/>
      <c r="H192" s="894"/>
      <c r="I192" s="894"/>
      <c r="J192" s="894"/>
      <c r="K192" s="894"/>
      <c r="L192" s="894"/>
      <c r="M192" s="894"/>
      <c r="N192" s="894"/>
      <c r="O192" s="894"/>
      <c r="P192" s="894"/>
      <c r="Q192" s="894"/>
      <c r="R192" s="894"/>
      <c r="S192" s="894"/>
      <c r="T192" s="894"/>
      <c r="U192" s="894"/>
      <c r="V192" s="894"/>
      <c r="W192" s="894"/>
      <c r="X192" s="894"/>
      <c r="Y192" s="894"/>
    </row>
    <row r="193" spans="3:25">
      <c r="C193" s="894"/>
      <c r="D193" s="894"/>
      <c r="E193" s="894"/>
      <c r="F193" s="894"/>
      <c r="G193" s="894"/>
      <c r="H193" s="894"/>
      <c r="I193" s="894"/>
      <c r="J193" s="894"/>
      <c r="K193" s="894"/>
      <c r="L193" s="894"/>
      <c r="M193" s="894"/>
      <c r="N193" s="894"/>
      <c r="O193" s="894"/>
      <c r="P193" s="894"/>
      <c r="Q193" s="894"/>
      <c r="R193" s="894"/>
      <c r="S193" s="894"/>
      <c r="T193" s="894"/>
      <c r="U193" s="894"/>
      <c r="V193" s="894"/>
      <c r="W193" s="894"/>
      <c r="X193" s="894"/>
      <c r="Y193" s="894"/>
    </row>
    <row r="194" spans="3:25">
      <c r="C194" s="894"/>
      <c r="D194" s="894"/>
      <c r="E194" s="894"/>
      <c r="F194" s="894"/>
      <c r="G194" s="894"/>
      <c r="H194" s="894"/>
      <c r="I194" s="894"/>
      <c r="J194" s="894"/>
      <c r="K194" s="894"/>
      <c r="L194" s="894"/>
      <c r="M194" s="894"/>
      <c r="N194" s="894"/>
      <c r="O194" s="894"/>
      <c r="P194" s="894"/>
      <c r="Q194" s="894"/>
      <c r="R194" s="894"/>
      <c r="S194" s="894"/>
      <c r="T194" s="894"/>
      <c r="U194" s="894"/>
      <c r="V194" s="894"/>
      <c r="W194" s="894"/>
      <c r="X194" s="894"/>
      <c r="Y194" s="894"/>
    </row>
    <row r="195" spans="3:25">
      <c r="C195" s="894"/>
      <c r="D195" s="894"/>
      <c r="E195" s="894"/>
      <c r="F195" s="894"/>
      <c r="G195" s="894"/>
      <c r="H195" s="894"/>
      <c r="I195" s="894"/>
      <c r="J195" s="894"/>
      <c r="K195" s="894"/>
      <c r="L195" s="894"/>
      <c r="M195" s="894"/>
      <c r="N195" s="894"/>
      <c r="O195" s="894"/>
      <c r="P195" s="894"/>
      <c r="Q195" s="894"/>
      <c r="R195" s="894"/>
      <c r="S195" s="894"/>
      <c r="T195" s="894"/>
      <c r="U195" s="894"/>
      <c r="V195" s="894"/>
      <c r="W195" s="894"/>
      <c r="X195" s="894"/>
      <c r="Y195" s="894"/>
    </row>
    <row r="196" spans="3:25">
      <c r="C196" s="894"/>
      <c r="D196" s="894"/>
      <c r="E196" s="894"/>
      <c r="F196" s="894"/>
      <c r="G196" s="894"/>
      <c r="H196" s="894"/>
      <c r="I196" s="894"/>
      <c r="J196" s="894"/>
      <c r="K196" s="894"/>
      <c r="L196" s="894"/>
      <c r="M196" s="894"/>
      <c r="N196" s="894"/>
      <c r="O196" s="894"/>
      <c r="P196" s="894"/>
      <c r="Q196" s="894"/>
      <c r="R196" s="894"/>
      <c r="S196" s="894"/>
      <c r="T196" s="894"/>
      <c r="U196" s="894"/>
      <c r="V196" s="894"/>
      <c r="W196" s="894"/>
      <c r="X196" s="894"/>
      <c r="Y196" s="894"/>
    </row>
    <row r="197" spans="3:25">
      <c r="C197" s="894"/>
      <c r="D197" s="894"/>
      <c r="E197" s="894"/>
      <c r="F197" s="894"/>
      <c r="G197" s="894"/>
      <c r="H197" s="894"/>
      <c r="I197" s="894"/>
      <c r="J197" s="894"/>
      <c r="K197" s="894"/>
      <c r="L197" s="894"/>
      <c r="M197" s="894"/>
      <c r="N197" s="894"/>
      <c r="O197" s="894"/>
      <c r="P197" s="894"/>
      <c r="Q197" s="894"/>
      <c r="R197" s="894"/>
      <c r="S197" s="894"/>
      <c r="T197" s="894"/>
      <c r="U197" s="894"/>
      <c r="V197" s="894"/>
      <c r="W197" s="894"/>
      <c r="X197" s="894"/>
      <c r="Y197" s="894"/>
    </row>
    <row r="198" spans="3:25">
      <c r="C198" s="894"/>
      <c r="D198" s="894"/>
      <c r="E198" s="894"/>
      <c r="F198" s="894"/>
      <c r="G198" s="894"/>
      <c r="H198" s="894"/>
      <c r="I198" s="894"/>
      <c r="J198" s="894"/>
      <c r="K198" s="894"/>
      <c r="L198" s="894"/>
      <c r="M198" s="894"/>
      <c r="N198" s="894"/>
      <c r="O198" s="894"/>
      <c r="P198" s="894"/>
      <c r="Q198" s="894"/>
      <c r="R198" s="894"/>
      <c r="S198" s="894"/>
      <c r="T198" s="894"/>
      <c r="U198" s="894"/>
      <c r="V198" s="894"/>
      <c r="W198" s="894"/>
      <c r="X198" s="894"/>
      <c r="Y198" s="894"/>
    </row>
    <row r="199" spans="3:25">
      <c r="C199" s="894"/>
      <c r="D199" s="894"/>
      <c r="E199" s="894"/>
      <c r="F199" s="894"/>
      <c r="G199" s="894"/>
      <c r="H199" s="894"/>
      <c r="I199" s="894"/>
      <c r="J199" s="894"/>
      <c r="K199" s="894"/>
      <c r="L199" s="894"/>
      <c r="M199" s="894"/>
      <c r="N199" s="894"/>
      <c r="O199" s="894"/>
      <c r="P199" s="894"/>
      <c r="Q199" s="894"/>
      <c r="R199" s="894"/>
      <c r="S199" s="894"/>
      <c r="T199" s="894"/>
      <c r="U199" s="894"/>
      <c r="V199" s="894"/>
      <c r="W199" s="894"/>
      <c r="X199" s="894"/>
      <c r="Y199" s="894"/>
    </row>
    <row r="200" spans="3:25">
      <c r="C200" s="894"/>
      <c r="D200" s="894"/>
      <c r="E200" s="894"/>
      <c r="F200" s="894"/>
      <c r="G200" s="894"/>
      <c r="H200" s="894"/>
      <c r="I200" s="894"/>
      <c r="J200" s="894"/>
      <c r="K200" s="894"/>
      <c r="L200" s="894"/>
      <c r="M200" s="894"/>
      <c r="N200" s="894"/>
      <c r="O200" s="894"/>
      <c r="P200" s="894"/>
      <c r="Q200" s="894"/>
      <c r="R200" s="894"/>
      <c r="S200" s="894"/>
      <c r="T200" s="894"/>
      <c r="U200" s="894"/>
      <c r="V200" s="894"/>
      <c r="W200" s="894"/>
      <c r="X200" s="894"/>
      <c r="Y200" s="894"/>
    </row>
    <row r="201" spans="3:25">
      <c r="C201" s="894"/>
      <c r="D201" s="894"/>
      <c r="E201" s="894"/>
      <c r="F201" s="894"/>
      <c r="G201" s="894"/>
      <c r="H201" s="894"/>
      <c r="I201" s="894"/>
      <c r="J201" s="894"/>
      <c r="K201" s="894"/>
      <c r="L201" s="894"/>
      <c r="M201" s="894"/>
      <c r="N201" s="894"/>
      <c r="O201" s="894"/>
      <c r="P201" s="894"/>
      <c r="Q201" s="894"/>
      <c r="R201" s="894"/>
      <c r="S201" s="894"/>
      <c r="T201" s="894"/>
      <c r="U201" s="894"/>
      <c r="V201" s="894"/>
      <c r="W201" s="894"/>
      <c r="X201" s="894"/>
      <c r="Y201" s="894"/>
    </row>
    <row r="202" spans="3:25">
      <c r="C202" s="894"/>
      <c r="D202" s="894"/>
      <c r="E202" s="894"/>
      <c r="F202" s="894"/>
      <c r="G202" s="894"/>
      <c r="H202" s="894"/>
      <c r="I202" s="894"/>
      <c r="J202" s="894"/>
      <c r="K202" s="894"/>
      <c r="L202" s="894"/>
      <c r="M202" s="894"/>
      <c r="N202" s="894"/>
      <c r="O202" s="894"/>
      <c r="P202" s="894"/>
      <c r="Q202" s="894"/>
      <c r="R202" s="894"/>
      <c r="S202" s="894"/>
      <c r="T202" s="894"/>
      <c r="U202" s="894"/>
      <c r="V202" s="894"/>
      <c r="W202" s="894"/>
      <c r="X202" s="894"/>
      <c r="Y202" s="894"/>
    </row>
    <row r="203" spans="3:25">
      <c r="C203" s="894"/>
      <c r="D203" s="894"/>
      <c r="E203" s="894"/>
      <c r="F203" s="894"/>
      <c r="G203" s="894"/>
      <c r="H203" s="894"/>
      <c r="I203" s="894"/>
      <c r="J203" s="894"/>
      <c r="K203" s="894"/>
      <c r="L203" s="894"/>
      <c r="M203" s="894"/>
      <c r="N203" s="894"/>
      <c r="O203" s="894"/>
      <c r="P203" s="894"/>
      <c r="Q203" s="894"/>
      <c r="R203" s="894"/>
      <c r="S203" s="894"/>
      <c r="T203" s="894"/>
      <c r="U203" s="894"/>
      <c r="V203" s="894"/>
      <c r="W203" s="894"/>
      <c r="X203" s="894"/>
      <c r="Y203" s="894"/>
    </row>
    <row r="204" spans="3:25">
      <c r="C204" s="894"/>
      <c r="D204" s="894"/>
      <c r="E204" s="894"/>
      <c r="F204" s="894"/>
      <c r="G204" s="894"/>
      <c r="H204" s="894"/>
      <c r="I204" s="894"/>
      <c r="J204" s="894"/>
      <c r="K204" s="894"/>
      <c r="L204" s="894"/>
      <c r="M204" s="894"/>
      <c r="N204" s="894"/>
      <c r="O204" s="894"/>
      <c r="P204" s="894"/>
      <c r="Q204" s="894"/>
      <c r="R204" s="894"/>
      <c r="S204" s="894"/>
      <c r="T204" s="894"/>
      <c r="U204" s="894"/>
      <c r="V204" s="894"/>
      <c r="W204" s="894"/>
      <c r="X204" s="894"/>
      <c r="Y204" s="894"/>
    </row>
    <row r="205" spans="3:25">
      <c r="C205" s="894"/>
      <c r="D205" s="894"/>
      <c r="E205" s="894"/>
      <c r="F205" s="894"/>
      <c r="G205" s="894"/>
      <c r="H205" s="894"/>
      <c r="I205" s="894"/>
      <c r="J205" s="894"/>
      <c r="K205" s="894"/>
      <c r="L205" s="894"/>
      <c r="M205" s="894"/>
      <c r="N205" s="894"/>
      <c r="O205" s="894"/>
      <c r="P205" s="894"/>
      <c r="Q205" s="894"/>
      <c r="R205" s="894"/>
      <c r="S205" s="894"/>
      <c r="T205" s="894"/>
      <c r="U205" s="894"/>
      <c r="V205" s="894"/>
      <c r="W205" s="894"/>
      <c r="X205" s="894"/>
      <c r="Y205" s="894"/>
    </row>
    <row r="206" spans="3:25">
      <c r="C206" s="894"/>
      <c r="D206" s="894"/>
      <c r="E206" s="894"/>
      <c r="F206" s="894"/>
      <c r="G206" s="894"/>
      <c r="H206" s="894"/>
      <c r="I206" s="894"/>
      <c r="J206" s="894"/>
      <c r="K206" s="894"/>
      <c r="L206" s="894"/>
      <c r="M206" s="894"/>
      <c r="N206" s="894"/>
      <c r="O206" s="894"/>
      <c r="P206" s="894"/>
      <c r="Q206" s="894"/>
      <c r="R206" s="894"/>
      <c r="S206" s="894"/>
      <c r="T206" s="894"/>
      <c r="U206" s="894"/>
      <c r="V206" s="894"/>
      <c r="W206" s="894"/>
      <c r="X206" s="894"/>
      <c r="Y206" s="894"/>
    </row>
    <row r="207" spans="3:25">
      <c r="C207" s="894"/>
      <c r="D207" s="894"/>
      <c r="E207" s="894"/>
      <c r="F207" s="894"/>
      <c r="G207" s="894"/>
      <c r="H207" s="894"/>
      <c r="I207" s="894"/>
      <c r="J207" s="894"/>
      <c r="K207" s="894"/>
      <c r="L207" s="894"/>
      <c r="M207" s="894"/>
      <c r="N207" s="894"/>
      <c r="O207" s="894"/>
      <c r="P207" s="894"/>
      <c r="Q207" s="894"/>
      <c r="R207" s="894"/>
      <c r="S207" s="894"/>
      <c r="T207" s="894"/>
      <c r="U207" s="894"/>
      <c r="V207" s="894"/>
      <c r="W207" s="894"/>
      <c r="X207" s="894"/>
      <c r="Y207" s="894"/>
    </row>
    <row r="208" spans="3:25">
      <c r="C208" s="894"/>
      <c r="D208" s="894"/>
      <c r="E208" s="894"/>
      <c r="F208" s="894"/>
      <c r="G208" s="894"/>
      <c r="H208" s="894"/>
      <c r="I208" s="894"/>
      <c r="J208" s="894"/>
      <c r="K208" s="894"/>
      <c r="L208" s="894"/>
      <c r="M208" s="894"/>
      <c r="N208" s="894"/>
      <c r="O208" s="894"/>
      <c r="P208" s="894"/>
      <c r="Q208" s="894"/>
      <c r="R208" s="894"/>
      <c r="S208" s="894"/>
      <c r="T208" s="894"/>
      <c r="U208" s="894"/>
      <c r="V208" s="894"/>
      <c r="W208" s="894"/>
      <c r="X208" s="894"/>
      <c r="Y208" s="894"/>
    </row>
    <row r="209" spans="3:25">
      <c r="C209" s="894"/>
      <c r="D209" s="894"/>
      <c r="E209" s="894"/>
      <c r="F209" s="894"/>
      <c r="G209" s="894"/>
      <c r="H209" s="894"/>
      <c r="I209" s="894"/>
      <c r="J209" s="894"/>
      <c r="K209" s="894"/>
      <c r="L209" s="894"/>
      <c r="M209" s="894"/>
      <c r="N209" s="894"/>
      <c r="O209" s="894"/>
      <c r="P209" s="894"/>
      <c r="Q209" s="894"/>
      <c r="R209" s="894"/>
      <c r="S209" s="894"/>
      <c r="T209" s="894"/>
      <c r="U209" s="894"/>
      <c r="V209" s="894"/>
      <c r="W209" s="894"/>
      <c r="X209" s="894"/>
      <c r="Y209" s="894"/>
    </row>
    <row r="210" spans="3:25">
      <c r="C210" s="894"/>
      <c r="D210" s="894"/>
      <c r="E210" s="894"/>
      <c r="F210" s="894"/>
      <c r="G210" s="894"/>
      <c r="H210" s="894"/>
      <c r="I210" s="894"/>
      <c r="J210" s="894"/>
      <c r="K210" s="894"/>
      <c r="L210" s="894"/>
      <c r="M210" s="894"/>
      <c r="N210" s="894"/>
      <c r="O210" s="894"/>
      <c r="P210" s="894"/>
      <c r="Q210" s="894"/>
      <c r="R210" s="894"/>
      <c r="S210" s="894"/>
      <c r="T210" s="894"/>
      <c r="U210" s="894"/>
      <c r="V210" s="894"/>
      <c r="W210" s="894"/>
      <c r="X210" s="894"/>
      <c r="Y210" s="894"/>
    </row>
    <row r="211" spans="3:25">
      <c r="C211" s="894"/>
      <c r="D211" s="894"/>
      <c r="E211" s="894"/>
      <c r="F211" s="894"/>
      <c r="G211" s="894"/>
      <c r="H211" s="894"/>
      <c r="I211" s="894"/>
      <c r="J211" s="894"/>
      <c r="K211" s="894"/>
      <c r="L211" s="894"/>
      <c r="M211" s="894"/>
      <c r="N211" s="894"/>
      <c r="O211" s="894"/>
      <c r="P211" s="894"/>
      <c r="Q211" s="894"/>
      <c r="R211" s="894"/>
      <c r="S211" s="894"/>
      <c r="T211" s="894"/>
      <c r="U211" s="894"/>
      <c r="V211" s="894"/>
      <c r="W211" s="894"/>
      <c r="X211" s="894"/>
      <c r="Y211" s="894"/>
    </row>
    <row r="212" spans="3:25">
      <c r="C212" s="894"/>
      <c r="D212" s="894"/>
      <c r="E212" s="894"/>
      <c r="F212" s="894"/>
      <c r="G212" s="894"/>
      <c r="H212" s="894"/>
      <c r="I212" s="894"/>
      <c r="J212" s="894"/>
      <c r="K212" s="894"/>
      <c r="L212" s="894"/>
      <c r="M212" s="894"/>
      <c r="N212" s="894"/>
      <c r="O212" s="894"/>
      <c r="P212" s="894"/>
      <c r="Q212" s="894"/>
      <c r="R212" s="894"/>
      <c r="S212" s="894"/>
      <c r="T212" s="894"/>
      <c r="U212" s="894"/>
      <c r="V212" s="894"/>
      <c r="W212" s="894"/>
      <c r="X212" s="894"/>
      <c r="Y212" s="894"/>
    </row>
    <row r="213" spans="3:25">
      <c r="C213" s="894"/>
      <c r="D213" s="894"/>
      <c r="E213" s="894"/>
      <c r="F213" s="894"/>
      <c r="G213" s="894"/>
      <c r="H213" s="894"/>
      <c r="I213" s="894"/>
      <c r="J213" s="894"/>
      <c r="K213" s="894"/>
      <c r="L213" s="894"/>
      <c r="M213" s="894"/>
      <c r="N213" s="894"/>
      <c r="O213" s="894"/>
      <c r="P213" s="894"/>
      <c r="Q213" s="894"/>
      <c r="R213" s="894"/>
      <c r="S213" s="894"/>
      <c r="T213" s="894"/>
      <c r="U213" s="894"/>
      <c r="V213" s="894"/>
      <c r="W213" s="894"/>
      <c r="X213" s="894"/>
      <c r="Y213" s="894"/>
    </row>
    <row r="214" spans="3:25">
      <c r="C214" s="894"/>
      <c r="D214" s="894"/>
      <c r="E214" s="894"/>
      <c r="F214" s="894"/>
      <c r="G214" s="894"/>
      <c r="H214" s="894"/>
      <c r="I214" s="894"/>
      <c r="J214" s="894"/>
      <c r="K214" s="894"/>
      <c r="L214" s="894"/>
      <c r="M214" s="894"/>
      <c r="N214" s="894"/>
      <c r="O214" s="894"/>
      <c r="P214" s="894"/>
      <c r="Q214" s="894"/>
      <c r="R214" s="894"/>
      <c r="S214" s="894"/>
      <c r="T214" s="894"/>
      <c r="U214" s="894"/>
      <c r="V214" s="894"/>
      <c r="W214" s="894"/>
      <c r="X214" s="894"/>
      <c r="Y214" s="894"/>
    </row>
    <row r="215" spans="3:25">
      <c r="C215" s="894"/>
      <c r="D215" s="894"/>
      <c r="E215" s="894"/>
      <c r="F215" s="894"/>
      <c r="G215" s="894"/>
      <c r="H215" s="894"/>
      <c r="I215" s="894"/>
      <c r="J215" s="894"/>
      <c r="K215" s="894"/>
      <c r="L215" s="894"/>
      <c r="M215" s="894"/>
      <c r="N215" s="894"/>
      <c r="O215" s="894"/>
      <c r="P215" s="894"/>
      <c r="Q215" s="894"/>
      <c r="R215" s="894"/>
      <c r="S215" s="894"/>
      <c r="T215" s="894"/>
      <c r="U215" s="894"/>
      <c r="V215" s="894"/>
      <c r="W215" s="894"/>
      <c r="X215" s="894"/>
      <c r="Y215" s="894"/>
    </row>
    <row r="216" spans="3:25">
      <c r="C216" s="894"/>
      <c r="D216" s="894"/>
      <c r="E216" s="894"/>
      <c r="F216" s="894"/>
      <c r="G216" s="894"/>
      <c r="H216" s="894"/>
      <c r="I216" s="894"/>
      <c r="J216" s="894"/>
      <c r="K216" s="894"/>
      <c r="L216" s="894"/>
      <c r="M216" s="894"/>
      <c r="N216" s="894"/>
      <c r="O216" s="894"/>
      <c r="P216" s="894"/>
      <c r="Q216" s="894"/>
      <c r="R216" s="894"/>
      <c r="S216" s="894"/>
      <c r="T216" s="894"/>
      <c r="U216" s="894"/>
      <c r="V216" s="894"/>
      <c r="W216" s="894"/>
      <c r="X216" s="894"/>
      <c r="Y216" s="894"/>
    </row>
    <row r="217" spans="3:25">
      <c r="C217" s="894"/>
      <c r="D217" s="894"/>
      <c r="E217" s="894"/>
      <c r="F217" s="894"/>
      <c r="G217" s="894"/>
      <c r="H217" s="894"/>
      <c r="I217" s="894"/>
      <c r="J217" s="894"/>
      <c r="K217" s="894"/>
      <c r="L217" s="894"/>
      <c r="M217" s="894"/>
      <c r="N217" s="894"/>
      <c r="O217" s="894"/>
      <c r="P217" s="894"/>
      <c r="Q217" s="894"/>
      <c r="R217" s="894"/>
      <c r="S217" s="894"/>
      <c r="T217" s="894"/>
      <c r="U217" s="894"/>
      <c r="V217" s="894"/>
      <c r="W217" s="894"/>
      <c r="X217" s="894"/>
      <c r="Y217" s="894"/>
    </row>
    <row r="218" spans="3:25">
      <c r="C218" s="894"/>
      <c r="D218" s="894"/>
      <c r="E218" s="894"/>
      <c r="F218" s="894"/>
      <c r="G218" s="894"/>
      <c r="H218" s="894"/>
      <c r="I218" s="894"/>
      <c r="J218" s="894"/>
      <c r="K218" s="894"/>
      <c r="L218" s="894"/>
      <c r="M218" s="894"/>
      <c r="N218" s="894"/>
      <c r="O218" s="894"/>
      <c r="P218" s="894"/>
      <c r="Q218" s="894"/>
      <c r="R218" s="894"/>
      <c r="S218" s="894"/>
      <c r="T218" s="894"/>
      <c r="U218" s="894"/>
      <c r="V218" s="894"/>
      <c r="W218" s="894"/>
      <c r="X218" s="894"/>
      <c r="Y218" s="894"/>
    </row>
    <row r="219" spans="3:25">
      <c r="C219" s="894"/>
      <c r="D219" s="894"/>
      <c r="E219" s="894"/>
      <c r="F219" s="894"/>
      <c r="G219" s="894"/>
      <c r="H219" s="894"/>
      <c r="I219" s="894"/>
      <c r="J219" s="894"/>
      <c r="K219" s="894"/>
      <c r="L219" s="894"/>
      <c r="M219" s="894"/>
      <c r="N219" s="894"/>
      <c r="O219" s="894"/>
      <c r="P219" s="894"/>
      <c r="Q219" s="894"/>
      <c r="R219" s="894"/>
      <c r="S219" s="894"/>
      <c r="T219" s="894"/>
      <c r="U219" s="894"/>
      <c r="V219" s="894"/>
      <c r="W219" s="894"/>
      <c r="X219" s="894"/>
      <c r="Y219" s="894"/>
    </row>
    <row r="220" spans="3:25">
      <c r="C220" s="894"/>
      <c r="D220" s="894"/>
      <c r="E220" s="894"/>
      <c r="F220" s="894"/>
      <c r="G220" s="894"/>
      <c r="H220" s="894"/>
      <c r="I220" s="894"/>
      <c r="J220" s="894"/>
      <c r="K220" s="894"/>
      <c r="L220" s="894"/>
      <c r="M220" s="894"/>
      <c r="N220" s="894"/>
      <c r="O220" s="894"/>
      <c r="P220" s="894"/>
      <c r="Q220" s="894"/>
      <c r="R220" s="894"/>
      <c r="S220" s="894"/>
      <c r="T220" s="894"/>
      <c r="U220" s="894"/>
      <c r="V220" s="894"/>
      <c r="W220" s="894"/>
      <c r="X220" s="894"/>
      <c r="Y220" s="894"/>
    </row>
    <row r="221" spans="3:25">
      <c r="C221" s="894"/>
      <c r="D221" s="894"/>
      <c r="E221" s="894"/>
      <c r="F221" s="894"/>
      <c r="G221" s="894"/>
      <c r="H221" s="894"/>
      <c r="I221" s="894"/>
      <c r="J221" s="894"/>
      <c r="K221" s="894"/>
      <c r="L221" s="894"/>
      <c r="M221" s="894"/>
      <c r="N221" s="894"/>
      <c r="O221" s="894"/>
      <c r="P221" s="894"/>
      <c r="Q221" s="894"/>
      <c r="R221" s="894"/>
      <c r="S221" s="894"/>
      <c r="T221" s="894"/>
      <c r="U221" s="894"/>
      <c r="V221" s="894"/>
      <c r="W221" s="894"/>
      <c r="X221" s="894"/>
      <c r="Y221" s="894"/>
    </row>
    <row r="222" spans="3:25">
      <c r="C222" s="894"/>
      <c r="D222" s="894"/>
      <c r="E222" s="894"/>
      <c r="F222" s="894"/>
      <c r="G222" s="894"/>
      <c r="H222" s="894"/>
      <c r="I222" s="894"/>
      <c r="J222" s="894"/>
      <c r="K222" s="894"/>
      <c r="L222" s="894"/>
      <c r="M222" s="894"/>
      <c r="N222" s="894"/>
      <c r="O222" s="894"/>
      <c r="P222" s="894"/>
      <c r="Q222" s="894"/>
      <c r="R222" s="894"/>
      <c r="S222" s="894"/>
      <c r="T222" s="894"/>
      <c r="U222" s="894"/>
      <c r="V222" s="894"/>
      <c r="W222" s="894"/>
      <c r="X222" s="894"/>
      <c r="Y222" s="894"/>
    </row>
    <row r="223" spans="3:25">
      <c r="C223" s="894"/>
      <c r="D223" s="894"/>
      <c r="E223" s="894"/>
      <c r="F223" s="894"/>
      <c r="G223" s="894"/>
      <c r="H223" s="894"/>
      <c r="I223" s="894"/>
      <c r="J223" s="894"/>
      <c r="K223" s="894"/>
      <c r="L223" s="894"/>
      <c r="M223" s="894"/>
      <c r="N223" s="894"/>
      <c r="O223" s="894"/>
      <c r="P223" s="894"/>
      <c r="Q223" s="894"/>
      <c r="R223" s="894"/>
      <c r="S223" s="894"/>
      <c r="T223" s="894"/>
      <c r="U223" s="894"/>
      <c r="V223" s="894"/>
      <c r="W223" s="894"/>
      <c r="X223" s="894"/>
      <c r="Y223" s="894"/>
    </row>
    <row r="224" spans="3:25">
      <c r="C224" s="894"/>
      <c r="D224" s="894"/>
      <c r="E224" s="894"/>
      <c r="F224" s="894"/>
      <c r="G224" s="894"/>
      <c r="H224" s="894"/>
      <c r="I224" s="894"/>
      <c r="J224" s="894"/>
      <c r="K224" s="894"/>
      <c r="L224" s="894"/>
      <c r="M224" s="894"/>
      <c r="N224" s="894"/>
      <c r="O224" s="894"/>
      <c r="P224" s="894"/>
      <c r="Q224" s="894"/>
      <c r="R224" s="894"/>
      <c r="S224" s="894"/>
      <c r="T224" s="894"/>
      <c r="U224" s="894"/>
      <c r="V224" s="894"/>
      <c r="W224" s="894"/>
      <c r="X224" s="894"/>
      <c r="Y224" s="894"/>
    </row>
    <row r="225" spans="3:25">
      <c r="C225" s="894"/>
      <c r="D225" s="894"/>
      <c r="E225" s="894"/>
      <c r="F225" s="894"/>
      <c r="G225" s="894"/>
      <c r="H225" s="894"/>
      <c r="I225" s="894"/>
      <c r="J225" s="894"/>
      <c r="K225" s="894"/>
      <c r="L225" s="894"/>
      <c r="M225" s="894"/>
      <c r="N225" s="894"/>
      <c r="O225" s="894"/>
      <c r="P225" s="894"/>
      <c r="Q225" s="894"/>
      <c r="R225" s="894"/>
      <c r="S225" s="894"/>
      <c r="T225" s="894"/>
      <c r="U225" s="894"/>
      <c r="V225" s="894"/>
      <c r="W225" s="894"/>
      <c r="X225" s="894"/>
      <c r="Y225" s="894"/>
    </row>
    <row r="226" spans="3:25">
      <c r="C226" s="894"/>
      <c r="D226" s="894"/>
      <c r="E226" s="894"/>
      <c r="F226" s="894"/>
      <c r="G226" s="894"/>
      <c r="H226" s="894"/>
      <c r="I226" s="894"/>
      <c r="J226" s="894"/>
      <c r="K226" s="894"/>
      <c r="L226" s="894"/>
      <c r="M226" s="894"/>
      <c r="N226" s="894"/>
      <c r="O226" s="894"/>
      <c r="P226" s="894"/>
      <c r="Q226" s="894"/>
      <c r="R226" s="894"/>
      <c r="S226" s="894"/>
      <c r="T226" s="894"/>
      <c r="U226" s="894"/>
      <c r="V226" s="894"/>
      <c r="W226" s="894"/>
      <c r="X226" s="894"/>
      <c r="Y226" s="894"/>
    </row>
    <row r="227" spans="3:25">
      <c r="C227" s="894"/>
      <c r="D227" s="894"/>
      <c r="E227" s="894"/>
      <c r="F227" s="894"/>
      <c r="G227" s="894"/>
      <c r="H227" s="894"/>
      <c r="I227" s="894"/>
      <c r="J227" s="894"/>
      <c r="K227" s="894"/>
      <c r="L227" s="894"/>
      <c r="M227" s="894"/>
      <c r="N227" s="894"/>
      <c r="O227" s="894"/>
      <c r="P227" s="894"/>
      <c r="Q227" s="894"/>
      <c r="R227" s="894"/>
      <c r="S227" s="894"/>
      <c r="T227" s="894"/>
      <c r="U227" s="894"/>
      <c r="V227" s="894"/>
      <c r="W227" s="894"/>
      <c r="X227" s="894"/>
      <c r="Y227" s="894"/>
    </row>
    <row r="228" spans="3:25">
      <c r="C228" s="894"/>
      <c r="D228" s="894"/>
      <c r="E228" s="894"/>
      <c r="F228" s="894"/>
      <c r="G228" s="894"/>
      <c r="H228" s="894"/>
      <c r="I228" s="894"/>
      <c r="J228" s="894"/>
      <c r="K228" s="894"/>
      <c r="L228" s="894"/>
      <c r="M228" s="894"/>
      <c r="N228" s="894"/>
      <c r="O228" s="894"/>
      <c r="P228" s="894"/>
      <c r="Q228" s="894"/>
      <c r="R228" s="894"/>
      <c r="S228" s="894"/>
      <c r="T228" s="894"/>
      <c r="U228" s="894"/>
      <c r="V228" s="894"/>
      <c r="W228" s="894"/>
      <c r="X228" s="894"/>
      <c r="Y228" s="894"/>
    </row>
    <row r="229" spans="3:25">
      <c r="C229" s="894"/>
      <c r="D229" s="894"/>
      <c r="E229" s="894"/>
      <c r="F229" s="894"/>
      <c r="G229" s="894"/>
      <c r="H229" s="894"/>
      <c r="I229" s="894"/>
      <c r="J229" s="894"/>
      <c r="K229" s="894"/>
      <c r="L229" s="894"/>
      <c r="M229" s="894"/>
      <c r="N229" s="894"/>
      <c r="O229" s="894"/>
      <c r="P229" s="894"/>
      <c r="Q229" s="894"/>
      <c r="R229" s="894"/>
      <c r="S229" s="894"/>
      <c r="T229" s="894"/>
      <c r="U229" s="894"/>
      <c r="V229" s="894"/>
      <c r="W229" s="894"/>
      <c r="X229" s="894"/>
      <c r="Y229" s="894"/>
    </row>
    <row r="230" spans="3:25">
      <c r="C230" s="894"/>
      <c r="D230" s="894"/>
      <c r="E230" s="894"/>
      <c r="F230" s="894"/>
      <c r="G230" s="894"/>
      <c r="H230" s="894"/>
      <c r="I230" s="894"/>
      <c r="J230" s="894"/>
      <c r="K230" s="894"/>
      <c r="L230" s="894"/>
      <c r="M230" s="894"/>
      <c r="N230" s="894"/>
      <c r="O230" s="894"/>
      <c r="P230" s="894"/>
      <c r="Q230" s="894"/>
      <c r="R230" s="894"/>
      <c r="S230" s="894"/>
      <c r="T230" s="894"/>
      <c r="U230" s="894"/>
      <c r="V230" s="894"/>
      <c r="W230" s="894"/>
      <c r="X230" s="894"/>
      <c r="Y230" s="894"/>
    </row>
    <row r="231" spans="3:25">
      <c r="C231" s="894"/>
      <c r="D231" s="894"/>
      <c r="E231" s="894"/>
      <c r="F231" s="894"/>
      <c r="G231" s="894"/>
      <c r="H231" s="894"/>
      <c r="I231" s="894"/>
      <c r="J231" s="894"/>
      <c r="K231" s="894"/>
      <c r="L231" s="894"/>
      <c r="M231" s="894"/>
      <c r="N231" s="894"/>
      <c r="O231" s="894"/>
      <c r="P231" s="894"/>
      <c r="Q231" s="894"/>
      <c r="R231" s="894"/>
      <c r="S231" s="894"/>
      <c r="T231" s="894"/>
      <c r="U231" s="894"/>
      <c r="V231" s="894"/>
      <c r="W231" s="894"/>
      <c r="X231" s="894"/>
      <c r="Y231" s="894"/>
    </row>
    <row r="232" spans="3:25">
      <c r="C232" s="894"/>
      <c r="D232" s="894"/>
      <c r="E232" s="894"/>
      <c r="F232" s="894"/>
      <c r="G232" s="894"/>
      <c r="H232" s="894"/>
      <c r="I232" s="894"/>
      <c r="J232" s="894"/>
      <c r="K232" s="894"/>
      <c r="L232" s="894"/>
      <c r="M232" s="894"/>
      <c r="N232" s="894"/>
      <c r="O232" s="894"/>
      <c r="P232" s="894"/>
      <c r="Q232" s="894"/>
      <c r="R232" s="894"/>
      <c r="S232" s="894"/>
      <c r="T232" s="894"/>
      <c r="U232" s="894"/>
      <c r="V232" s="894"/>
      <c r="W232" s="894"/>
      <c r="X232" s="894"/>
      <c r="Y232" s="894"/>
    </row>
    <row r="233" spans="3:25">
      <c r="C233" s="894"/>
      <c r="D233" s="894"/>
      <c r="E233" s="894"/>
      <c r="F233" s="894"/>
      <c r="G233" s="894"/>
      <c r="H233" s="894"/>
      <c r="I233" s="894"/>
      <c r="J233" s="894"/>
      <c r="K233" s="894"/>
      <c r="L233" s="894"/>
      <c r="M233" s="894"/>
      <c r="N233" s="894"/>
      <c r="O233" s="894"/>
      <c r="P233" s="894"/>
      <c r="Q233" s="894"/>
      <c r="R233" s="894"/>
      <c r="S233" s="894"/>
      <c r="T233" s="894"/>
      <c r="U233" s="894"/>
      <c r="V233" s="894"/>
      <c r="W233" s="894"/>
      <c r="X233" s="894"/>
      <c r="Y233" s="894"/>
    </row>
    <row r="234" spans="3:25">
      <c r="C234" s="894"/>
      <c r="D234" s="894"/>
      <c r="E234" s="894"/>
      <c r="F234" s="894"/>
      <c r="G234" s="894"/>
      <c r="H234" s="894"/>
      <c r="I234" s="894"/>
      <c r="J234" s="894"/>
      <c r="K234" s="894"/>
      <c r="L234" s="894"/>
      <c r="M234" s="894"/>
      <c r="N234" s="894"/>
      <c r="O234" s="894"/>
      <c r="P234" s="894"/>
      <c r="Q234" s="894"/>
      <c r="R234" s="894"/>
      <c r="S234" s="894"/>
      <c r="T234" s="894"/>
      <c r="U234" s="894"/>
      <c r="V234" s="894"/>
      <c r="W234" s="894"/>
      <c r="X234" s="894"/>
      <c r="Y234" s="894"/>
    </row>
    <row r="235" spans="3:25">
      <c r="C235" s="894"/>
      <c r="D235" s="894"/>
      <c r="E235" s="894"/>
      <c r="F235" s="894"/>
      <c r="G235" s="894"/>
      <c r="H235" s="894"/>
      <c r="I235" s="894"/>
      <c r="J235" s="894"/>
      <c r="K235" s="894"/>
      <c r="L235" s="894"/>
      <c r="M235" s="894"/>
      <c r="N235" s="894"/>
      <c r="O235" s="894"/>
      <c r="P235" s="894"/>
      <c r="Q235" s="894"/>
      <c r="R235" s="894"/>
      <c r="S235" s="894"/>
      <c r="T235" s="894"/>
      <c r="U235" s="894"/>
      <c r="V235" s="894"/>
      <c r="W235" s="894"/>
      <c r="X235" s="894"/>
      <c r="Y235" s="894"/>
    </row>
    <row r="236" spans="3:25">
      <c r="C236" s="894"/>
      <c r="D236" s="894"/>
      <c r="E236" s="894"/>
      <c r="F236" s="894"/>
      <c r="G236" s="894"/>
      <c r="H236" s="894"/>
      <c r="I236" s="894"/>
      <c r="J236" s="894"/>
      <c r="K236" s="894"/>
      <c r="L236" s="894"/>
      <c r="M236" s="894"/>
      <c r="N236" s="894"/>
      <c r="O236" s="894"/>
      <c r="P236" s="894"/>
      <c r="Q236" s="894"/>
      <c r="R236" s="894"/>
      <c r="S236" s="894"/>
      <c r="T236" s="894"/>
      <c r="U236" s="894"/>
      <c r="V236" s="894"/>
      <c r="W236" s="894"/>
      <c r="X236" s="894"/>
      <c r="Y236" s="894"/>
    </row>
    <row r="237" spans="3:25">
      <c r="C237" s="894"/>
      <c r="D237" s="894"/>
      <c r="E237" s="894"/>
      <c r="F237" s="894"/>
      <c r="G237" s="894"/>
      <c r="H237" s="894"/>
      <c r="I237" s="894"/>
      <c r="J237" s="894"/>
      <c r="K237" s="894"/>
      <c r="L237" s="894"/>
      <c r="M237" s="894"/>
      <c r="N237" s="894"/>
      <c r="O237" s="894"/>
      <c r="P237" s="894"/>
      <c r="Q237" s="894"/>
      <c r="R237" s="894"/>
      <c r="S237" s="894"/>
      <c r="T237" s="894"/>
      <c r="U237" s="894"/>
      <c r="V237" s="894"/>
      <c r="W237" s="894"/>
      <c r="X237" s="894"/>
      <c r="Y237" s="894"/>
    </row>
    <row r="238" spans="3:25">
      <c r="C238" s="894"/>
      <c r="D238" s="894"/>
      <c r="E238" s="894"/>
      <c r="F238" s="894"/>
      <c r="G238" s="894"/>
      <c r="H238" s="894"/>
      <c r="I238" s="894"/>
      <c r="J238" s="894"/>
      <c r="K238" s="894"/>
      <c r="L238" s="894"/>
      <c r="M238" s="894"/>
      <c r="N238" s="894"/>
      <c r="O238" s="894"/>
      <c r="P238" s="894"/>
      <c r="Q238" s="894"/>
      <c r="R238" s="894"/>
      <c r="S238" s="894"/>
      <c r="T238" s="894"/>
      <c r="U238" s="894"/>
      <c r="V238" s="894"/>
      <c r="W238" s="894"/>
      <c r="X238" s="894"/>
      <c r="Y238" s="894"/>
    </row>
    <row r="239" spans="3:25">
      <c r="C239" s="894"/>
      <c r="D239" s="894"/>
      <c r="E239" s="894"/>
      <c r="F239" s="894"/>
      <c r="G239" s="894"/>
      <c r="H239" s="894"/>
      <c r="I239" s="894"/>
      <c r="J239" s="894"/>
      <c r="K239" s="894"/>
      <c r="L239" s="894"/>
      <c r="M239" s="894"/>
      <c r="N239" s="894"/>
      <c r="O239" s="894"/>
      <c r="P239" s="894"/>
      <c r="Q239" s="894"/>
      <c r="R239" s="894"/>
      <c r="S239" s="894"/>
      <c r="T239" s="894"/>
      <c r="U239" s="894"/>
      <c r="V239" s="894"/>
      <c r="W239" s="894"/>
      <c r="X239" s="894"/>
      <c r="Y239" s="894"/>
    </row>
    <row r="240" spans="3:25">
      <c r="C240" s="894"/>
      <c r="D240" s="894"/>
      <c r="E240" s="894"/>
      <c r="F240" s="894"/>
      <c r="G240" s="894"/>
      <c r="H240" s="894"/>
      <c r="I240" s="894"/>
      <c r="J240" s="894"/>
      <c r="K240" s="894"/>
      <c r="L240" s="894"/>
      <c r="M240" s="894"/>
      <c r="N240" s="894"/>
      <c r="O240" s="894"/>
      <c r="P240" s="894"/>
      <c r="Q240" s="894"/>
      <c r="R240" s="894"/>
      <c r="S240" s="894"/>
      <c r="T240" s="894"/>
      <c r="U240" s="894"/>
      <c r="V240" s="894"/>
      <c r="W240" s="894"/>
      <c r="X240" s="894"/>
      <c r="Y240" s="894"/>
    </row>
    <row r="241" spans="3:25">
      <c r="C241" s="894"/>
      <c r="D241" s="894"/>
      <c r="E241" s="894"/>
      <c r="F241" s="894"/>
      <c r="G241" s="894"/>
      <c r="H241" s="894"/>
      <c r="I241" s="894"/>
      <c r="J241" s="894"/>
      <c r="K241" s="894"/>
      <c r="L241" s="894"/>
      <c r="M241" s="894"/>
      <c r="N241" s="894"/>
      <c r="O241" s="894"/>
      <c r="P241" s="894"/>
      <c r="Q241" s="894"/>
      <c r="R241" s="894"/>
      <c r="S241" s="894"/>
      <c r="T241" s="894"/>
      <c r="U241" s="894"/>
      <c r="V241" s="894"/>
      <c r="W241" s="894"/>
      <c r="X241" s="894"/>
      <c r="Y241" s="894"/>
    </row>
    <row r="242" spans="3:25">
      <c r="C242" s="894"/>
      <c r="D242" s="894"/>
      <c r="E242" s="894"/>
      <c r="F242" s="894"/>
      <c r="G242" s="894"/>
      <c r="H242" s="894"/>
      <c r="I242" s="894"/>
      <c r="J242" s="894"/>
      <c r="K242" s="894"/>
      <c r="L242" s="894"/>
      <c r="M242" s="894"/>
      <c r="N242" s="894"/>
      <c r="O242" s="894"/>
      <c r="P242" s="894"/>
      <c r="Q242" s="894"/>
      <c r="R242" s="894"/>
      <c r="S242" s="894"/>
      <c r="T242" s="894"/>
      <c r="U242" s="894"/>
      <c r="V242" s="894"/>
      <c r="W242" s="894"/>
      <c r="X242" s="894"/>
      <c r="Y242" s="894"/>
    </row>
    <row r="243" spans="3:25">
      <c r="C243" s="894"/>
      <c r="D243" s="894"/>
      <c r="E243" s="894"/>
      <c r="F243" s="894"/>
      <c r="G243" s="894"/>
      <c r="H243" s="894"/>
      <c r="I243" s="894"/>
      <c r="J243" s="894"/>
      <c r="K243" s="894"/>
      <c r="L243" s="894"/>
      <c r="M243" s="894"/>
      <c r="N243" s="894"/>
      <c r="O243" s="894"/>
      <c r="P243" s="894"/>
      <c r="Q243" s="894"/>
      <c r="R243" s="894"/>
      <c r="S243" s="894"/>
      <c r="T243" s="894"/>
      <c r="U243" s="894"/>
      <c r="V243" s="894"/>
      <c r="W243" s="894"/>
      <c r="X243" s="894"/>
      <c r="Y243" s="894"/>
    </row>
    <row r="244" spans="3:25">
      <c r="C244" s="894"/>
      <c r="D244" s="894"/>
      <c r="E244" s="894"/>
      <c r="F244" s="894"/>
      <c r="G244" s="894"/>
      <c r="H244" s="894"/>
      <c r="I244" s="894"/>
      <c r="J244" s="894"/>
      <c r="K244" s="894"/>
      <c r="L244" s="894"/>
      <c r="M244" s="894"/>
      <c r="N244" s="894"/>
      <c r="O244" s="894"/>
      <c r="P244" s="894"/>
      <c r="Q244" s="894"/>
      <c r="R244" s="894"/>
      <c r="S244" s="894"/>
      <c r="T244" s="894"/>
      <c r="U244" s="894"/>
      <c r="V244" s="894"/>
      <c r="W244" s="894"/>
      <c r="X244" s="894"/>
      <c r="Y244" s="894"/>
    </row>
    <row r="245" spans="3:25">
      <c r="C245" s="894"/>
      <c r="D245" s="894"/>
      <c r="E245" s="894"/>
      <c r="F245" s="894"/>
      <c r="G245" s="894"/>
      <c r="H245" s="894"/>
      <c r="I245" s="894"/>
      <c r="J245" s="894"/>
      <c r="K245" s="894"/>
      <c r="L245" s="894"/>
      <c r="M245" s="894"/>
      <c r="N245" s="894"/>
      <c r="O245" s="894"/>
      <c r="P245" s="894"/>
      <c r="Q245" s="894"/>
      <c r="R245" s="894"/>
      <c r="S245" s="894"/>
      <c r="T245" s="894"/>
      <c r="U245" s="894"/>
      <c r="V245" s="894"/>
      <c r="W245" s="894"/>
      <c r="X245" s="894"/>
      <c r="Y245" s="894"/>
    </row>
    <row r="246" spans="3:25">
      <c r="C246" s="894"/>
      <c r="D246" s="894"/>
      <c r="E246" s="894"/>
      <c r="F246" s="894"/>
      <c r="G246" s="894"/>
      <c r="H246" s="894"/>
      <c r="I246" s="894"/>
      <c r="J246" s="894"/>
      <c r="K246" s="894"/>
      <c r="L246" s="894"/>
      <c r="M246" s="894"/>
      <c r="N246" s="894"/>
      <c r="O246" s="894"/>
      <c r="P246" s="894"/>
      <c r="Q246" s="894"/>
      <c r="R246" s="894"/>
      <c r="S246" s="894"/>
      <c r="T246" s="894"/>
      <c r="U246" s="894"/>
      <c r="V246" s="894"/>
      <c r="W246" s="894"/>
      <c r="X246" s="894"/>
      <c r="Y246" s="894"/>
    </row>
    <row r="247" spans="3:25">
      <c r="C247" s="894"/>
      <c r="D247" s="894"/>
      <c r="E247" s="894"/>
      <c r="F247" s="894"/>
      <c r="G247" s="894"/>
      <c r="H247" s="894"/>
      <c r="I247" s="894"/>
      <c r="J247" s="894"/>
      <c r="K247" s="894"/>
      <c r="L247" s="894"/>
      <c r="M247" s="894"/>
      <c r="N247" s="894"/>
      <c r="O247" s="894"/>
      <c r="P247" s="894"/>
      <c r="Q247" s="894"/>
      <c r="R247" s="894"/>
      <c r="S247" s="894"/>
      <c r="T247" s="894"/>
      <c r="U247" s="894"/>
      <c r="V247" s="894"/>
      <c r="W247" s="894"/>
      <c r="X247" s="894"/>
      <c r="Y247" s="894"/>
    </row>
    <row r="248" spans="3:25">
      <c r="C248" s="894"/>
      <c r="D248" s="894"/>
      <c r="E248" s="894"/>
      <c r="F248" s="894"/>
      <c r="G248" s="894"/>
      <c r="H248" s="894"/>
      <c r="I248" s="894"/>
      <c r="J248" s="894"/>
      <c r="K248" s="894"/>
      <c r="L248" s="894"/>
      <c r="M248" s="894"/>
      <c r="N248" s="894"/>
      <c r="O248" s="894"/>
      <c r="P248" s="894"/>
      <c r="Q248" s="894"/>
      <c r="R248" s="894"/>
      <c r="S248" s="894"/>
      <c r="T248" s="894"/>
      <c r="U248" s="894"/>
      <c r="V248" s="894"/>
      <c r="W248" s="894"/>
      <c r="X248" s="894"/>
      <c r="Y248" s="894"/>
    </row>
    <row r="249" spans="3:25">
      <c r="C249" s="894"/>
      <c r="D249" s="894"/>
      <c r="E249" s="894"/>
      <c r="F249" s="894"/>
      <c r="G249" s="894"/>
      <c r="H249" s="894"/>
      <c r="I249" s="894"/>
      <c r="J249" s="894"/>
      <c r="K249" s="894"/>
      <c r="L249" s="894"/>
      <c r="M249" s="894"/>
      <c r="N249" s="894"/>
      <c r="O249" s="894"/>
      <c r="P249" s="894"/>
      <c r="Q249" s="894"/>
      <c r="R249" s="894"/>
      <c r="S249" s="894"/>
      <c r="T249" s="894"/>
      <c r="U249" s="894"/>
      <c r="V249" s="894"/>
      <c r="W249" s="894"/>
      <c r="X249" s="894"/>
      <c r="Y249" s="894"/>
    </row>
    <row r="250" spans="3:25">
      <c r="C250" s="894"/>
      <c r="D250" s="894"/>
      <c r="E250" s="894"/>
      <c r="F250" s="894"/>
      <c r="G250" s="894"/>
      <c r="H250" s="894"/>
      <c r="I250" s="894"/>
      <c r="J250" s="894"/>
      <c r="K250" s="894"/>
      <c r="L250" s="894"/>
      <c r="M250" s="894"/>
      <c r="N250" s="894"/>
      <c r="O250" s="894"/>
      <c r="P250" s="894"/>
      <c r="Q250" s="894"/>
      <c r="R250" s="894"/>
      <c r="S250" s="894"/>
      <c r="T250" s="894"/>
      <c r="U250" s="894"/>
      <c r="V250" s="894"/>
      <c r="W250" s="894"/>
      <c r="X250" s="894"/>
      <c r="Y250" s="894"/>
    </row>
    <row r="251" spans="3:25">
      <c r="C251" s="894"/>
      <c r="D251" s="894"/>
      <c r="E251" s="894"/>
      <c r="F251" s="894"/>
      <c r="G251" s="894"/>
      <c r="H251" s="894"/>
      <c r="I251" s="894"/>
      <c r="J251" s="894"/>
      <c r="K251" s="894"/>
      <c r="L251" s="894"/>
      <c r="M251" s="894"/>
      <c r="N251" s="894"/>
      <c r="O251" s="894"/>
      <c r="P251" s="894"/>
      <c r="Q251" s="894"/>
      <c r="R251" s="894"/>
      <c r="S251" s="894"/>
      <c r="T251" s="894"/>
      <c r="U251" s="894"/>
      <c r="V251" s="894"/>
      <c r="W251" s="894"/>
      <c r="X251" s="894"/>
      <c r="Y251" s="894"/>
    </row>
    <row r="252" spans="3:25">
      <c r="C252" s="894"/>
      <c r="D252" s="894"/>
      <c r="E252" s="894"/>
      <c r="F252" s="894"/>
      <c r="G252" s="894"/>
      <c r="H252" s="894"/>
      <c r="I252" s="894"/>
      <c r="J252" s="894"/>
      <c r="K252" s="894"/>
      <c r="L252" s="894"/>
      <c r="M252" s="894"/>
      <c r="N252" s="894"/>
      <c r="O252" s="894"/>
      <c r="P252" s="894"/>
      <c r="Q252" s="894"/>
      <c r="R252" s="894"/>
      <c r="S252" s="894"/>
      <c r="T252" s="894"/>
      <c r="U252" s="894"/>
      <c r="V252" s="894"/>
      <c r="W252" s="894"/>
      <c r="X252" s="894"/>
      <c r="Y252" s="894"/>
    </row>
    <row r="253" spans="3:25">
      <c r="C253" s="894"/>
      <c r="D253" s="894"/>
      <c r="E253" s="894"/>
      <c r="F253" s="894"/>
      <c r="G253" s="894"/>
      <c r="H253" s="894"/>
      <c r="I253" s="894"/>
      <c r="J253" s="894"/>
      <c r="K253" s="894"/>
      <c r="L253" s="894"/>
      <c r="M253" s="894"/>
      <c r="N253" s="894"/>
      <c r="O253" s="894"/>
      <c r="P253" s="894"/>
      <c r="Q253" s="894"/>
      <c r="R253" s="894"/>
      <c r="S253" s="894"/>
      <c r="T253" s="894"/>
      <c r="U253" s="894"/>
      <c r="V253" s="894"/>
      <c r="W253" s="894"/>
      <c r="X253" s="894"/>
      <c r="Y253" s="894"/>
    </row>
    <row r="254" spans="3:25">
      <c r="C254" s="894"/>
      <c r="D254" s="894"/>
      <c r="E254" s="894"/>
      <c r="F254" s="894"/>
      <c r="G254" s="894"/>
      <c r="H254" s="894"/>
      <c r="I254" s="894"/>
      <c r="J254" s="894"/>
      <c r="K254" s="894"/>
      <c r="L254" s="894"/>
      <c r="M254" s="894"/>
      <c r="N254" s="894"/>
      <c r="O254" s="894"/>
      <c r="P254" s="894"/>
      <c r="Q254" s="894"/>
      <c r="R254" s="894"/>
      <c r="S254" s="894"/>
      <c r="T254" s="894"/>
      <c r="U254" s="894"/>
      <c r="V254" s="894"/>
      <c r="W254" s="894"/>
      <c r="X254" s="894"/>
      <c r="Y254" s="894"/>
    </row>
    <row r="255" spans="3:25">
      <c r="C255" s="894"/>
      <c r="D255" s="894"/>
      <c r="E255" s="894"/>
      <c r="F255" s="894"/>
      <c r="G255" s="894"/>
      <c r="H255" s="894"/>
      <c r="I255" s="894"/>
      <c r="J255" s="894"/>
      <c r="K255" s="894"/>
      <c r="L255" s="894"/>
      <c r="M255" s="894"/>
      <c r="N255" s="894"/>
      <c r="O255" s="894"/>
      <c r="P255" s="894"/>
      <c r="Q255" s="894"/>
      <c r="R255" s="894"/>
      <c r="S255" s="894"/>
      <c r="T255" s="894"/>
      <c r="U255" s="894"/>
      <c r="V255" s="894"/>
      <c r="W255" s="894"/>
      <c r="X255" s="894"/>
      <c r="Y255" s="894"/>
    </row>
    <row r="256" spans="3:25">
      <c r="C256" s="894"/>
      <c r="D256" s="894"/>
      <c r="E256" s="894"/>
      <c r="F256" s="894"/>
      <c r="G256" s="894"/>
      <c r="H256" s="894"/>
      <c r="I256" s="894"/>
      <c r="J256" s="894"/>
      <c r="K256" s="894"/>
      <c r="L256" s="894"/>
      <c r="M256" s="894"/>
      <c r="N256" s="894"/>
      <c r="O256" s="894"/>
      <c r="P256" s="894"/>
      <c r="Q256" s="894"/>
      <c r="R256" s="894"/>
      <c r="S256" s="894"/>
      <c r="T256" s="894"/>
      <c r="U256" s="894"/>
      <c r="V256" s="894"/>
      <c r="W256" s="894"/>
      <c r="X256" s="894"/>
      <c r="Y256" s="894"/>
    </row>
    <row r="257" spans="3:25">
      <c r="C257" s="894"/>
      <c r="D257" s="894"/>
      <c r="E257" s="894"/>
      <c r="F257" s="894"/>
      <c r="G257" s="894"/>
      <c r="H257" s="894"/>
      <c r="I257" s="894"/>
      <c r="J257" s="894"/>
      <c r="K257" s="894"/>
      <c r="L257" s="894"/>
      <c r="M257" s="894"/>
      <c r="N257" s="894"/>
      <c r="O257" s="894"/>
      <c r="P257" s="894"/>
      <c r="Q257" s="894"/>
      <c r="R257" s="894"/>
      <c r="S257" s="894"/>
      <c r="T257" s="894"/>
      <c r="U257" s="894"/>
      <c r="V257" s="894"/>
      <c r="W257" s="894"/>
      <c r="X257" s="894"/>
      <c r="Y257" s="894"/>
    </row>
    <row r="258" spans="3:25">
      <c r="C258" s="894"/>
      <c r="D258" s="894"/>
      <c r="E258" s="894"/>
      <c r="F258" s="894"/>
      <c r="G258" s="894"/>
      <c r="H258" s="894"/>
      <c r="I258" s="894"/>
      <c r="J258" s="894"/>
      <c r="K258" s="894"/>
      <c r="L258" s="894"/>
      <c r="M258" s="894"/>
      <c r="N258" s="894"/>
      <c r="O258" s="894"/>
      <c r="P258" s="894"/>
      <c r="Q258" s="894"/>
      <c r="R258" s="894"/>
      <c r="S258" s="894"/>
      <c r="T258" s="894"/>
      <c r="U258" s="894"/>
      <c r="V258" s="894"/>
      <c r="W258" s="894"/>
      <c r="X258" s="894"/>
      <c r="Y258" s="894"/>
    </row>
    <row r="259" spans="3:25">
      <c r="C259" s="894"/>
      <c r="D259" s="894"/>
      <c r="E259" s="894"/>
      <c r="F259" s="894"/>
      <c r="G259" s="894"/>
      <c r="H259" s="894"/>
      <c r="I259" s="894"/>
      <c r="J259" s="894"/>
      <c r="K259" s="894"/>
      <c r="L259" s="894"/>
      <c r="M259" s="894"/>
      <c r="N259" s="894"/>
      <c r="O259" s="894"/>
      <c r="P259" s="894"/>
      <c r="Q259" s="894"/>
      <c r="R259" s="894"/>
      <c r="S259" s="894"/>
      <c r="T259" s="894"/>
      <c r="U259" s="894"/>
      <c r="V259" s="894"/>
      <c r="W259" s="894"/>
      <c r="X259" s="894"/>
      <c r="Y259" s="894"/>
    </row>
    <row r="260" spans="3:25">
      <c r="C260" s="894"/>
      <c r="D260" s="894"/>
      <c r="E260" s="894"/>
      <c r="F260" s="894"/>
      <c r="G260" s="894"/>
      <c r="H260" s="894"/>
      <c r="I260" s="894"/>
      <c r="J260" s="894"/>
      <c r="K260" s="894"/>
      <c r="L260" s="894"/>
      <c r="M260" s="894"/>
      <c r="N260" s="894"/>
      <c r="O260" s="894"/>
      <c r="P260" s="894"/>
      <c r="Q260" s="894"/>
      <c r="R260" s="894"/>
      <c r="S260" s="894"/>
      <c r="T260" s="894"/>
      <c r="U260" s="894"/>
      <c r="V260" s="894"/>
      <c r="W260" s="894"/>
      <c r="X260" s="894"/>
      <c r="Y260" s="894"/>
    </row>
    <row r="261" spans="3:25">
      <c r="C261" s="894"/>
      <c r="D261" s="894"/>
      <c r="E261" s="894"/>
      <c r="F261" s="894"/>
      <c r="G261" s="894"/>
      <c r="H261" s="894"/>
      <c r="I261" s="894"/>
      <c r="J261" s="894"/>
      <c r="K261" s="894"/>
      <c r="L261" s="894"/>
      <c r="M261" s="894"/>
      <c r="N261" s="894"/>
      <c r="O261" s="894"/>
      <c r="P261" s="894"/>
      <c r="Q261" s="894"/>
      <c r="R261" s="894"/>
      <c r="S261" s="894"/>
      <c r="T261" s="894"/>
      <c r="U261" s="894"/>
      <c r="V261" s="894"/>
      <c r="W261" s="894"/>
      <c r="X261" s="894"/>
      <c r="Y261" s="894"/>
    </row>
    <row r="262" spans="3:25">
      <c r="C262" s="894"/>
      <c r="D262" s="894"/>
      <c r="E262" s="894"/>
      <c r="F262" s="894"/>
      <c r="G262" s="894"/>
      <c r="H262" s="894"/>
      <c r="I262" s="894"/>
      <c r="J262" s="894"/>
      <c r="K262" s="894"/>
      <c r="L262" s="894"/>
      <c r="M262" s="894"/>
      <c r="N262" s="894"/>
      <c r="O262" s="894"/>
      <c r="P262" s="894"/>
      <c r="Q262" s="894"/>
      <c r="R262" s="894"/>
      <c r="S262" s="894"/>
      <c r="T262" s="894"/>
      <c r="U262" s="894"/>
      <c r="V262" s="894"/>
      <c r="W262" s="894"/>
      <c r="X262" s="894"/>
      <c r="Y262" s="894"/>
    </row>
    <row r="263" spans="3:25">
      <c r="C263" s="894"/>
      <c r="D263" s="894"/>
      <c r="E263" s="894"/>
      <c r="F263" s="894"/>
      <c r="G263" s="894"/>
      <c r="H263" s="894"/>
      <c r="I263" s="894"/>
      <c r="J263" s="894"/>
      <c r="K263" s="894"/>
      <c r="L263" s="894"/>
      <c r="M263" s="894"/>
      <c r="N263" s="894"/>
      <c r="O263" s="894"/>
      <c r="P263" s="894"/>
      <c r="Q263" s="894"/>
      <c r="R263" s="894"/>
      <c r="S263" s="894"/>
      <c r="T263" s="894"/>
      <c r="U263" s="894"/>
      <c r="V263" s="894"/>
      <c r="W263" s="894"/>
      <c r="X263" s="894"/>
      <c r="Y263" s="894"/>
    </row>
    <row r="264" spans="3:25">
      <c r="C264" s="894"/>
      <c r="D264" s="894"/>
      <c r="E264" s="894"/>
      <c r="F264" s="894"/>
      <c r="G264" s="894"/>
      <c r="H264" s="894"/>
      <c r="I264" s="894"/>
      <c r="J264" s="894"/>
      <c r="K264" s="894"/>
      <c r="L264" s="894"/>
      <c r="M264" s="894"/>
      <c r="N264" s="894"/>
      <c r="O264" s="894"/>
      <c r="P264" s="894"/>
      <c r="Q264" s="894"/>
      <c r="R264" s="894"/>
      <c r="S264" s="894"/>
      <c r="T264" s="894"/>
      <c r="U264" s="894"/>
      <c r="V264" s="894"/>
      <c r="W264" s="894"/>
      <c r="X264" s="894"/>
      <c r="Y264" s="894"/>
    </row>
    <row r="265" spans="3:25">
      <c r="C265" s="894"/>
      <c r="D265" s="894"/>
      <c r="E265" s="894"/>
      <c r="F265" s="894"/>
      <c r="G265" s="894"/>
      <c r="H265" s="894"/>
      <c r="I265" s="894"/>
      <c r="J265" s="894"/>
      <c r="K265" s="894"/>
      <c r="L265" s="894"/>
      <c r="M265" s="894"/>
      <c r="N265" s="894"/>
      <c r="O265" s="894"/>
      <c r="P265" s="894"/>
      <c r="Q265" s="894"/>
      <c r="R265" s="894"/>
      <c r="S265" s="894"/>
      <c r="T265" s="894"/>
      <c r="U265" s="894"/>
      <c r="V265" s="894"/>
      <c r="W265" s="894"/>
      <c r="X265" s="894"/>
      <c r="Y265" s="894"/>
    </row>
    <row r="266" spans="3:25">
      <c r="C266" s="894"/>
      <c r="D266" s="894"/>
      <c r="E266" s="894"/>
      <c r="F266" s="894"/>
      <c r="G266" s="894"/>
      <c r="H266" s="894"/>
      <c r="I266" s="894"/>
      <c r="J266" s="894"/>
      <c r="K266" s="894"/>
      <c r="L266" s="894"/>
      <c r="M266" s="894"/>
      <c r="N266" s="894"/>
      <c r="O266" s="894"/>
      <c r="P266" s="894"/>
      <c r="Q266" s="894"/>
      <c r="R266" s="894"/>
      <c r="S266" s="894"/>
      <c r="T266" s="894"/>
      <c r="U266" s="894"/>
      <c r="V266" s="894"/>
      <c r="W266" s="894"/>
      <c r="X266" s="894"/>
      <c r="Y266" s="894"/>
    </row>
    <row r="267" spans="3:25">
      <c r="C267" s="894"/>
      <c r="D267" s="894"/>
      <c r="E267" s="894"/>
      <c r="F267" s="894"/>
      <c r="G267" s="894"/>
      <c r="H267" s="894"/>
      <c r="I267" s="894"/>
      <c r="J267" s="894"/>
      <c r="K267" s="894"/>
      <c r="L267" s="894"/>
      <c r="M267" s="894"/>
      <c r="N267" s="894"/>
      <c r="O267" s="894"/>
      <c r="P267" s="894"/>
      <c r="Q267" s="894"/>
      <c r="R267" s="894"/>
      <c r="S267" s="894"/>
      <c r="T267" s="894"/>
      <c r="U267" s="894"/>
      <c r="V267" s="894"/>
      <c r="W267" s="894"/>
      <c r="X267" s="894"/>
      <c r="Y267" s="894"/>
    </row>
    <row r="268" spans="3:25">
      <c r="C268" s="894"/>
      <c r="D268" s="894"/>
      <c r="E268" s="894"/>
      <c r="F268" s="894"/>
      <c r="G268" s="894"/>
      <c r="H268" s="894"/>
      <c r="I268" s="894"/>
      <c r="J268" s="894"/>
      <c r="K268" s="894"/>
      <c r="L268" s="894"/>
      <c r="M268" s="894"/>
      <c r="N268" s="894"/>
      <c r="O268" s="894"/>
      <c r="P268" s="894"/>
      <c r="Q268" s="894"/>
      <c r="R268" s="894"/>
      <c r="S268" s="894"/>
      <c r="T268" s="894"/>
      <c r="U268" s="894"/>
      <c r="V268" s="894"/>
      <c r="W268" s="894"/>
      <c r="X268" s="894"/>
      <c r="Y268" s="894"/>
    </row>
    <row r="269" spans="3:25">
      <c r="C269" s="894"/>
      <c r="D269" s="894"/>
      <c r="E269" s="894"/>
      <c r="F269" s="894"/>
      <c r="G269" s="894"/>
      <c r="H269" s="894"/>
      <c r="I269" s="894"/>
      <c r="J269" s="894"/>
      <c r="K269" s="894"/>
      <c r="L269" s="894"/>
      <c r="M269" s="894"/>
      <c r="N269" s="894"/>
      <c r="O269" s="894"/>
      <c r="P269" s="894"/>
      <c r="Q269" s="894"/>
      <c r="R269" s="894"/>
      <c r="S269" s="894"/>
      <c r="T269" s="894"/>
      <c r="U269" s="894"/>
      <c r="V269" s="894"/>
      <c r="W269" s="894"/>
      <c r="X269" s="894"/>
      <c r="Y269" s="894"/>
    </row>
    <row r="270" spans="3:25">
      <c r="C270" s="894"/>
      <c r="D270" s="894"/>
      <c r="E270" s="894"/>
      <c r="F270" s="894"/>
      <c r="G270" s="894"/>
      <c r="H270" s="894"/>
      <c r="I270" s="894"/>
      <c r="J270" s="894"/>
      <c r="K270" s="894"/>
      <c r="L270" s="894"/>
      <c r="M270" s="894"/>
      <c r="N270" s="894"/>
      <c r="O270" s="894"/>
      <c r="P270" s="894"/>
      <c r="Q270" s="894"/>
      <c r="R270" s="894"/>
      <c r="S270" s="894"/>
      <c r="T270" s="894"/>
      <c r="U270" s="894"/>
      <c r="V270" s="894"/>
      <c r="W270" s="894"/>
      <c r="X270" s="894"/>
      <c r="Y270" s="894"/>
    </row>
    <row r="271" spans="3:25">
      <c r="C271" s="894"/>
      <c r="D271" s="894"/>
      <c r="E271" s="894"/>
      <c r="F271" s="894"/>
      <c r="G271" s="894"/>
      <c r="H271" s="894"/>
      <c r="I271" s="894"/>
      <c r="J271" s="894"/>
      <c r="K271" s="894"/>
      <c r="L271" s="894"/>
      <c r="M271" s="894"/>
      <c r="N271" s="894"/>
      <c r="O271" s="894"/>
      <c r="P271" s="894"/>
      <c r="Q271" s="894"/>
      <c r="R271" s="894"/>
      <c r="S271" s="894"/>
      <c r="T271" s="894"/>
      <c r="U271" s="894"/>
      <c r="V271" s="894"/>
      <c r="W271" s="894"/>
      <c r="X271" s="894"/>
      <c r="Y271" s="894"/>
    </row>
    <row r="272" spans="3:25">
      <c r="C272" s="894"/>
      <c r="D272" s="894"/>
      <c r="E272" s="894"/>
      <c r="F272" s="894"/>
      <c r="G272" s="894"/>
      <c r="H272" s="894"/>
      <c r="I272" s="894"/>
      <c r="J272" s="894"/>
      <c r="K272" s="894"/>
      <c r="L272" s="894"/>
      <c r="M272" s="894"/>
      <c r="N272" s="894"/>
      <c r="O272" s="894"/>
      <c r="P272" s="894"/>
      <c r="Q272" s="894"/>
      <c r="R272" s="894"/>
      <c r="S272" s="894"/>
      <c r="T272" s="894"/>
      <c r="U272" s="894"/>
      <c r="V272" s="894"/>
      <c r="W272" s="894"/>
      <c r="X272" s="894"/>
      <c r="Y272" s="894"/>
    </row>
    <row r="273" spans="3:25">
      <c r="C273" s="894"/>
      <c r="D273" s="894"/>
      <c r="E273" s="894"/>
      <c r="F273" s="894"/>
      <c r="G273" s="894"/>
      <c r="H273" s="894"/>
      <c r="I273" s="894"/>
      <c r="J273" s="894"/>
      <c r="K273" s="894"/>
      <c r="L273" s="894"/>
      <c r="M273" s="894"/>
      <c r="N273" s="894"/>
      <c r="O273" s="894"/>
      <c r="P273" s="894"/>
      <c r="Q273" s="894"/>
      <c r="R273" s="894"/>
      <c r="S273" s="894"/>
      <c r="T273" s="894"/>
      <c r="U273" s="894"/>
      <c r="V273" s="894"/>
      <c r="W273" s="894"/>
      <c r="X273" s="894"/>
      <c r="Y273" s="894"/>
    </row>
    <row r="274" spans="3:25">
      <c r="C274" s="894"/>
      <c r="D274" s="894"/>
      <c r="E274" s="894"/>
      <c r="F274" s="894"/>
      <c r="G274" s="894"/>
      <c r="H274" s="894"/>
      <c r="I274" s="894"/>
      <c r="J274" s="894"/>
      <c r="K274" s="894"/>
      <c r="L274" s="894"/>
      <c r="M274" s="894"/>
      <c r="N274" s="894"/>
      <c r="O274" s="894"/>
      <c r="P274" s="894"/>
      <c r="Q274" s="894"/>
      <c r="R274" s="894"/>
      <c r="S274" s="894"/>
      <c r="T274" s="894"/>
      <c r="U274" s="894"/>
      <c r="V274" s="894"/>
      <c r="W274" s="894"/>
      <c r="X274" s="894"/>
      <c r="Y274" s="894"/>
    </row>
    <row r="275" spans="3:25">
      <c r="C275" s="894"/>
      <c r="D275" s="894"/>
      <c r="E275" s="894"/>
      <c r="F275" s="894"/>
      <c r="G275" s="894"/>
      <c r="H275" s="894"/>
      <c r="I275" s="894"/>
      <c r="J275" s="894"/>
      <c r="K275" s="894"/>
      <c r="L275" s="894"/>
      <c r="M275" s="894"/>
      <c r="N275" s="894"/>
      <c r="O275" s="894"/>
      <c r="P275" s="894"/>
      <c r="Q275" s="894"/>
      <c r="R275" s="894"/>
      <c r="S275" s="894"/>
      <c r="T275" s="894"/>
      <c r="U275" s="894"/>
      <c r="V275" s="894"/>
      <c r="W275" s="894"/>
      <c r="X275" s="894"/>
      <c r="Y275" s="894"/>
    </row>
    <row r="276" spans="3:25">
      <c r="C276" s="894"/>
      <c r="D276" s="894"/>
      <c r="E276" s="894"/>
      <c r="F276" s="894"/>
      <c r="G276" s="894"/>
      <c r="H276" s="894"/>
      <c r="I276" s="894"/>
      <c r="J276" s="894"/>
      <c r="K276" s="894"/>
      <c r="L276" s="894"/>
      <c r="M276" s="894"/>
      <c r="N276" s="894"/>
      <c r="O276" s="894"/>
      <c r="P276" s="894"/>
      <c r="Q276" s="894"/>
      <c r="R276" s="894"/>
      <c r="S276" s="894"/>
      <c r="T276" s="894"/>
      <c r="U276" s="894"/>
      <c r="V276" s="894"/>
      <c r="W276" s="894"/>
      <c r="X276" s="894"/>
      <c r="Y276" s="894"/>
    </row>
    <row r="277" spans="3:25">
      <c r="C277" s="894"/>
      <c r="D277" s="894"/>
      <c r="E277" s="894"/>
      <c r="F277" s="894"/>
      <c r="G277" s="894"/>
      <c r="H277" s="894"/>
      <c r="I277" s="894"/>
      <c r="J277" s="894"/>
      <c r="K277" s="894"/>
      <c r="L277" s="894"/>
      <c r="M277" s="894"/>
      <c r="N277" s="894"/>
      <c r="O277" s="894"/>
      <c r="P277" s="894"/>
      <c r="Q277" s="894"/>
      <c r="R277" s="894"/>
      <c r="S277" s="894"/>
      <c r="T277" s="894"/>
      <c r="U277" s="894"/>
      <c r="V277" s="894"/>
      <c r="W277" s="894"/>
      <c r="X277" s="894"/>
      <c r="Y277" s="894"/>
    </row>
    <row r="278" spans="3:25">
      <c r="C278" s="894"/>
      <c r="D278" s="894"/>
      <c r="E278" s="894"/>
      <c r="F278" s="894"/>
      <c r="G278" s="894"/>
      <c r="H278" s="894"/>
      <c r="I278" s="894"/>
      <c r="J278" s="894"/>
      <c r="K278" s="894"/>
      <c r="L278" s="894"/>
      <c r="M278" s="894"/>
      <c r="N278" s="894"/>
      <c r="O278" s="894"/>
      <c r="P278" s="894"/>
      <c r="Q278" s="894"/>
      <c r="R278" s="894"/>
      <c r="S278" s="894"/>
      <c r="T278" s="894"/>
      <c r="U278" s="894"/>
      <c r="V278" s="894"/>
      <c r="W278" s="894"/>
      <c r="X278" s="894"/>
      <c r="Y278" s="894"/>
    </row>
    <row r="279" spans="3:25">
      <c r="C279" s="894"/>
      <c r="D279" s="894"/>
      <c r="E279" s="894"/>
      <c r="F279" s="894"/>
      <c r="G279" s="894"/>
      <c r="H279" s="894"/>
      <c r="I279" s="894"/>
      <c r="J279" s="894"/>
      <c r="K279" s="894"/>
      <c r="L279" s="894"/>
      <c r="M279" s="894"/>
      <c r="N279" s="894"/>
      <c r="O279" s="894"/>
      <c r="P279" s="894"/>
      <c r="Q279" s="894"/>
      <c r="R279" s="894"/>
      <c r="S279" s="894"/>
      <c r="T279" s="894"/>
      <c r="U279" s="894"/>
      <c r="V279" s="894"/>
      <c r="W279" s="894"/>
      <c r="X279" s="894"/>
      <c r="Y279" s="894"/>
    </row>
    <row r="280" spans="3:25">
      <c r="C280" s="894"/>
      <c r="D280" s="894"/>
      <c r="E280" s="894"/>
      <c r="F280" s="894"/>
      <c r="G280" s="894"/>
      <c r="H280" s="894"/>
      <c r="I280" s="894"/>
      <c r="J280" s="894"/>
      <c r="K280" s="894"/>
      <c r="L280" s="894"/>
      <c r="M280" s="894"/>
      <c r="N280" s="894"/>
      <c r="O280" s="894"/>
      <c r="P280" s="894"/>
      <c r="Q280" s="894"/>
      <c r="R280" s="894"/>
      <c r="S280" s="894"/>
      <c r="T280" s="894"/>
      <c r="U280" s="894"/>
      <c r="V280" s="894"/>
      <c r="W280" s="894"/>
      <c r="X280" s="894"/>
      <c r="Y280" s="894"/>
    </row>
    <row r="281" spans="3:25">
      <c r="C281" s="894"/>
      <c r="D281" s="894"/>
      <c r="E281" s="894"/>
      <c r="F281" s="894"/>
      <c r="G281" s="894"/>
      <c r="H281" s="894"/>
      <c r="I281" s="894"/>
      <c r="J281" s="894"/>
      <c r="K281" s="894"/>
      <c r="L281" s="894"/>
      <c r="M281" s="894"/>
      <c r="N281" s="894"/>
      <c r="O281" s="894"/>
      <c r="P281" s="894"/>
      <c r="Q281" s="894"/>
      <c r="R281" s="894"/>
      <c r="S281" s="894"/>
      <c r="T281" s="894"/>
      <c r="U281" s="894"/>
      <c r="V281" s="894"/>
      <c r="W281" s="894"/>
      <c r="X281" s="894"/>
      <c r="Y281" s="894"/>
    </row>
    <row r="282" spans="3:25">
      <c r="C282" s="894"/>
      <c r="D282" s="894"/>
      <c r="E282" s="894"/>
      <c r="F282" s="894"/>
      <c r="G282" s="894"/>
      <c r="H282" s="894"/>
      <c r="I282" s="894"/>
      <c r="J282" s="894"/>
      <c r="K282" s="894"/>
      <c r="L282" s="894"/>
      <c r="M282" s="894"/>
      <c r="N282" s="894"/>
      <c r="O282" s="894"/>
      <c r="P282" s="894"/>
      <c r="Q282" s="894"/>
      <c r="R282" s="894"/>
      <c r="S282" s="894"/>
      <c r="T282" s="894"/>
      <c r="U282" s="894"/>
      <c r="V282" s="894"/>
      <c r="W282" s="894"/>
      <c r="X282" s="894"/>
      <c r="Y282" s="894"/>
    </row>
    <row r="283" spans="3:25">
      <c r="C283" s="894"/>
      <c r="D283" s="894"/>
      <c r="E283" s="894"/>
      <c r="F283" s="894"/>
      <c r="G283" s="894"/>
      <c r="H283" s="894"/>
      <c r="I283" s="894"/>
      <c r="J283" s="894"/>
      <c r="K283" s="894"/>
      <c r="L283" s="894"/>
      <c r="M283" s="894"/>
      <c r="N283" s="894"/>
      <c r="O283" s="894"/>
      <c r="P283" s="894"/>
      <c r="Q283" s="894"/>
      <c r="R283" s="894"/>
      <c r="S283" s="894"/>
      <c r="T283" s="894"/>
      <c r="U283" s="894"/>
      <c r="V283" s="894"/>
      <c r="W283" s="894"/>
      <c r="X283" s="894"/>
      <c r="Y283" s="894"/>
    </row>
    <row r="284" spans="3:25">
      <c r="C284" s="894"/>
      <c r="D284" s="894"/>
      <c r="E284" s="894"/>
      <c r="F284" s="894"/>
      <c r="G284" s="894"/>
      <c r="H284" s="894"/>
      <c r="I284" s="894"/>
      <c r="J284" s="894"/>
      <c r="K284" s="894"/>
      <c r="L284" s="894"/>
      <c r="M284" s="894"/>
      <c r="N284" s="894"/>
      <c r="O284" s="894"/>
      <c r="P284" s="894"/>
      <c r="Q284" s="894"/>
      <c r="R284" s="894"/>
      <c r="S284" s="894"/>
      <c r="T284" s="894"/>
      <c r="U284" s="894"/>
      <c r="V284" s="894"/>
      <c r="W284" s="894"/>
      <c r="X284" s="894"/>
      <c r="Y284" s="894"/>
    </row>
    <row r="285" spans="3:25">
      <c r="C285" s="894"/>
      <c r="D285" s="894"/>
      <c r="E285" s="894"/>
      <c r="F285" s="894"/>
      <c r="G285" s="894"/>
      <c r="H285" s="894"/>
      <c r="I285" s="894"/>
      <c r="J285" s="894"/>
      <c r="K285" s="894"/>
      <c r="L285" s="894"/>
      <c r="M285" s="894"/>
      <c r="N285" s="894"/>
      <c r="O285" s="894"/>
      <c r="P285" s="894"/>
      <c r="Q285" s="894"/>
      <c r="R285" s="894"/>
      <c r="S285" s="894"/>
      <c r="T285" s="894"/>
      <c r="U285" s="894"/>
      <c r="V285" s="894"/>
      <c r="W285" s="894"/>
      <c r="X285" s="894"/>
      <c r="Y285" s="894"/>
    </row>
    <row r="286" spans="3:25">
      <c r="C286" s="894"/>
      <c r="D286" s="894"/>
      <c r="E286" s="894"/>
      <c r="F286" s="894"/>
      <c r="G286" s="894"/>
      <c r="H286" s="894"/>
      <c r="I286" s="894"/>
      <c r="J286" s="894"/>
      <c r="K286" s="894"/>
      <c r="L286" s="894"/>
      <c r="M286" s="894"/>
      <c r="N286" s="894"/>
      <c r="O286" s="894"/>
      <c r="P286" s="894"/>
      <c r="Q286" s="894"/>
      <c r="R286" s="894"/>
      <c r="S286" s="894"/>
      <c r="T286" s="894"/>
      <c r="U286" s="894"/>
      <c r="V286" s="894"/>
      <c r="W286" s="894"/>
      <c r="X286" s="894"/>
      <c r="Y286" s="894"/>
    </row>
    <row r="287" spans="3:25">
      <c r="C287" s="894"/>
      <c r="D287" s="894"/>
      <c r="E287" s="894"/>
      <c r="F287" s="894"/>
      <c r="G287" s="894"/>
      <c r="H287" s="894"/>
      <c r="I287" s="894"/>
      <c r="J287" s="894"/>
      <c r="K287" s="894"/>
      <c r="L287" s="894"/>
      <c r="M287" s="894"/>
      <c r="N287" s="894"/>
      <c r="O287" s="894"/>
      <c r="P287" s="894"/>
      <c r="Q287" s="894"/>
      <c r="R287" s="894"/>
      <c r="S287" s="894"/>
      <c r="T287" s="894"/>
      <c r="U287" s="894"/>
      <c r="V287" s="894"/>
      <c r="W287" s="894"/>
      <c r="X287" s="894"/>
      <c r="Y287" s="894"/>
    </row>
    <row r="288" spans="3:25">
      <c r="C288" s="894"/>
      <c r="D288" s="894"/>
      <c r="E288" s="894"/>
      <c r="F288" s="894"/>
      <c r="G288" s="894"/>
      <c r="H288" s="894"/>
      <c r="I288" s="894"/>
      <c r="J288" s="894"/>
      <c r="K288" s="894"/>
      <c r="L288" s="894"/>
      <c r="M288" s="894"/>
      <c r="N288" s="894"/>
      <c r="O288" s="894"/>
      <c r="P288" s="894"/>
      <c r="Q288" s="894"/>
      <c r="R288" s="894"/>
      <c r="S288" s="894"/>
      <c r="T288" s="894"/>
      <c r="U288" s="894"/>
      <c r="V288" s="894"/>
      <c r="W288" s="894"/>
      <c r="X288" s="894"/>
      <c r="Y288" s="894"/>
    </row>
    <row r="289" spans="3:25">
      <c r="C289" s="894"/>
      <c r="D289" s="894"/>
      <c r="E289" s="894"/>
      <c r="F289" s="894"/>
      <c r="G289" s="894"/>
      <c r="H289" s="894"/>
      <c r="I289" s="894"/>
      <c r="J289" s="894"/>
      <c r="K289" s="894"/>
      <c r="L289" s="894"/>
      <c r="M289" s="894"/>
      <c r="N289" s="894"/>
      <c r="O289" s="894"/>
      <c r="P289" s="894"/>
      <c r="Q289" s="894"/>
      <c r="R289" s="894"/>
      <c r="S289" s="894"/>
      <c r="T289" s="894"/>
      <c r="U289" s="894"/>
      <c r="V289" s="894"/>
      <c r="W289" s="894"/>
      <c r="X289" s="894"/>
      <c r="Y289" s="894"/>
    </row>
    <row r="290" spans="3:25">
      <c r="C290" s="894"/>
      <c r="D290" s="894"/>
      <c r="E290" s="894"/>
      <c r="F290" s="894"/>
      <c r="G290" s="894"/>
      <c r="H290" s="894"/>
      <c r="I290" s="894"/>
      <c r="J290" s="894"/>
      <c r="K290" s="894"/>
      <c r="L290" s="894"/>
      <c r="M290" s="894"/>
      <c r="N290" s="894"/>
      <c r="O290" s="894"/>
      <c r="P290" s="894"/>
      <c r="Q290" s="894"/>
      <c r="R290" s="894"/>
      <c r="S290" s="894"/>
      <c r="T290" s="894"/>
      <c r="U290" s="894"/>
      <c r="V290" s="894"/>
      <c r="W290" s="894"/>
      <c r="X290" s="894"/>
      <c r="Y290" s="894"/>
    </row>
    <row r="291" spans="3:25">
      <c r="C291" s="894"/>
      <c r="D291" s="894"/>
      <c r="E291" s="894"/>
      <c r="F291" s="894"/>
      <c r="G291" s="894"/>
      <c r="H291" s="894"/>
      <c r="I291" s="894"/>
      <c r="J291" s="894"/>
      <c r="K291" s="894"/>
      <c r="L291" s="894"/>
      <c r="M291" s="894"/>
      <c r="N291" s="894"/>
      <c r="O291" s="894"/>
      <c r="P291" s="894"/>
      <c r="Q291" s="894"/>
      <c r="R291" s="894"/>
      <c r="S291" s="894"/>
      <c r="T291" s="894"/>
      <c r="U291" s="894"/>
      <c r="V291" s="894"/>
      <c r="W291" s="894"/>
      <c r="X291" s="894"/>
      <c r="Y291" s="894"/>
    </row>
    <row r="292" spans="3:25">
      <c r="C292" s="894"/>
      <c r="D292" s="894"/>
      <c r="E292" s="894"/>
      <c r="F292" s="894"/>
      <c r="G292" s="894"/>
      <c r="H292" s="894"/>
      <c r="I292" s="894"/>
      <c r="J292" s="894"/>
      <c r="K292" s="894"/>
      <c r="L292" s="894"/>
      <c r="M292" s="894"/>
      <c r="N292" s="894"/>
      <c r="O292" s="894"/>
      <c r="P292" s="894"/>
      <c r="Q292" s="894"/>
      <c r="R292" s="894"/>
      <c r="S292" s="894"/>
      <c r="T292" s="894"/>
      <c r="U292" s="894"/>
      <c r="V292" s="894"/>
      <c r="W292" s="894"/>
      <c r="X292" s="894"/>
      <c r="Y292" s="894"/>
    </row>
    <row r="293" spans="3:25">
      <c r="C293" s="894"/>
      <c r="D293" s="894"/>
      <c r="E293" s="894"/>
      <c r="F293" s="894"/>
      <c r="G293" s="894"/>
      <c r="H293" s="894"/>
      <c r="I293" s="894"/>
      <c r="J293" s="894"/>
      <c r="K293" s="894"/>
      <c r="L293" s="894"/>
      <c r="M293" s="894"/>
      <c r="N293" s="894"/>
      <c r="O293" s="894"/>
      <c r="P293" s="894"/>
      <c r="Q293" s="894"/>
      <c r="R293" s="894"/>
      <c r="S293" s="894"/>
      <c r="T293" s="894"/>
      <c r="U293" s="894"/>
      <c r="V293" s="894"/>
      <c r="W293" s="894"/>
      <c r="X293" s="894"/>
      <c r="Y293" s="894"/>
    </row>
    <row r="294" spans="3:25">
      <c r="C294" s="894"/>
      <c r="D294" s="894"/>
      <c r="E294" s="894"/>
      <c r="F294" s="894"/>
      <c r="G294" s="894"/>
      <c r="H294" s="894"/>
      <c r="I294" s="894"/>
      <c r="J294" s="894"/>
      <c r="K294" s="894"/>
      <c r="L294" s="894"/>
      <c r="M294" s="894"/>
      <c r="N294" s="894"/>
      <c r="O294" s="894"/>
      <c r="P294" s="894"/>
      <c r="Q294" s="894"/>
      <c r="R294" s="894"/>
      <c r="S294" s="894"/>
      <c r="T294" s="894"/>
      <c r="U294" s="894"/>
      <c r="V294" s="894"/>
      <c r="W294" s="894"/>
      <c r="X294" s="894"/>
      <c r="Y294" s="894"/>
    </row>
    <row r="295" spans="3:25">
      <c r="C295" s="894"/>
      <c r="D295" s="894"/>
      <c r="E295" s="894"/>
      <c r="F295" s="894"/>
      <c r="G295" s="894"/>
      <c r="H295" s="894"/>
      <c r="I295" s="894"/>
      <c r="J295" s="894"/>
      <c r="K295" s="894"/>
      <c r="L295" s="894"/>
      <c r="M295" s="894"/>
      <c r="N295" s="894"/>
      <c r="O295" s="894"/>
      <c r="P295" s="894"/>
      <c r="Q295" s="894"/>
      <c r="R295" s="894"/>
      <c r="S295" s="894"/>
      <c r="T295" s="894"/>
      <c r="U295" s="894"/>
      <c r="V295" s="894"/>
      <c r="W295" s="894"/>
      <c r="X295" s="894"/>
      <c r="Y295" s="894"/>
    </row>
    <row r="296" spans="3:25">
      <c r="C296" s="894"/>
      <c r="D296" s="894"/>
      <c r="E296" s="894"/>
      <c r="F296" s="894"/>
      <c r="G296" s="894"/>
      <c r="H296" s="894"/>
      <c r="I296" s="894"/>
      <c r="J296" s="894"/>
      <c r="K296" s="894"/>
      <c r="L296" s="894"/>
      <c r="M296" s="894"/>
      <c r="N296" s="894"/>
      <c r="O296" s="894"/>
      <c r="P296" s="894"/>
      <c r="Q296" s="894"/>
      <c r="R296" s="894"/>
      <c r="S296" s="894"/>
      <c r="T296" s="894"/>
      <c r="U296" s="894"/>
      <c r="V296" s="894"/>
      <c r="W296" s="894"/>
      <c r="X296" s="894"/>
      <c r="Y296" s="894"/>
    </row>
    <row r="297" spans="3:25">
      <c r="C297" s="894"/>
      <c r="D297" s="894"/>
      <c r="E297" s="894"/>
      <c r="F297" s="894"/>
      <c r="G297" s="894"/>
      <c r="H297" s="894"/>
      <c r="I297" s="894"/>
      <c r="J297" s="894"/>
      <c r="K297" s="894"/>
      <c r="L297" s="894"/>
      <c r="M297" s="894"/>
      <c r="N297" s="894"/>
      <c r="O297" s="894"/>
      <c r="P297" s="894"/>
      <c r="Q297" s="894"/>
      <c r="R297" s="894"/>
      <c r="S297" s="894"/>
      <c r="T297" s="894"/>
      <c r="U297" s="894"/>
      <c r="V297" s="894"/>
      <c r="W297" s="894"/>
      <c r="X297" s="894"/>
      <c r="Y297" s="894"/>
    </row>
    <row r="298" spans="3:25">
      <c r="C298" s="894"/>
      <c r="D298" s="894"/>
      <c r="E298" s="894"/>
      <c r="F298" s="894"/>
      <c r="G298" s="894"/>
      <c r="H298" s="894"/>
      <c r="I298" s="894"/>
      <c r="J298" s="894"/>
      <c r="K298" s="894"/>
      <c r="L298" s="894"/>
      <c r="M298" s="894"/>
      <c r="N298" s="894"/>
      <c r="O298" s="894"/>
      <c r="P298" s="894"/>
      <c r="Q298" s="894"/>
      <c r="R298" s="894"/>
      <c r="S298" s="894"/>
      <c r="T298" s="894"/>
      <c r="U298" s="894"/>
      <c r="V298" s="894"/>
      <c r="W298" s="894"/>
      <c r="X298" s="894"/>
      <c r="Y298" s="894"/>
    </row>
    <row r="299" spans="3:25">
      <c r="C299" s="894"/>
      <c r="D299" s="894"/>
      <c r="E299" s="894"/>
      <c r="F299" s="894"/>
      <c r="G299" s="894"/>
      <c r="H299" s="894"/>
      <c r="I299" s="894"/>
      <c r="J299" s="894"/>
      <c r="K299" s="894"/>
      <c r="L299" s="894"/>
      <c r="M299" s="894"/>
      <c r="N299" s="894"/>
      <c r="O299" s="894"/>
      <c r="P299" s="894"/>
      <c r="Q299" s="894"/>
      <c r="R299" s="894"/>
      <c r="S299" s="894"/>
      <c r="T299" s="894"/>
      <c r="U299" s="894"/>
      <c r="V299" s="894"/>
      <c r="W299" s="894"/>
      <c r="X299" s="894"/>
      <c r="Y299" s="894"/>
    </row>
    <row r="300" spans="3:25">
      <c r="C300" s="894"/>
      <c r="D300" s="894"/>
      <c r="E300" s="894"/>
      <c r="F300" s="894"/>
      <c r="G300" s="894"/>
      <c r="H300" s="894"/>
      <c r="I300" s="894"/>
      <c r="J300" s="894"/>
      <c r="K300" s="894"/>
      <c r="L300" s="894"/>
      <c r="M300" s="894"/>
      <c r="N300" s="894"/>
      <c r="O300" s="894"/>
      <c r="P300" s="894"/>
      <c r="Q300" s="894"/>
      <c r="R300" s="894"/>
    </row>
    <row r="301" spans="3:25">
      <c r="C301" s="894"/>
      <c r="D301" s="894"/>
      <c r="E301" s="894"/>
      <c r="F301" s="894"/>
      <c r="G301" s="894"/>
      <c r="H301" s="894"/>
      <c r="I301" s="894"/>
      <c r="J301" s="894"/>
      <c r="K301" s="894"/>
      <c r="L301" s="894"/>
      <c r="M301" s="894"/>
      <c r="N301" s="894"/>
      <c r="O301" s="894"/>
      <c r="P301" s="894"/>
      <c r="Q301" s="894"/>
      <c r="R301" s="894"/>
    </row>
    <row r="302" spans="3:25">
      <c r="C302" s="894"/>
      <c r="D302" s="894"/>
      <c r="E302" s="894"/>
      <c r="F302" s="894"/>
      <c r="G302" s="894"/>
      <c r="H302" s="894"/>
      <c r="I302" s="894"/>
      <c r="J302" s="894"/>
      <c r="K302" s="894"/>
      <c r="L302" s="894"/>
      <c r="M302" s="894"/>
      <c r="N302" s="894"/>
      <c r="O302" s="894"/>
      <c r="P302" s="894"/>
      <c r="Q302" s="894"/>
      <c r="R302" s="894"/>
    </row>
    <row r="303" spans="3:25">
      <c r="C303" s="894"/>
      <c r="D303" s="894"/>
      <c r="E303" s="894"/>
      <c r="F303" s="894"/>
      <c r="G303" s="894"/>
      <c r="H303" s="894"/>
      <c r="I303" s="894"/>
      <c r="J303" s="894"/>
      <c r="K303" s="894"/>
      <c r="L303" s="894"/>
      <c r="M303" s="894"/>
      <c r="N303" s="894"/>
      <c r="O303" s="894"/>
      <c r="P303" s="894"/>
      <c r="Q303" s="894"/>
      <c r="R303" s="894"/>
    </row>
    <row r="304" spans="3:25">
      <c r="C304" s="894"/>
      <c r="D304" s="894"/>
      <c r="E304" s="894"/>
      <c r="F304" s="894"/>
      <c r="G304" s="894"/>
      <c r="H304" s="894"/>
      <c r="I304" s="894"/>
      <c r="J304" s="894"/>
      <c r="K304" s="894"/>
      <c r="L304" s="894"/>
      <c r="M304" s="894"/>
      <c r="N304" s="894"/>
      <c r="O304" s="894"/>
      <c r="P304" s="894"/>
      <c r="Q304" s="894"/>
      <c r="R304" s="894"/>
    </row>
    <row r="305" spans="3:18">
      <c r="C305" s="894"/>
      <c r="D305" s="894"/>
      <c r="E305" s="894"/>
      <c r="F305" s="894"/>
      <c r="G305" s="894"/>
      <c r="H305" s="894"/>
      <c r="I305" s="894"/>
      <c r="J305" s="894"/>
      <c r="K305" s="894"/>
      <c r="L305" s="894"/>
      <c r="M305" s="894"/>
      <c r="N305" s="894"/>
      <c r="O305" s="894"/>
      <c r="P305" s="894"/>
      <c r="Q305" s="894"/>
      <c r="R305" s="894"/>
    </row>
    <row r="306" spans="3:18">
      <c r="C306" s="894"/>
      <c r="D306" s="894"/>
      <c r="E306" s="894"/>
      <c r="F306" s="894"/>
      <c r="G306" s="894"/>
      <c r="H306" s="894"/>
      <c r="I306" s="894"/>
      <c r="J306" s="894"/>
      <c r="K306" s="894"/>
      <c r="L306" s="894"/>
      <c r="M306" s="894"/>
      <c r="N306" s="894"/>
      <c r="O306" s="894"/>
      <c r="P306" s="894"/>
      <c r="Q306" s="894"/>
      <c r="R306" s="894"/>
    </row>
    <row r="307" spans="3:18">
      <c r="C307" s="894"/>
      <c r="D307" s="894"/>
      <c r="E307" s="894"/>
      <c r="F307" s="894"/>
      <c r="G307" s="894"/>
      <c r="H307" s="894"/>
      <c r="I307" s="894"/>
      <c r="J307" s="894"/>
      <c r="K307" s="894"/>
      <c r="L307" s="894"/>
      <c r="M307" s="894"/>
      <c r="N307" s="894"/>
      <c r="O307" s="894"/>
      <c r="P307" s="894"/>
      <c r="Q307" s="894"/>
      <c r="R307" s="894"/>
    </row>
  </sheetData>
  <mergeCells count="10">
    <mergeCell ref="C108:R108"/>
    <mergeCell ref="C103:R103"/>
    <mergeCell ref="C104:R104"/>
    <mergeCell ref="C105:R105"/>
    <mergeCell ref="C106:R106"/>
    <mergeCell ref="C99:R99"/>
    <mergeCell ref="C100:R100"/>
    <mergeCell ref="C101:R101"/>
    <mergeCell ref="C102:R102"/>
    <mergeCell ref="C107:R107"/>
  </mergeCells>
  <phoneticPr fontId="13" type="noConversion"/>
  <pageMargins left="0.75" right="0.75" top="1" bottom="1" header="0.5" footer="0.5"/>
  <pageSetup scale="45" fitToHeight="0" orientation="landscape" r:id="rId1"/>
  <headerFooter alignWithMargins="0"/>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K64"/>
  <sheetViews>
    <sheetView showGridLines="0" topLeftCell="A13" zoomScale="90" workbookViewId="0">
      <selection activeCell="S60" sqref="S60"/>
    </sheetView>
  </sheetViews>
  <sheetFormatPr defaultRowHeight="12.75"/>
  <cols>
    <col min="1" max="1" width="16.5546875" style="790" customWidth="1"/>
    <col min="2" max="2" width="25.5546875" style="790" customWidth="1"/>
    <col min="3" max="3" width="12.77734375" style="790" customWidth="1"/>
    <col min="4" max="7" width="8.5546875" style="790" customWidth="1"/>
    <col min="8" max="9" width="8.5546875" style="790" hidden="1" customWidth="1"/>
    <col min="10" max="10" width="9" style="790" hidden="1" customWidth="1"/>
    <col min="11" max="11" width="7.109375" style="790" hidden="1" customWidth="1"/>
    <col min="12" max="16384" width="8.88671875" style="790"/>
  </cols>
  <sheetData>
    <row r="1" spans="1:11" s="788" customFormat="1" ht="18">
      <c r="A1" s="787" t="s">
        <v>1013</v>
      </c>
    </row>
    <row r="2" spans="1:11">
      <c r="A2" s="789"/>
    </row>
    <row r="3" spans="1:11">
      <c r="A3" s="791" t="s">
        <v>891</v>
      </c>
      <c r="B3" s="792" t="s">
        <v>892</v>
      </c>
      <c r="C3" s="793"/>
    </row>
    <row r="4" spans="1:11">
      <c r="A4" s="789"/>
      <c r="B4" s="793"/>
      <c r="C4" s="793"/>
    </row>
    <row r="5" spans="1:11" ht="15">
      <c r="A5" s="791" t="s">
        <v>893</v>
      </c>
      <c r="B5" s="909" t="s">
        <v>385</v>
      </c>
      <c r="C5" s="793"/>
      <c r="D5" s="910"/>
      <c r="E5" s="910"/>
      <c r="F5" s="910"/>
      <c r="G5" s="910"/>
    </row>
    <row r="6" spans="1:11" ht="15">
      <c r="A6" s="789"/>
      <c r="B6" s="793"/>
      <c r="C6" s="793"/>
      <c r="D6" s="910"/>
      <c r="E6" s="910"/>
      <c r="F6" s="910"/>
      <c r="G6" s="910"/>
      <c r="K6" s="487" t="s">
        <v>894</v>
      </c>
    </row>
    <row r="7" spans="1:11">
      <c r="A7" s="797"/>
      <c r="B7" s="798" t="s">
        <v>895</v>
      </c>
      <c r="C7" s="799" t="s">
        <v>288</v>
      </c>
      <c r="D7" s="911"/>
      <c r="E7" s="911"/>
      <c r="F7" s="911"/>
      <c r="G7" s="911"/>
      <c r="H7" s="801"/>
      <c r="I7" s="801"/>
      <c r="J7" s="801"/>
      <c r="K7" s="800" t="s">
        <v>897</v>
      </c>
    </row>
    <row r="8" spans="1:11">
      <c r="A8" s="797"/>
      <c r="B8" s="798" t="s">
        <v>898</v>
      </c>
      <c r="C8" s="801" t="s">
        <v>1053</v>
      </c>
      <c r="D8" s="911"/>
      <c r="E8" s="911"/>
      <c r="F8" s="911"/>
      <c r="G8" s="911"/>
      <c r="H8" s="801"/>
      <c r="I8" s="801"/>
      <c r="J8" s="801"/>
    </row>
    <row r="9" spans="1:11" ht="15" customHeight="1">
      <c r="A9" s="797"/>
      <c r="B9" s="798" t="s">
        <v>899</v>
      </c>
      <c r="C9" s="801" t="s">
        <v>894</v>
      </c>
      <c r="D9" s="911" t="s">
        <v>894</v>
      </c>
      <c r="E9" s="911" t="s">
        <v>894</v>
      </c>
      <c r="F9" s="911" t="s">
        <v>894</v>
      </c>
      <c r="G9" s="911" t="s">
        <v>894</v>
      </c>
      <c r="H9" s="912" t="s">
        <v>894</v>
      </c>
      <c r="I9" s="912" t="s">
        <v>897</v>
      </c>
      <c r="J9" s="912" t="s">
        <v>897</v>
      </c>
    </row>
    <row r="10" spans="1:11">
      <c r="A10" s="802" t="s">
        <v>398</v>
      </c>
      <c r="B10" s="803" t="str">
        <f xml:space="preserve"> "December " &amp; B3-1</f>
        <v>December 2014</v>
      </c>
      <c r="C10" s="804">
        <v>409756538.99234509</v>
      </c>
      <c r="D10" s="913"/>
      <c r="E10" s="913"/>
      <c r="F10" s="913"/>
      <c r="G10" s="913"/>
      <c r="H10" s="914"/>
      <c r="I10" s="915"/>
      <c r="J10" s="914"/>
    </row>
    <row r="11" spans="1:11">
      <c r="A11" s="806" t="s">
        <v>900</v>
      </c>
      <c r="B11" s="807" t="str">
        <f xml:space="preserve"> "January " &amp; B3</f>
        <v>January 2015</v>
      </c>
      <c r="C11" s="916">
        <v>415516619.7980898</v>
      </c>
      <c r="D11" s="917"/>
      <c r="E11" s="917"/>
      <c r="F11" s="917"/>
      <c r="G11" s="917"/>
      <c r="H11" s="918"/>
      <c r="I11" s="919"/>
      <c r="J11" s="918"/>
    </row>
    <row r="12" spans="1:11">
      <c r="A12" s="806"/>
      <c r="B12" s="810" t="s">
        <v>47</v>
      </c>
      <c r="C12" s="916">
        <v>413453422.51013511</v>
      </c>
      <c r="D12" s="917"/>
      <c r="E12" s="917"/>
      <c r="F12" s="917"/>
      <c r="G12" s="917"/>
      <c r="H12" s="918"/>
      <c r="I12" s="919"/>
      <c r="J12" s="918"/>
    </row>
    <row r="13" spans="1:11">
      <c r="A13" s="806"/>
      <c r="B13" s="810" t="s">
        <v>347</v>
      </c>
      <c r="C13" s="916">
        <v>408802103.23616701</v>
      </c>
      <c r="D13" s="917"/>
      <c r="E13" s="917"/>
      <c r="F13" s="917"/>
      <c r="G13" s="917"/>
      <c r="H13" s="918"/>
      <c r="I13" s="919"/>
      <c r="J13" s="918"/>
    </row>
    <row r="14" spans="1:11">
      <c r="A14" s="806"/>
      <c r="B14" s="810" t="s">
        <v>49</v>
      </c>
      <c r="C14" s="916">
        <v>412757195.9712519</v>
      </c>
      <c r="D14" s="917"/>
      <c r="E14" s="917"/>
      <c r="F14" s="917"/>
      <c r="G14" s="917"/>
      <c r="H14" s="918"/>
      <c r="I14" s="919"/>
      <c r="J14" s="918"/>
    </row>
    <row r="15" spans="1:11">
      <c r="A15" s="806"/>
      <c r="B15" s="810" t="s">
        <v>21</v>
      </c>
      <c r="C15" s="916">
        <v>412879875.86712146</v>
      </c>
      <c r="D15" s="917"/>
      <c r="E15" s="917"/>
      <c r="F15" s="917"/>
      <c r="G15" s="917"/>
      <c r="H15" s="918"/>
      <c r="I15" s="919"/>
      <c r="J15" s="918"/>
    </row>
    <row r="16" spans="1:11">
      <c r="A16" s="806"/>
      <c r="B16" s="810" t="s">
        <v>50</v>
      </c>
      <c r="C16" s="916">
        <v>413012942.25299108</v>
      </c>
      <c r="D16" s="917"/>
      <c r="E16" s="917"/>
      <c r="F16" s="917"/>
      <c r="G16" s="917"/>
      <c r="H16" s="918"/>
      <c r="I16" s="919"/>
      <c r="J16" s="918"/>
    </row>
    <row r="17" spans="1:10">
      <c r="A17" s="806"/>
      <c r="B17" s="810" t="s">
        <v>51</v>
      </c>
      <c r="C17" s="916">
        <v>413147085.97493851</v>
      </c>
      <c r="D17" s="917"/>
      <c r="E17" s="917"/>
      <c r="F17" s="917"/>
      <c r="G17" s="917"/>
      <c r="H17" s="918"/>
      <c r="I17" s="919"/>
      <c r="J17" s="918"/>
    </row>
    <row r="18" spans="1:10">
      <c r="A18" s="806"/>
      <c r="B18" s="810" t="s">
        <v>341</v>
      </c>
      <c r="C18" s="916">
        <v>413437706.53688604</v>
      </c>
      <c r="D18" s="917"/>
      <c r="E18" s="917"/>
      <c r="F18" s="917"/>
      <c r="G18" s="917"/>
      <c r="H18" s="918"/>
      <c r="I18" s="919"/>
      <c r="J18" s="918"/>
    </row>
    <row r="19" spans="1:10">
      <c r="A19" s="806"/>
      <c r="B19" s="810" t="s">
        <v>53</v>
      </c>
      <c r="C19" s="916">
        <v>413774920.69883353</v>
      </c>
      <c r="D19" s="917"/>
      <c r="E19" s="917"/>
      <c r="F19" s="917"/>
      <c r="G19" s="917"/>
      <c r="H19" s="918"/>
      <c r="I19" s="919"/>
      <c r="J19" s="918"/>
    </row>
    <row r="20" spans="1:10">
      <c r="A20" s="806"/>
      <c r="B20" s="810" t="s">
        <v>54</v>
      </c>
      <c r="C20" s="916">
        <v>414334328.09078103</v>
      </c>
      <c r="D20" s="917"/>
      <c r="E20" s="917"/>
      <c r="F20" s="917"/>
      <c r="G20" s="917"/>
      <c r="H20" s="918"/>
      <c r="I20" s="919"/>
      <c r="J20" s="918"/>
    </row>
    <row r="21" spans="1:10">
      <c r="A21" s="806"/>
      <c r="B21" s="810" t="s">
        <v>55</v>
      </c>
      <c r="C21" s="916">
        <v>414621939.48272848</v>
      </c>
      <c r="D21" s="917"/>
      <c r="E21" s="917"/>
      <c r="F21" s="917"/>
      <c r="G21" s="917"/>
      <c r="H21" s="918"/>
      <c r="I21" s="919"/>
      <c r="J21" s="918"/>
    </row>
    <row r="22" spans="1:10">
      <c r="A22" s="811"/>
      <c r="B22" s="812" t="str">
        <f xml:space="preserve"> "December " &amp; B3</f>
        <v>December 2015</v>
      </c>
      <c r="C22" s="920">
        <v>414897125.91467589</v>
      </c>
      <c r="D22" s="917"/>
      <c r="E22" s="917"/>
      <c r="F22" s="917"/>
      <c r="G22" s="917"/>
      <c r="H22" s="918"/>
      <c r="I22" s="919"/>
      <c r="J22" s="918"/>
    </row>
    <row r="23" spans="1:10">
      <c r="A23" s="815"/>
      <c r="B23" s="816" t="s">
        <v>29</v>
      </c>
      <c r="C23" s="817">
        <f>AVERAGE(C10:C22)</f>
        <v>413107061.94822657</v>
      </c>
      <c r="D23" s="921"/>
      <c r="E23" s="921"/>
      <c r="F23" s="921"/>
      <c r="G23" s="921"/>
      <c r="H23" s="922"/>
      <c r="I23" s="923"/>
      <c r="J23" s="922"/>
    </row>
    <row r="24" spans="1:10">
      <c r="A24" s="815"/>
      <c r="B24" s="816"/>
      <c r="C24" s="924"/>
      <c r="D24" s="925"/>
      <c r="E24" s="925"/>
      <c r="F24" s="925"/>
      <c r="G24" s="925"/>
      <c r="H24" s="926"/>
      <c r="I24" s="927"/>
      <c r="J24" s="926"/>
    </row>
    <row r="25" spans="1:10">
      <c r="A25" s="815"/>
      <c r="B25" s="816"/>
      <c r="C25" s="924"/>
      <c r="D25" s="925"/>
      <c r="E25" s="925"/>
      <c r="F25" s="925"/>
      <c r="G25" s="925"/>
      <c r="H25" s="926"/>
      <c r="I25" s="927"/>
      <c r="J25" s="926"/>
    </row>
    <row r="26" spans="1:10">
      <c r="A26" s="802" t="s">
        <v>1036</v>
      </c>
      <c r="B26" s="803" t="str">
        <f>B10</f>
        <v>December 2014</v>
      </c>
      <c r="C26" s="804">
        <v>3977025.014907287</v>
      </c>
      <c r="D26" s="913"/>
      <c r="E26" s="913"/>
      <c r="F26" s="913"/>
      <c r="G26" s="913"/>
      <c r="H26" s="914"/>
      <c r="I26" s="915"/>
      <c r="J26" s="914"/>
    </row>
    <row r="27" spans="1:10">
      <c r="A27" s="806" t="s">
        <v>901</v>
      </c>
      <c r="B27" s="807" t="str">
        <f>B11</f>
        <v>January 2015</v>
      </c>
      <c r="C27" s="916">
        <v>4511865.2002678495</v>
      </c>
      <c r="D27" s="917"/>
      <c r="E27" s="917"/>
      <c r="F27" s="917"/>
      <c r="G27" s="917"/>
      <c r="H27" s="918"/>
      <c r="I27" s="919"/>
      <c r="J27" s="918"/>
    </row>
    <row r="28" spans="1:10">
      <c r="A28" s="806" t="s">
        <v>1014</v>
      </c>
      <c r="B28" s="820" t="s">
        <v>47</v>
      </c>
      <c r="C28" s="916">
        <v>5108397.3758740872</v>
      </c>
      <c r="D28" s="917"/>
      <c r="E28" s="917"/>
      <c r="F28" s="917"/>
      <c r="G28" s="917"/>
      <c r="H28" s="918"/>
      <c r="I28" s="919"/>
      <c r="J28" s="918"/>
    </row>
    <row r="29" spans="1:10">
      <c r="A29" s="806"/>
      <c r="B29" s="820" t="s">
        <v>347</v>
      </c>
      <c r="C29" s="916">
        <v>5732878.159281617</v>
      </c>
      <c r="D29" s="917"/>
      <c r="E29" s="917"/>
      <c r="F29" s="917"/>
      <c r="G29" s="917"/>
      <c r="H29" s="918"/>
      <c r="I29" s="919"/>
      <c r="J29" s="918"/>
    </row>
    <row r="30" spans="1:10">
      <c r="A30" s="806"/>
      <c r="B30" s="820" t="s">
        <v>49</v>
      </c>
      <c r="C30" s="916">
        <v>6384577.0062912619</v>
      </c>
      <c r="D30" s="917"/>
      <c r="E30" s="917"/>
      <c r="F30" s="917"/>
      <c r="G30" s="917"/>
      <c r="H30" s="918"/>
      <c r="I30" s="919"/>
      <c r="J30" s="918"/>
    </row>
    <row r="31" spans="1:10">
      <c r="A31" s="806"/>
      <c r="B31" s="820" t="s">
        <v>21</v>
      </c>
      <c r="C31" s="916">
        <v>7039756.8875919767</v>
      </c>
      <c r="D31" s="917"/>
      <c r="E31" s="917"/>
      <c r="F31" s="917"/>
      <c r="G31" s="917"/>
      <c r="H31" s="918"/>
      <c r="I31" s="919"/>
      <c r="J31" s="918"/>
    </row>
    <row r="32" spans="1:10">
      <c r="A32" s="806"/>
      <c r="B32" s="820" t="s">
        <v>50</v>
      </c>
      <c r="C32" s="916">
        <v>7694966.5268665571</v>
      </c>
      <c r="D32" s="917"/>
      <c r="E32" s="917"/>
      <c r="F32" s="917"/>
      <c r="G32" s="917"/>
      <c r="H32" s="918"/>
      <c r="I32" s="919"/>
      <c r="J32" s="918"/>
    </row>
    <row r="33" spans="1:10">
      <c r="A33" s="806"/>
      <c r="B33" s="820" t="s">
        <v>51</v>
      </c>
      <c r="C33" s="916">
        <v>8350191.7290123869</v>
      </c>
      <c r="D33" s="917"/>
      <c r="E33" s="917"/>
      <c r="F33" s="917"/>
      <c r="G33" s="917"/>
      <c r="H33" s="918"/>
      <c r="I33" s="919"/>
      <c r="J33" s="918"/>
    </row>
    <row r="34" spans="1:10">
      <c r="A34" s="806"/>
      <c r="B34" s="820" t="s">
        <v>341</v>
      </c>
      <c r="C34" s="916">
        <v>9005427.4229187798</v>
      </c>
      <c r="D34" s="917"/>
      <c r="E34" s="917"/>
      <c r="F34" s="917"/>
      <c r="G34" s="917"/>
      <c r="H34" s="918"/>
      <c r="I34" s="919"/>
      <c r="J34" s="918"/>
    </row>
    <row r="35" spans="1:10">
      <c r="A35" s="806"/>
      <c r="B35" s="820" t="s">
        <v>53</v>
      </c>
      <c r="C35" s="916">
        <v>9660673.6085857376</v>
      </c>
      <c r="D35" s="917"/>
      <c r="E35" s="917"/>
      <c r="F35" s="917"/>
      <c r="G35" s="917"/>
      <c r="H35" s="918"/>
      <c r="I35" s="919"/>
      <c r="J35" s="918"/>
    </row>
    <row r="36" spans="1:10">
      <c r="A36" s="806"/>
      <c r="B36" s="820" t="s">
        <v>54</v>
      </c>
      <c r="C36" s="916">
        <v>10315930.286013257</v>
      </c>
      <c r="D36" s="917"/>
      <c r="E36" s="917"/>
      <c r="F36" s="917"/>
      <c r="G36" s="917"/>
      <c r="H36" s="918"/>
      <c r="I36" s="919"/>
      <c r="J36" s="918"/>
    </row>
    <row r="37" spans="1:10">
      <c r="A37" s="806"/>
      <c r="B37" s="820" t="s">
        <v>55</v>
      </c>
      <c r="C37" s="916">
        <v>10971197.455201341</v>
      </c>
      <c r="D37" s="917"/>
      <c r="E37" s="917"/>
      <c r="F37" s="917"/>
      <c r="G37" s="917"/>
      <c r="H37" s="918"/>
      <c r="I37" s="919"/>
      <c r="J37" s="918"/>
    </row>
    <row r="38" spans="1:10">
      <c r="A38" s="811"/>
      <c r="B38" s="812" t="str">
        <f>+B22</f>
        <v>December 2015</v>
      </c>
      <c r="C38" s="920">
        <v>11626475.126149988</v>
      </c>
      <c r="D38" s="917"/>
      <c r="E38" s="917"/>
      <c r="F38" s="917"/>
      <c r="G38" s="917"/>
      <c r="H38" s="918"/>
      <c r="I38" s="919"/>
      <c r="J38" s="918"/>
    </row>
    <row r="39" spans="1:10">
      <c r="A39" s="815"/>
      <c r="B39" s="816" t="s">
        <v>29</v>
      </c>
      <c r="C39" s="817">
        <f>AVERAGE(C26:C38)</f>
        <v>7721489.3691509329</v>
      </c>
      <c r="D39" s="921"/>
      <c r="E39" s="921"/>
      <c r="F39" s="921"/>
      <c r="G39" s="921"/>
      <c r="H39" s="922"/>
      <c r="I39" s="923"/>
      <c r="J39" s="922"/>
    </row>
    <row r="40" spans="1:10" s="796" customFormat="1">
      <c r="A40" s="821"/>
      <c r="B40" s="822"/>
      <c r="C40" s="924"/>
      <c r="D40" s="925"/>
      <c r="E40" s="925"/>
      <c r="F40" s="925"/>
      <c r="G40" s="925"/>
      <c r="H40" s="924"/>
      <c r="I40" s="924"/>
      <c r="J40" s="924"/>
    </row>
    <row r="41" spans="1:10">
      <c r="A41" s="815"/>
      <c r="B41" s="823"/>
      <c r="C41" s="928"/>
      <c r="D41" s="929"/>
      <c r="E41" s="929"/>
      <c r="F41" s="929"/>
      <c r="G41" s="929"/>
      <c r="H41" s="930"/>
      <c r="I41" s="930"/>
      <c r="J41" s="930"/>
    </row>
    <row r="42" spans="1:10">
      <c r="A42" s="815"/>
      <c r="B42" s="825"/>
      <c r="C42" s="931"/>
      <c r="D42" s="932"/>
      <c r="E42" s="932"/>
      <c r="F42" s="932"/>
      <c r="G42" s="932"/>
      <c r="H42" s="823"/>
      <c r="I42" s="823"/>
      <c r="J42" s="823"/>
    </row>
    <row r="43" spans="1:10">
      <c r="A43" s="802" t="s">
        <v>902</v>
      </c>
      <c r="B43" s="827" t="str">
        <f>B10</f>
        <v>December 2014</v>
      </c>
      <c r="C43" s="804">
        <f t="shared" ref="C43:C55" si="0">+C10-C26</f>
        <v>405779513.97743779</v>
      </c>
      <c r="D43" s="913"/>
      <c r="E43" s="913"/>
      <c r="F43" s="913"/>
      <c r="G43" s="913"/>
      <c r="H43" s="933"/>
      <c r="I43" s="934"/>
      <c r="J43" s="933"/>
    </row>
    <row r="44" spans="1:10">
      <c r="A44" s="806" t="s">
        <v>1015</v>
      </c>
      <c r="B44" s="828" t="str">
        <f>B11</f>
        <v>January 2015</v>
      </c>
      <c r="C44" s="916">
        <f t="shared" si="0"/>
        <v>411004754.59782195</v>
      </c>
      <c r="D44" s="917"/>
      <c r="E44" s="917"/>
      <c r="F44" s="917"/>
      <c r="G44" s="917"/>
      <c r="H44" s="935"/>
      <c r="I44" s="936"/>
      <c r="J44" s="935"/>
    </row>
    <row r="45" spans="1:10">
      <c r="A45" s="806"/>
      <c r="B45" s="820" t="s">
        <v>47</v>
      </c>
      <c r="C45" s="916">
        <f t="shared" si="0"/>
        <v>408345025.13426101</v>
      </c>
      <c r="D45" s="917"/>
      <c r="E45" s="917"/>
      <c r="F45" s="917"/>
      <c r="G45" s="917"/>
      <c r="H45" s="935"/>
      <c r="I45" s="936"/>
      <c r="J45" s="935"/>
    </row>
    <row r="46" spans="1:10">
      <c r="A46" s="806"/>
      <c r="B46" s="820" t="s">
        <v>347</v>
      </c>
      <c r="C46" s="916">
        <f t="shared" si="0"/>
        <v>403069225.0768854</v>
      </c>
      <c r="D46" s="917"/>
      <c r="E46" s="917"/>
      <c r="F46" s="917"/>
      <c r="G46" s="917"/>
      <c r="H46" s="935"/>
      <c r="I46" s="936"/>
      <c r="J46" s="935"/>
    </row>
    <row r="47" spans="1:10">
      <c r="A47" s="806"/>
      <c r="B47" s="820" t="s">
        <v>49</v>
      </c>
      <c r="C47" s="916">
        <f t="shared" si="0"/>
        <v>406372618.96496063</v>
      </c>
      <c r="D47" s="917"/>
      <c r="E47" s="917"/>
      <c r="F47" s="917"/>
      <c r="G47" s="917"/>
      <c r="H47" s="935"/>
      <c r="I47" s="936"/>
      <c r="J47" s="935"/>
    </row>
    <row r="48" spans="1:10">
      <c r="A48" s="806"/>
      <c r="B48" s="820" t="s">
        <v>21</v>
      </c>
      <c r="C48" s="916">
        <f t="shared" si="0"/>
        <v>405840118.9795295</v>
      </c>
      <c r="D48" s="917"/>
      <c r="E48" s="917"/>
      <c r="F48" s="917"/>
      <c r="G48" s="917"/>
      <c r="H48" s="935"/>
      <c r="I48" s="936"/>
      <c r="J48" s="935"/>
    </row>
    <row r="49" spans="1:10">
      <c r="A49" s="806"/>
      <c r="B49" s="820" t="s">
        <v>50</v>
      </c>
      <c r="C49" s="916">
        <f t="shared" si="0"/>
        <v>405317975.72612453</v>
      </c>
      <c r="D49" s="917"/>
      <c r="E49" s="917"/>
      <c r="F49" s="917"/>
      <c r="G49" s="917"/>
      <c r="H49" s="935"/>
      <c r="I49" s="936"/>
      <c r="J49" s="935"/>
    </row>
    <row r="50" spans="1:10">
      <c r="A50" s="806"/>
      <c r="B50" s="820" t="s">
        <v>51</v>
      </c>
      <c r="C50" s="916">
        <f t="shared" si="0"/>
        <v>404796894.24592614</v>
      </c>
      <c r="D50" s="917"/>
      <c r="E50" s="917"/>
      <c r="F50" s="917"/>
      <c r="G50" s="917"/>
      <c r="H50" s="935"/>
      <c r="I50" s="936"/>
      <c r="J50" s="935"/>
    </row>
    <row r="51" spans="1:10">
      <c r="A51" s="806"/>
      <c r="B51" s="820" t="s">
        <v>341</v>
      </c>
      <c r="C51" s="916">
        <f t="shared" si="0"/>
        <v>404432279.11396724</v>
      </c>
      <c r="D51" s="917"/>
      <c r="E51" s="917"/>
      <c r="F51" s="917"/>
      <c r="G51" s="917"/>
      <c r="H51" s="935"/>
      <c r="I51" s="936"/>
      <c r="J51" s="935"/>
    </row>
    <row r="52" spans="1:10">
      <c r="A52" s="806"/>
      <c r="B52" s="820" t="s">
        <v>53</v>
      </c>
      <c r="C52" s="916">
        <f t="shared" si="0"/>
        <v>404114247.09024781</v>
      </c>
      <c r="D52" s="917"/>
      <c r="E52" s="917"/>
      <c r="F52" s="917"/>
      <c r="G52" s="917"/>
      <c r="H52" s="935"/>
      <c r="I52" s="936"/>
      <c r="J52" s="935"/>
    </row>
    <row r="53" spans="1:10">
      <c r="A53" s="806"/>
      <c r="B53" s="820" t="s">
        <v>54</v>
      </c>
      <c r="C53" s="916">
        <f t="shared" si="0"/>
        <v>404018397.80476779</v>
      </c>
      <c r="D53" s="917"/>
      <c r="E53" s="917"/>
      <c r="F53" s="917"/>
      <c r="G53" s="917"/>
      <c r="H53" s="935"/>
      <c r="I53" s="936"/>
      <c r="J53" s="935"/>
    </row>
    <row r="54" spans="1:10">
      <c r="A54" s="806"/>
      <c r="B54" s="820" t="s">
        <v>55</v>
      </c>
      <c r="C54" s="916">
        <f t="shared" si="0"/>
        <v>403650742.02752715</v>
      </c>
      <c r="D54" s="917"/>
      <c r="E54" s="917"/>
      <c r="F54" s="917"/>
      <c r="G54" s="917"/>
      <c r="H54" s="935"/>
      <c r="I54" s="936"/>
      <c r="J54" s="935"/>
    </row>
    <row r="55" spans="1:10">
      <c r="A55" s="811"/>
      <c r="B55" s="829" t="str">
        <f>+B38</f>
        <v>December 2015</v>
      </c>
      <c r="C55" s="920">
        <f t="shared" si="0"/>
        <v>403270650.78852588</v>
      </c>
      <c r="D55" s="917"/>
      <c r="E55" s="917"/>
      <c r="F55" s="917"/>
      <c r="G55" s="917"/>
      <c r="H55" s="935"/>
      <c r="I55" s="936"/>
      <c r="J55" s="935"/>
    </row>
    <row r="56" spans="1:10">
      <c r="A56" s="815"/>
      <c r="B56" s="816" t="s">
        <v>29</v>
      </c>
      <c r="C56" s="817">
        <f>AVERAGE(C43:C55)</f>
        <v>405385572.57907552</v>
      </c>
      <c r="D56" s="921"/>
      <c r="E56" s="921"/>
      <c r="F56" s="921"/>
      <c r="G56" s="921"/>
      <c r="H56" s="922"/>
      <c r="I56" s="923"/>
      <c r="J56" s="922"/>
    </row>
    <row r="57" spans="1:10">
      <c r="A57" s="815"/>
      <c r="B57" s="823"/>
      <c r="C57" s="924"/>
      <c r="D57" s="925"/>
      <c r="E57" s="925"/>
      <c r="F57" s="925"/>
      <c r="G57" s="925"/>
      <c r="H57" s="937"/>
      <c r="I57" s="937"/>
      <c r="J57" s="937"/>
    </row>
    <row r="58" spans="1:10" ht="15">
      <c r="A58" s="815"/>
      <c r="B58" s="831"/>
      <c r="C58" s="938"/>
      <c r="D58" s="939"/>
      <c r="E58" s="939"/>
      <c r="F58" s="939"/>
      <c r="G58" s="939"/>
      <c r="H58" s="940"/>
      <c r="I58" s="940"/>
      <c r="J58" s="940"/>
    </row>
    <row r="59" spans="1:10">
      <c r="A59" s="833" t="s">
        <v>904</v>
      </c>
      <c r="B59" s="834" t="s">
        <v>840</v>
      </c>
      <c r="C59" s="835">
        <v>7649450.1112426976</v>
      </c>
      <c r="D59" s="921"/>
      <c r="E59" s="921"/>
      <c r="F59" s="921"/>
      <c r="G59" s="921"/>
      <c r="H59" s="941"/>
      <c r="I59" s="942"/>
      <c r="J59" s="943"/>
    </row>
    <row r="60" spans="1:10">
      <c r="A60" s="811" t="s">
        <v>1016</v>
      </c>
      <c r="B60" s="837" t="s">
        <v>906</v>
      </c>
      <c r="C60" s="944">
        <v>0</v>
      </c>
      <c r="D60" s="917"/>
      <c r="E60" s="917"/>
      <c r="F60" s="917"/>
      <c r="G60" s="917"/>
      <c r="H60" s="945"/>
      <c r="I60" s="946"/>
      <c r="J60" s="947"/>
    </row>
    <row r="61" spans="1:10">
      <c r="A61" s="789"/>
      <c r="B61" s="816" t="s">
        <v>907</v>
      </c>
      <c r="C61" s="817">
        <f>+C59+C60</f>
        <v>7649450.1112426976</v>
      </c>
      <c r="D61" s="921"/>
      <c r="E61" s="921"/>
      <c r="F61" s="921"/>
      <c r="G61" s="921"/>
      <c r="H61" s="922"/>
      <c r="I61" s="923"/>
      <c r="J61" s="922"/>
    </row>
    <row r="62" spans="1:10" ht="15">
      <c r="D62" s="910"/>
      <c r="E62" s="910"/>
      <c r="F62" s="910"/>
      <c r="G62" s="910"/>
    </row>
    <row r="63" spans="1:10" ht="15">
      <c r="D63" s="910"/>
      <c r="E63" s="910"/>
      <c r="F63" s="910"/>
      <c r="G63" s="910"/>
    </row>
    <row r="64" spans="1:10" ht="15">
      <c r="D64" s="910"/>
      <c r="E64" s="910"/>
      <c r="F64" s="910"/>
      <c r="G64" s="910"/>
    </row>
  </sheetData>
  <phoneticPr fontId="13" type="noConversion"/>
  <dataValidations disablePrompts="1" count="1">
    <dataValidation type="list" allowBlank="1" showInputMessage="1" showErrorMessage="1" sqref="C9:J9">
      <formula1>$K$6:$K$7</formula1>
    </dataValidation>
  </dataValidations>
  <pageMargins left="0.75" right="0.75" top="1" bottom="1" header="0.5" footer="0.5"/>
  <pageSetup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pageSetUpPr fitToPage="1"/>
  </sheetPr>
  <dimension ref="A1:D39"/>
  <sheetViews>
    <sheetView showGridLines="0" zoomScale="90" workbookViewId="0">
      <selection activeCell="A11" sqref="A11"/>
    </sheetView>
  </sheetViews>
  <sheetFormatPr defaultRowHeight="12.75"/>
  <cols>
    <col min="1" max="1" width="8.88671875" style="487"/>
    <col min="2" max="2" width="9.44140625" style="487" bestFit="1" customWidth="1"/>
    <col min="3" max="3" width="8.77734375" style="487" customWidth="1"/>
    <col min="4" max="4" width="57.21875" style="487" customWidth="1"/>
    <col min="5" max="16384" width="8.88671875" style="487"/>
  </cols>
  <sheetData>
    <row r="1" spans="1:4">
      <c r="A1" s="840" t="s">
        <v>1017</v>
      </c>
    </row>
    <row r="3" spans="1:4" ht="25.5">
      <c r="A3" s="842" t="s">
        <v>895</v>
      </c>
      <c r="B3" s="948" t="s">
        <v>910</v>
      </c>
      <c r="C3" s="948" t="s">
        <v>909</v>
      </c>
      <c r="D3" s="842" t="s">
        <v>911</v>
      </c>
    </row>
    <row r="4" spans="1:4">
      <c r="A4" s="949">
        <v>1203</v>
      </c>
      <c r="B4" s="950">
        <v>41654</v>
      </c>
      <c r="C4" s="951">
        <v>1897</v>
      </c>
      <c r="D4" s="845" t="s">
        <v>1018</v>
      </c>
    </row>
    <row r="5" spans="1:4">
      <c r="A5" s="952">
        <v>1203</v>
      </c>
      <c r="B5" s="953">
        <v>41654</v>
      </c>
      <c r="C5" s="954">
        <v>4224</v>
      </c>
      <c r="D5" s="847" t="s">
        <v>1018</v>
      </c>
    </row>
    <row r="6" spans="1:4">
      <c r="A6" s="952">
        <v>1203</v>
      </c>
      <c r="B6" s="953">
        <v>41760</v>
      </c>
      <c r="C6" s="954">
        <v>5471</v>
      </c>
      <c r="D6" s="847" t="s">
        <v>1019</v>
      </c>
    </row>
    <row r="7" spans="1:4">
      <c r="A7" s="952">
        <v>1203</v>
      </c>
      <c r="B7" s="953">
        <v>41760</v>
      </c>
      <c r="C7" s="954">
        <v>5470</v>
      </c>
      <c r="D7" s="847" t="s">
        <v>1019</v>
      </c>
    </row>
    <row r="8" spans="1:4">
      <c r="A8" s="952">
        <v>1203</v>
      </c>
      <c r="B8" s="953">
        <v>41760</v>
      </c>
      <c r="C8" s="954">
        <v>5469</v>
      </c>
      <c r="D8" s="847" t="s">
        <v>1019</v>
      </c>
    </row>
    <row r="9" spans="1:4">
      <c r="A9" s="952">
        <v>1203</v>
      </c>
      <c r="B9" s="953">
        <v>41760</v>
      </c>
      <c r="C9" s="954">
        <v>5472</v>
      </c>
      <c r="D9" s="847" t="s">
        <v>1019</v>
      </c>
    </row>
    <row r="10" spans="1:4">
      <c r="A10" s="952">
        <v>1203</v>
      </c>
      <c r="B10" s="953">
        <v>41821</v>
      </c>
      <c r="C10" s="954">
        <v>7082</v>
      </c>
      <c r="D10" s="847" t="s">
        <v>1020</v>
      </c>
    </row>
    <row r="11" spans="1:4">
      <c r="A11" s="955"/>
      <c r="B11" s="851"/>
      <c r="C11" s="956"/>
      <c r="D11" s="847"/>
    </row>
    <row r="12" spans="1:4">
      <c r="A12" s="955"/>
      <c r="B12" s="851"/>
      <c r="C12" s="956"/>
      <c r="D12" s="847"/>
    </row>
    <row r="13" spans="1:4">
      <c r="A13" s="955"/>
      <c r="B13" s="851"/>
      <c r="C13" s="956"/>
      <c r="D13" s="847"/>
    </row>
    <row r="14" spans="1:4">
      <c r="A14" s="955"/>
      <c r="B14" s="851"/>
      <c r="C14" s="956"/>
      <c r="D14" s="847"/>
    </row>
    <row r="15" spans="1:4">
      <c r="A15" s="955"/>
      <c r="B15" s="851"/>
      <c r="C15" s="956"/>
      <c r="D15" s="847"/>
    </row>
    <row r="16" spans="1:4">
      <c r="A16" s="955"/>
      <c r="B16" s="851"/>
      <c r="C16" s="956"/>
      <c r="D16" s="957"/>
    </row>
    <row r="17" spans="1:4">
      <c r="A17" s="955"/>
      <c r="B17" s="851"/>
      <c r="C17" s="956"/>
      <c r="D17" s="847"/>
    </row>
    <row r="18" spans="1:4">
      <c r="A18" s="955"/>
      <c r="B18" s="851"/>
      <c r="C18" s="956"/>
      <c r="D18" s="847"/>
    </row>
    <row r="19" spans="1:4">
      <c r="A19" s="847"/>
      <c r="B19" s="958"/>
      <c r="C19" s="847"/>
      <c r="D19" s="847"/>
    </row>
    <row r="20" spans="1:4">
      <c r="A20" s="847"/>
      <c r="B20" s="847"/>
      <c r="C20" s="847"/>
      <c r="D20" s="847"/>
    </row>
    <row r="21" spans="1:4">
      <c r="A21" s="847"/>
      <c r="B21" s="847"/>
      <c r="C21" s="847"/>
      <c r="D21" s="847"/>
    </row>
    <row r="22" spans="1:4">
      <c r="A22" s="847"/>
      <c r="B22" s="847"/>
      <c r="C22" s="847"/>
      <c r="D22" s="847"/>
    </row>
    <row r="23" spans="1:4">
      <c r="A23" s="847"/>
      <c r="B23" s="847"/>
      <c r="C23" s="847"/>
      <c r="D23" s="847"/>
    </row>
    <row r="24" spans="1:4">
      <c r="A24" s="847"/>
      <c r="B24" s="847"/>
      <c r="C24" s="847"/>
      <c r="D24" s="847"/>
    </row>
    <row r="25" spans="1:4">
      <c r="A25" s="847"/>
      <c r="B25" s="847"/>
      <c r="C25" s="847"/>
      <c r="D25" s="847"/>
    </row>
    <row r="26" spans="1:4">
      <c r="A26" s="847"/>
      <c r="B26" s="847"/>
      <c r="C26" s="847"/>
      <c r="D26" s="847"/>
    </row>
    <row r="27" spans="1:4">
      <c r="A27" s="847"/>
      <c r="B27" s="847"/>
      <c r="C27" s="847"/>
      <c r="D27" s="847"/>
    </row>
    <row r="28" spans="1:4">
      <c r="A28" s="847"/>
      <c r="B28" s="847"/>
      <c r="C28" s="847"/>
      <c r="D28" s="847"/>
    </row>
    <row r="29" spans="1:4">
      <c r="A29" s="847"/>
      <c r="B29" s="847"/>
      <c r="C29" s="847"/>
      <c r="D29" s="847"/>
    </row>
    <row r="30" spans="1:4">
      <c r="A30" s="847"/>
      <c r="B30" s="847"/>
      <c r="C30" s="847"/>
      <c r="D30" s="847"/>
    </row>
    <row r="31" spans="1:4">
      <c r="A31" s="847"/>
      <c r="B31" s="847"/>
      <c r="C31" s="847"/>
      <c r="D31" s="847"/>
    </row>
    <row r="32" spans="1:4">
      <c r="A32" s="847"/>
      <c r="B32" s="847"/>
      <c r="C32" s="847"/>
      <c r="D32" s="847"/>
    </row>
    <row r="33" spans="1:4">
      <c r="A33" s="847"/>
      <c r="B33" s="847"/>
      <c r="C33" s="847"/>
      <c r="D33" s="847"/>
    </row>
    <row r="34" spans="1:4">
      <c r="A34" s="847"/>
      <c r="B34" s="847"/>
      <c r="C34" s="847"/>
      <c r="D34" s="847"/>
    </row>
    <row r="35" spans="1:4">
      <c r="A35" s="847"/>
      <c r="B35" s="847"/>
      <c r="C35" s="847"/>
      <c r="D35" s="847"/>
    </row>
    <row r="36" spans="1:4">
      <c r="A36" s="847"/>
      <c r="B36" s="847"/>
      <c r="C36" s="847"/>
      <c r="D36" s="847"/>
    </row>
    <row r="37" spans="1:4">
      <c r="A37" s="847"/>
      <c r="B37" s="847"/>
      <c r="C37" s="847"/>
      <c r="D37" s="847"/>
    </row>
    <row r="38" spans="1:4">
      <c r="A38" s="847"/>
      <c r="B38" s="847"/>
      <c r="C38" s="847"/>
      <c r="D38" s="847"/>
    </row>
    <row r="39" spans="1:4">
      <c r="A39" s="847"/>
      <c r="B39" s="847"/>
      <c r="C39" s="847"/>
      <c r="D39" s="847"/>
    </row>
  </sheetData>
  <phoneticPr fontId="13" type="noConversion"/>
  <pageMargins left="0.75" right="0.75" top="1" bottom="1" header="0.5" footer="0.5"/>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13</vt:i4>
      </vt:variant>
    </vt:vector>
  </HeadingPairs>
  <TitlesOfParts>
    <vt:vector size="43" baseType="lpstr">
      <vt:lpstr>Revision Control Rev 2</vt:lpstr>
      <vt:lpstr>Protocol Matrix Rev 2</vt:lpstr>
      <vt:lpstr>Attachment O Rev 2</vt:lpstr>
      <vt:lpstr>Attachment GG Rev 2</vt:lpstr>
      <vt:lpstr>Attach GG Support Data Rev 2</vt:lpstr>
      <vt:lpstr>Attachment GG Proj Description</vt:lpstr>
      <vt:lpstr>Attachment MM Rev 2</vt:lpstr>
      <vt:lpstr>Attach MM Support Data Rev 2</vt:lpstr>
      <vt:lpstr>Attachment MM Proj Description</vt:lpstr>
      <vt:lpstr>Cover Rev 2</vt:lpstr>
      <vt:lpstr>Gross Plant</vt:lpstr>
      <vt:lpstr>Accum Deprec</vt:lpstr>
      <vt:lpstr>CWIP</vt:lpstr>
      <vt:lpstr>Adj to Rate Base</vt:lpstr>
      <vt:lpstr>Prefunded AFUDC</vt:lpstr>
      <vt:lpstr>Land HFFU</vt:lpstr>
      <vt:lpstr>Working Capital</vt:lpstr>
      <vt:lpstr>O&amp;M</vt:lpstr>
      <vt:lpstr>Dep &amp; Amort Exp</vt:lpstr>
      <vt:lpstr>Taxes Other Than Income</vt:lpstr>
      <vt:lpstr>Support for Allocation Factors</vt:lpstr>
      <vt:lpstr>Capital Structure</vt:lpstr>
      <vt:lpstr>Rev Credits Rev 2</vt:lpstr>
      <vt:lpstr>Prior Year True Up Rev 1</vt:lpstr>
      <vt:lpstr>True Up Interest Calc Rev 1</vt:lpstr>
      <vt:lpstr>Divisor Rev 1</vt:lpstr>
      <vt:lpstr>Revenue Cr MISO Review Rev 2 </vt:lpstr>
      <vt:lpstr>CWIP Detail</vt:lpstr>
      <vt:lpstr>GG and MM Proj with CWIP Rev 2</vt:lpstr>
      <vt:lpstr>Attachment GG and MM Proj Rev 2</vt:lpstr>
      <vt:lpstr>'Accum Deprec'!Print_Area</vt:lpstr>
      <vt:lpstr>'Adj to Rate Base'!Print_Area</vt:lpstr>
      <vt:lpstr>'Attachment GG Rev 2'!Print_Area</vt:lpstr>
      <vt:lpstr>'Attachment MM Rev 2'!Print_Area</vt:lpstr>
      <vt:lpstr>'Attachment O Rev 2'!Print_Area</vt:lpstr>
      <vt:lpstr>'Capital Structure'!Print_Area</vt:lpstr>
      <vt:lpstr>'Dep &amp; Amort Exp'!Print_Area</vt:lpstr>
      <vt:lpstr>'GG and MM Proj with CWIP Rev 2'!Print_Area</vt:lpstr>
      <vt:lpstr>'Gross Plant'!Print_Area</vt:lpstr>
      <vt:lpstr>'Land HFFU'!Print_Area</vt:lpstr>
      <vt:lpstr>'Support for Allocation Factors'!Print_Area</vt:lpstr>
      <vt:lpstr>'Taxes Other Than Income'!Print_Area</vt:lpstr>
      <vt:lpstr>'Working Capital'!Print_Area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Teekay</cp:lastModifiedBy>
  <cp:lastPrinted>2014-09-29T16:37:38Z</cp:lastPrinted>
  <dcterms:created xsi:type="dcterms:W3CDTF">2005-09-09T21:44:27Z</dcterms:created>
  <dcterms:modified xsi:type="dcterms:W3CDTF">2015-01-16T13:44:30Z</dcterms:modified>
</cp:coreProperties>
</file>