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bookViews>
    <workbookView xWindow="9840" yWindow="75" windowWidth="6840" windowHeight="8505" tabRatio="812" activeTab="1"/>
  </bookViews>
  <sheets>
    <sheet name="Protocol Matrix" sheetId="155" r:id="rId1"/>
    <sheet name="Revision Explanation" sheetId="158" r:id="rId2"/>
    <sheet name="Comparison-Rev 2" sheetId="153" r:id="rId3"/>
    <sheet name="2013 Attachment O-Rev 2" sheetId="154" r:id="rId4"/>
    <sheet name="WP Cover-Rev 2" sheetId="135" r:id="rId5"/>
    <sheet name="WP Gross Plant" sheetId="3" r:id="rId6"/>
    <sheet name="WP Accum Deprec" sheetId="127" r:id="rId7"/>
    <sheet name="WP Net Plant" sheetId="134" r:id="rId8"/>
    <sheet name="WP CWIP" sheetId="133" r:id="rId9"/>
    <sheet name="WP CWIP Detail" sheetId="150" r:id="rId10"/>
    <sheet name="WP Adj to Rate Base" sheetId="128" r:id="rId11"/>
    <sheet name="WP PreFunded ADUDC" sheetId="157" r:id="rId12"/>
    <sheet name="WP Land HFFU" sheetId="129" r:id="rId13"/>
    <sheet name="WP Working Capital" sheetId="130" r:id="rId14"/>
    <sheet name="WP O&amp;M" sheetId="37" r:id="rId15"/>
    <sheet name="WP Dep &amp; Amort Exp" sheetId="138" r:id="rId16"/>
    <sheet name="WP Taxes Other Than Income" sheetId="84" r:id="rId17"/>
    <sheet name="WP Support for Alloc Factors" sheetId="131" r:id="rId18"/>
    <sheet name="WP Capital Structure" sheetId="132" r:id="rId19"/>
    <sheet name="WP Revenue Credits-Rev 2" sheetId="136" r:id="rId20"/>
    <sheet name="WP Divisor" sheetId="137" r:id="rId21"/>
    <sheet name="WP True Up Calc in 2013 Formula" sheetId="149" r:id="rId22"/>
    <sheet name="WP True Up Interest" sheetId="148" r:id="rId23"/>
    <sheet name="WP Tax Rate Calc" sheetId="151" r:id="rId24"/>
    <sheet name="2013 True Up Calculation-Rev 2" sheetId="156" r:id="rId25"/>
  </sheets>
  <externalReferences>
    <externalReference r:id="rId26"/>
    <externalReference r:id="rId27"/>
  </externalReferences>
  <definedNames>
    <definedName name="_Fill" localSheetId="4" hidden="1">#REF!</definedName>
    <definedName name="_Fill" hidden="1">#REF!</definedName>
    <definedName name="_Key1" hidden="1">#REF!</definedName>
    <definedName name="_Key2" hidden="1">#REF!</definedName>
    <definedName name="_Order1" hidden="1">255</definedName>
    <definedName name="_Order2" hidden="1">255</definedName>
    <definedName name="_Parse_Out" localSheetId="4" hidden="1">#REF!</definedName>
    <definedName name="_Parse_Out" hidden="1">#REF!</definedName>
    <definedName name="_Regression_Out" localSheetId="4" hidden="1">#REF!</definedName>
    <definedName name="_Regression_Out" hidden="1">#REF!</definedName>
    <definedName name="_Regression_X" localSheetId="4" hidden="1">#REF!</definedName>
    <definedName name="_Regression_X" hidden="1">#REF!</definedName>
    <definedName name="_Regression_Y" localSheetId="4" hidden="1">#REF!</definedName>
    <definedName name="_Regression_Y" hidden="1">#REF!</definedName>
    <definedName name="_Sort" localSheetId="6" hidden="1">#REF!</definedName>
    <definedName name="_Sort" localSheetId="10" hidden="1">#REF!</definedName>
    <definedName name="_Sort" localSheetId="18" hidden="1">#REF!</definedName>
    <definedName name="_Sort" localSheetId="8" hidden="1">#REF!</definedName>
    <definedName name="_Sort" localSheetId="15" hidden="1">#REF!</definedName>
    <definedName name="_Sort" localSheetId="20" hidden="1">#REF!</definedName>
    <definedName name="_Sort" localSheetId="5" hidden="1">#REF!</definedName>
    <definedName name="_Sort" localSheetId="12" hidden="1">#REF!</definedName>
    <definedName name="_Sort" localSheetId="7" hidden="1">#REF!</definedName>
    <definedName name="_Sort" localSheetId="19" hidden="1">#REF!</definedName>
    <definedName name="_Sort" localSheetId="17" hidden="1">#REF!</definedName>
    <definedName name="_Sort" localSheetId="16" hidden="1">#REF!</definedName>
    <definedName name="_Sort" localSheetId="13" hidden="1">#REF!</definedName>
    <definedName name="_Sort" hidden="1">#REF!</definedName>
    <definedName name="ACwvu.DATABASE." hidden="1">[1]DATABASE!#REF!</definedName>
    <definedName name="ACwvu.Distplt." localSheetId="6" hidden="1">'WP Accum Deprec'!#REF!</definedName>
    <definedName name="ACwvu.Distplt." localSheetId="10" hidden="1">'WP Adj to Rate Base'!#REF!</definedName>
    <definedName name="ACwvu.Distplt." localSheetId="8" hidden="1">'WP CWIP'!#REF!</definedName>
    <definedName name="ACwvu.Distplt." localSheetId="20" hidden="1">'WP Divisor'!#REF!</definedName>
    <definedName name="ACwvu.Distplt." localSheetId="5" hidden="1">'WP Gross Plant'!#REF!</definedName>
    <definedName name="ACwvu.Distplt." localSheetId="12" hidden="1">'WP Land HFFU'!#REF!</definedName>
    <definedName name="ACwvu.Distplt." localSheetId="7" hidden="1">'WP Net Plant'!#REF!</definedName>
    <definedName name="ACwvu.Distplt." localSheetId="13" hidden="1">'WP Working Capital'!#REF!</definedName>
    <definedName name="ACwvu.OP." hidden="1">#REF!</definedName>
    <definedName name="ACwvu.Plant." localSheetId="6" hidden="1">'WP Accum Deprec'!#REF!</definedName>
    <definedName name="ACwvu.Plant." localSheetId="10" hidden="1">'WP Adj to Rate Base'!#REF!</definedName>
    <definedName name="ACwvu.Plant." localSheetId="8" hidden="1">'WP CWIP'!#REF!</definedName>
    <definedName name="ACwvu.Plant." localSheetId="20" hidden="1">'WP Divisor'!#REF!</definedName>
    <definedName name="ACwvu.Plant." localSheetId="5" hidden="1">'WP Gross Plant'!#REF!</definedName>
    <definedName name="ACwvu.Plant." localSheetId="12" hidden="1">'WP Land HFFU'!#REF!</definedName>
    <definedName name="ACwvu.Plant." localSheetId="7" hidden="1">'WP Net Plant'!#REF!</definedName>
    <definedName name="ACwvu.Plant." localSheetId="13" hidden="1">'WP Working Capital'!#REF!</definedName>
    <definedName name="AS2DocOpenMode" hidden="1">"AS2DocumentEdit"</definedName>
    <definedName name="BLPH2" hidden="1">'[2]Commercial Paper'!#REF!</definedName>
    <definedName name="BLPH3" hidden="1">'[2]Commercial Paper'!#REF!</definedName>
    <definedName name="BLPH4" hidden="1">'[2]Commercial Paper'!#REF!</definedName>
    <definedName name="BLPH5" hidden="1">'[2]Commercial Paper'!#REF!</definedName>
    <definedName name="BLPH6" hidden="1">'[2]Commercial Paper'!#REF!</definedName>
    <definedName name="dsfds" hidden="1">#REF!</definedName>
    <definedName name="er" localSheetId="6" hidden="1">{TRUE,TRUE,-1.25,-15.5,484.5,279.75,FALSE,FALSE,TRUE,TRUE,0,3,#N/A,1,#N/A,6.54545454545454,15.55,1,FALSE,FALSE,3,TRUE,1,FALSE,100,"Swvu.WP1.","ACwvu.WP1.",1,FALSE,FALSE,0.25,0.25,0.25,0.25,1,"","&amp;L&amp;D &amp;T NBW&amp;C&amp;P&amp;R&amp;F",FALSE,FALSE,FALSE,FALSE,1,100,#N/A,#N/A,FALSE,FALSE,#N/A,#N/A,FALSE,FALSE}</definedName>
    <definedName name="er" localSheetId="10" hidden="1">{TRUE,TRUE,-1.25,-15.5,484.5,279.75,FALSE,FALSE,TRUE,TRUE,0,3,#N/A,1,#N/A,6.54545454545454,15.55,1,FALSE,FALSE,3,TRUE,1,FALSE,100,"Swvu.WP1.","ACwvu.WP1.",1,FALSE,FALSE,0.25,0.25,0.25,0.25,1,"","&amp;L&amp;D &amp;T NBW&amp;C&amp;P&amp;R&amp;F",FALSE,FALSE,FALSE,FALSE,1,100,#N/A,#N/A,FALSE,FALSE,#N/A,#N/A,FALSE,FALSE}</definedName>
    <definedName name="er" localSheetId="18" hidden="1">{TRUE,TRUE,-1.25,-15.5,484.5,279.75,FALSE,FALSE,TRUE,TRUE,0,3,#N/A,1,#N/A,6.54545454545454,15.55,1,FALSE,FALSE,3,TRUE,1,FALSE,100,"Swvu.WP1.","ACwvu.WP1.",1,FALSE,FALSE,0.25,0.25,0.25,0.25,1,"","&amp;L&amp;D &amp;T NBW&amp;C&amp;P&amp;R&amp;F",FALSE,FALSE,FALSE,FALSE,1,100,#N/A,#N/A,FALSE,FALSE,#N/A,#N/A,FALSE,FALSE}</definedName>
    <definedName name="er" localSheetId="4" hidden="1">{TRUE,TRUE,-1.25,-15.5,484.5,279.75,FALSE,FALSE,TRUE,TRUE,0,3,#N/A,1,#N/A,6.54545454545454,15.55,1,FALSE,FALSE,3,TRUE,1,FALSE,100,"Swvu.WP1.","ACwvu.WP1.",1,FALSE,FALSE,0.25,0.25,0.25,0.25,1,"","&amp;L&amp;D &amp;T NBW&amp;C&amp;P&amp;R&amp;F",FALSE,FALSE,FALSE,FALSE,1,100,#N/A,#N/A,FALSE,FALSE,#N/A,#N/A,FALSE,FALSE}</definedName>
    <definedName name="er" localSheetId="8" hidden="1">{TRUE,TRUE,-1.25,-15.5,484.5,279.75,FALSE,FALSE,TRUE,TRUE,0,3,#N/A,1,#N/A,6.54545454545454,15.55,1,FALSE,FALSE,3,TRUE,1,FALSE,100,"Swvu.WP1.","ACwvu.WP1.",1,FALSE,FALSE,0.25,0.25,0.25,0.25,1,"","&amp;L&amp;D &amp;T NBW&amp;C&amp;P&amp;R&amp;F",FALSE,FALSE,FALSE,FALSE,1,100,#N/A,#N/A,FALSE,FALSE,#N/A,#N/A,FALSE,FALSE}</definedName>
    <definedName name="er" localSheetId="15" hidden="1">{TRUE,TRUE,-1.25,-15.5,484.5,279.75,FALSE,FALSE,TRUE,TRUE,0,3,#N/A,1,#N/A,6.54545454545454,15.55,1,FALSE,FALSE,3,TRUE,1,FALSE,100,"Swvu.WP1.","ACwvu.WP1.",1,FALSE,FALSE,0.25,0.25,0.25,0.25,1,"","&amp;L&amp;D &amp;T NBW&amp;C&amp;P&amp;R&amp;F",FALSE,FALSE,FALSE,FALSE,1,100,#N/A,#N/A,FALSE,FALSE,#N/A,#N/A,FALSE,FALSE}</definedName>
    <definedName name="er" localSheetId="20" hidden="1">{TRUE,TRUE,-1.25,-15.5,484.5,279.75,FALSE,FALSE,TRUE,TRUE,0,3,#N/A,1,#N/A,6.54545454545454,15.55,1,FALSE,FALSE,3,TRUE,1,FALSE,100,"Swvu.WP1.","ACwvu.WP1.",1,FALSE,FALSE,0.25,0.25,0.25,0.25,1,"","&amp;L&amp;D &amp;T NBW&amp;C&amp;P&amp;R&amp;F",FALSE,FALSE,FALSE,FALSE,1,100,#N/A,#N/A,FALSE,FALSE,#N/A,#N/A,FALSE,FALSE}</definedName>
    <definedName name="er" localSheetId="5" hidden="1">{TRUE,TRUE,-1.25,-15.5,484.5,279.75,FALSE,FALSE,TRUE,TRUE,0,3,#N/A,1,#N/A,6.54545454545454,15.55,1,FALSE,FALSE,3,TRUE,1,FALSE,100,"Swvu.WP1.","ACwvu.WP1.",1,FALSE,FALSE,0.25,0.25,0.25,0.25,1,"","&amp;L&amp;D &amp;T NBW&amp;C&amp;P&amp;R&amp;F",FALSE,FALSE,FALSE,FALSE,1,100,#N/A,#N/A,FALSE,FALSE,#N/A,#N/A,FALSE,FALSE}</definedName>
    <definedName name="er" localSheetId="12" hidden="1">{TRUE,TRUE,-1.25,-15.5,484.5,279.75,FALSE,FALSE,TRUE,TRUE,0,3,#N/A,1,#N/A,6.54545454545454,15.55,1,FALSE,FALSE,3,TRUE,1,FALSE,100,"Swvu.WP1.","ACwvu.WP1.",1,FALSE,FALSE,0.25,0.25,0.25,0.25,1,"","&amp;L&amp;D &amp;T NBW&amp;C&amp;P&amp;R&amp;F",FALSE,FALSE,FALSE,FALSE,1,100,#N/A,#N/A,FALSE,FALSE,#N/A,#N/A,FALSE,FALSE}</definedName>
    <definedName name="er" localSheetId="7" hidden="1">{TRUE,TRUE,-1.25,-15.5,484.5,279.75,FALSE,FALSE,TRUE,TRUE,0,3,#N/A,1,#N/A,6.54545454545454,15.55,1,FALSE,FALSE,3,TRUE,1,FALSE,100,"Swvu.WP1.","ACwvu.WP1.",1,FALSE,FALSE,0.25,0.25,0.25,0.25,1,"","&amp;L&amp;D &amp;T NBW&amp;C&amp;P&amp;R&amp;F",FALSE,FALSE,FALSE,FALSE,1,100,#N/A,#N/A,FALSE,FALSE,#N/A,#N/A,FALSE,FALSE}</definedName>
    <definedName name="er" localSheetId="19" hidden="1">{TRUE,TRUE,-1.25,-15.5,484.5,279.75,FALSE,FALSE,TRUE,TRUE,0,3,#N/A,1,#N/A,6.54545454545454,15.55,1,FALSE,FALSE,3,TRUE,1,FALSE,100,"Swvu.WP1.","ACwvu.WP1.",1,FALSE,FALSE,0.25,0.25,0.25,0.25,1,"","&amp;L&amp;D &amp;T NBW&amp;C&amp;P&amp;R&amp;F",FALSE,FALSE,FALSE,FALSE,1,100,#N/A,#N/A,FALSE,FALSE,#N/A,#N/A,FALSE,FALSE}</definedName>
    <definedName name="er" localSheetId="17" hidden="1">{TRUE,TRUE,-1.25,-15.5,484.5,279.75,FALSE,FALSE,TRUE,TRUE,0,3,#N/A,1,#N/A,6.54545454545454,15.55,1,FALSE,FALSE,3,TRUE,1,FALSE,100,"Swvu.WP1.","ACwvu.WP1.",1,FALSE,FALSE,0.25,0.25,0.25,0.25,1,"","&amp;L&amp;D &amp;T NBW&amp;C&amp;P&amp;R&amp;F",FALSE,FALSE,FALSE,FALSE,1,100,#N/A,#N/A,FALSE,FALSE,#N/A,#N/A,FALSE,FALSE}</definedName>
    <definedName name="er" localSheetId="16" hidden="1">{TRUE,TRUE,-1.25,-15.5,484.5,279.75,FALSE,FALSE,TRUE,TRUE,0,3,#N/A,1,#N/A,6.54545454545454,15.55,1,FALSE,FALSE,3,TRUE,1,FALSE,100,"Swvu.WP1.","ACwvu.WP1.",1,FALSE,FALSE,0.25,0.25,0.25,0.25,1,"","&amp;L&amp;D &amp;T NBW&amp;C&amp;P&amp;R&amp;F",FALSE,FALSE,FALSE,FALSE,1,100,#N/A,#N/A,FALSE,FALSE,#N/A,#N/A,FALSE,FALSE}</definedName>
    <definedName name="er" localSheetId="13" hidden="1">{TRUE,TRUE,-1.25,-15.5,484.5,279.75,FALSE,FALSE,TRUE,TRUE,0,3,#N/A,1,#N/A,6.54545454545454,15.55,1,FALSE,FALSE,3,TRUE,1,FALSE,100,"Swvu.WP1.","ACwvu.WP1.",1,FALSE,FALSE,0.25,0.25,0.25,0.25,1,"","&amp;L&amp;D &amp;T NBW&amp;C&amp;P&amp;R&amp;F",FALSE,FALSE,FALSE,FALSE,1,100,#N/A,#N/A,FALSE,FALSE,#N/A,#N/A,FALSE,FALSE}</definedName>
    <definedName name="er" hidden="1">{TRUE,TRUE,-1.25,-15.5,484.5,279.75,FALSE,FALSE,TRUE,TRUE,0,3,#N/A,1,#N/A,6.54545454545454,15.55,1,FALSE,FALSE,3,TRUE,1,FALSE,100,"Swvu.WP1.","ACwvu.WP1.",1,FALSE,FALSE,0.25,0.25,0.25,0.25,1,"","&amp;L&amp;D &amp;T NBW&amp;C&amp;P&amp;R&amp;F",FALSE,FALSE,FALSE,FALSE,1,100,#N/A,#N/A,FALSE,FALSE,#N/A,#N/A,FALSE,FALSE}</definedName>
    <definedName name="OLE_LINK1" localSheetId="2">'Comparison-Rev 2'!$A$15</definedName>
    <definedName name="OLE_LINK4" localSheetId="0">'Protocol Matrix'!$C$19</definedName>
    <definedName name="OLE_LINK5" localSheetId="0">'Protocol Matrix'!$C$13</definedName>
    <definedName name="OLE_LINK7" localSheetId="0">'Protocol Matrix'!$C$14</definedName>
    <definedName name="_xlnm.Print_Area" localSheetId="3">'2013 Attachment O-Rev 2'!$A$1:$K$373</definedName>
    <definedName name="_xlnm.Print_Area" localSheetId="2">'Comparison-Rev 2'!$A$1:$A$22</definedName>
    <definedName name="_xlnm.Print_Area" localSheetId="1">'Revision Explanation'!$A$1:$D$25</definedName>
    <definedName name="_xlnm.Print_Area" localSheetId="8">'WP CWIP'!$A$1:$K$82</definedName>
    <definedName name="_xlnm.Print_Area" localSheetId="9">'WP CWIP Detail'!$B$2:$R$68</definedName>
    <definedName name="q" localSheetId="6" hidden="1">{"MATALL",#N/A,FALSE,"Sheet4";"matclass",#N/A,FALSE,"Sheet4"}</definedName>
    <definedName name="q" localSheetId="10" hidden="1">{"MATALL",#N/A,FALSE,"Sheet4";"matclass",#N/A,FALSE,"Sheet4"}</definedName>
    <definedName name="q" localSheetId="18" hidden="1">{"MATALL",#N/A,FALSE,"Sheet4";"matclass",#N/A,FALSE,"Sheet4"}</definedName>
    <definedName name="q" localSheetId="4" hidden="1">{"MATALL",#N/A,FALSE,"Sheet4";"matclass",#N/A,FALSE,"Sheet4"}</definedName>
    <definedName name="q" localSheetId="8" hidden="1">{"MATALL",#N/A,FALSE,"Sheet4";"matclass",#N/A,FALSE,"Sheet4"}</definedName>
    <definedName name="q" localSheetId="15" hidden="1">{"MATALL",#N/A,FALSE,"Sheet4";"matclass",#N/A,FALSE,"Sheet4"}</definedName>
    <definedName name="q" localSheetId="20" hidden="1">{"MATALL",#N/A,FALSE,"Sheet4";"matclass",#N/A,FALSE,"Sheet4"}</definedName>
    <definedName name="q" localSheetId="12" hidden="1">{"MATALL",#N/A,FALSE,"Sheet4";"matclass",#N/A,FALSE,"Sheet4"}</definedName>
    <definedName name="q" localSheetId="7" hidden="1">{"MATALL",#N/A,FALSE,"Sheet4";"matclass",#N/A,FALSE,"Sheet4"}</definedName>
    <definedName name="q" localSheetId="19" hidden="1">{"MATALL",#N/A,FALSE,"Sheet4";"matclass",#N/A,FALSE,"Sheet4"}</definedName>
    <definedName name="q" localSheetId="17" hidden="1">{"MATALL",#N/A,FALSE,"Sheet4";"matclass",#N/A,FALSE,"Sheet4"}</definedName>
    <definedName name="q" localSheetId="13" hidden="1">{"MATALL",#N/A,FALSE,"Sheet4";"matclass",#N/A,FALSE,"Sheet4"}</definedName>
    <definedName name="q" hidden="1">{"MATALL",#N/A,FALSE,"Sheet4";"matclass",#N/A,FALSE,"Sheet4"}</definedName>
    <definedName name="Swvu.DATABASE." hidden="1">[1]DATABASE!#REF!</definedName>
    <definedName name="Swvu.Distplt." localSheetId="6" hidden="1">'WP Accum Deprec'!#REF!</definedName>
    <definedName name="Swvu.Distplt." localSheetId="10" hidden="1">'WP Adj to Rate Base'!#REF!</definedName>
    <definedName name="Swvu.Distplt." localSheetId="8" hidden="1">'WP CWIP'!#REF!</definedName>
    <definedName name="Swvu.Distplt." localSheetId="20" hidden="1">'WP Divisor'!#REF!</definedName>
    <definedName name="Swvu.Distplt." localSheetId="5" hidden="1">'WP Gross Plant'!#REF!</definedName>
    <definedName name="Swvu.Distplt." localSheetId="12" hidden="1">'WP Land HFFU'!#REF!</definedName>
    <definedName name="Swvu.Distplt." localSheetId="7" hidden="1">'WP Net Plant'!#REF!</definedName>
    <definedName name="Swvu.Distplt." localSheetId="13" hidden="1">'WP Working Capital'!#REF!</definedName>
    <definedName name="Swvu.OP." hidden="1">#REF!</definedName>
    <definedName name="Swvu.Plant." localSheetId="6" hidden="1">'WP Accum Deprec'!#REF!</definedName>
    <definedName name="Swvu.Plant." localSheetId="10" hidden="1">'WP Adj to Rate Base'!#REF!</definedName>
    <definedName name="Swvu.Plant." localSheetId="8" hidden="1">'WP CWIP'!#REF!</definedName>
    <definedName name="Swvu.Plant." localSheetId="20" hidden="1">'WP Divisor'!#REF!</definedName>
    <definedName name="Swvu.Plant." localSheetId="5" hidden="1">'WP Gross Plant'!#REF!</definedName>
    <definedName name="Swvu.Plant." localSheetId="12" hidden="1">'WP Land HFFU'!#REF!</definedName>
    <definedName name="Swvu.Plant." localSheetId="7" hidden="1">'WP Net Plant'!#REF!</definedName>
    <definedName name="Swvu.Plant." localSheetId="13" hidden="1">'WP Working Capital'!#REF!</definedName>
    <definedName name="TEST" localSheetId="6" hidden="1">{TRUE,TRUE,-1.25,-15.5,484.5,279.75,FALSE,FALSE,TRUE,TRUE,0,3,#N/A,1,#N/A,6.54545454545454,15.55,1,FALSE,FALSE,3,TRUE,1,FALSE,100,"Swvu.WP1.","ACwvu.WP1.",1,FALSE,FALSE,0.25,0.25,0.25,0.25,1,"","&amp;L&amp;D &amp;T NBW&amp;C&amp;P&amp;R&amp;F",FALSE,FALSE,FALSE,FALSE,1,100,#N/A,#N/A,FALSE,FALSE,#N/A,#N/A,FALSE,FALSE}</definedName>
    <definedName name="TEST" localSheetId="10" hidden="1">{TRUE,TRUE,-1.25,-15.5,484.5,279.75,FALSE,FALSE,TRUE,TRUE,0,3,#N/A,1,#N/A,6.54545454545454,15.55,1,FALSE,FALSE,3,TRUE,1,FALSE,100,"Swvu.WP1.","ACwvu.WP1.",1,FALSE,FALSE,0.25,0.25,0.25,0.25,1,"","&amp;L&amp;D &amp;T NBW&amp;C&amp;P&amp;R&amp;F",FALSE,FALSE,FALSE,FALSE,1,100,#N/A,#N/A,FALSE,FALSE,#N/A,#N/A,FALSE,FALSE}</definedName>
    <definedName name="TEST" localSheetId="18" hidden="1">{TRUE,TRUE,-1.25,-15.5,484.5,279.75,FALSE,FALSE,TRUE,TRUE,0,3,#N/A,1,#N/A,6.54545454545454,15.55,1,FALSE,FALSE,3,TRUE,1,FALSE,100,"Swvu.WP1.","ACwvu.WP1.",1,FALSE,FALSE,0.25,0.25,0.25,0.25,1,"","&amp;L&amp;D &amp;T NBW&amp;C&amp;P&amp;R&amp;F",FALSE,FALSE,FALSE,FALSE,1,100,#N/A,#N/A,FALSE,FALSE,#N/A,#N/A,FALSE,FALSE}</definedName>
    <definedName name="TEST" localSheetId="4" hidden="1">{TRUE,TRUE,-1.25,-15.5,484.5,279.75,FALSE,FALSE,TRUE,TRUE,0,3,#N/A,1,#N/A,6.54545454545454,15.55,1,FALSE,FALSE,3,TRUE,1,FALSE,100,"Swvu.WP1.","ACwvu.WP1.",1,FALSE,FALSE,0.25,0.25,0.25,0.25,1,"","&amp;L&amp;D &amp;T NBW&amp;C&amp;P&amp;R&amp;F",FALSE,FALSE,FALSE,FALSE,1,100,#N/A,#N/A,FALSE,FALSE,#N/A,#N/A,FALSE,FALSE}</definedName>
    <definedName name="TEST" localSheetId="8" hidden="1">{TRUE,TRUE,-1.25,-15.5,484.5,279.75,FALSE,FALSE,TRUE,TRUE,0,3,#N/A,1,#N/A,6.54545454545454,15.55,1,FALSE,FALSE,3,TRUE,1,FALSE,100,"Swvu.WP1.","ACwvu.WP1.",1,FALSE,FALSE,0.25,0.25,0.25,0.25,1,"","&amp;L&amp;D &amp;T NBW&amp;C&amp;P&amp;R&amp;F",FALSE,FALSE,FALSE,FALSE,1,100,#N/A,#N/A,FALSE,FALSE,#N/A,#N/A,FALSE,FALSE}</definedName>
    <definedName name="TEST" localSheetId="15" hidden="1">{TRUE,TRUE,-1.25,-15.5,484.5,279.75,FALSE,FALSE,TRUE,TRUE,0,3,#N/A,1,#N/A,6.54545454545454,15.55,1,FALSE,FALSE,3,TRUE,1,FALSE,100,"Swvu.WP1.","ACwvu.WP1.",1,FALSE,FALSE,0.25,0.25,0.25,0.25,1,"","&amp;L&amp;D &amp;T NBW&amp;C&amp;P&amp;R&amp;F",FALSE,FALSE,FALSE,FALSE,1,100,#N/A,#N/A,FALSE,FALSE,#N/A,#N/A,FALSE,FALSE}</definedName>
    <definedName name="TEST" localSheetId="20" hidden="1">{TRUE,TRUE,-1.25,-15.5,484.5,279.75,FALSE,FALSE,TRUE,TRUE,0,3,#N/A,1,#N/A,6.54545454545454,15.55,1,FALSE,FALSE,3,TRUE,1,FALSE,100,"Swvu.WP1.","ACwvu.WP1.",1,FALSE,FALSE,0.25,0.25,0.25,0.25,1,"","&amp;L&amp;D &amp;T NBW&amp;C&amp;P&amp;R&amp;F",FALSE,FALSE,FALSE,FALSE,1,100,#N/A,#N/A,FALSE,FALSE,#N/A,#N/A,FALSE,FALSE}</definedName>
    <definedName name="TEST" localSheetId="5" hidden="1">{TRUE,TRUE,-1.25,-15.5,484.5,279.75,FALSE,FALSE,TRUE,TRUE,0,3,#N/A,1,#N/A,6.54545454545454,15.55,1,FALSE,FALSE,3,TRUE,1,FALSE,100,"Swvu.WP1.","ACwvu.WP1.",1,FALSE,FALSE,0.25,0.25,0.25,0.25,1,"","&amp;L&amp;D &amp;T NBW&amp;C&amp;P&amp;R&amp;F",FALSE,FALSE,FALSE,FALSE,1,100,#N/A,#N/A,FALSE,FALSE,#N/A,#N/A,FALSE,FALSE}</definedName>
    <definedName name="TEST" localSheetId="12" hidden="1">{TRUE,TRUE,-1.25,-15.5,484.5,279.75,FALSE,FALSE,TRUE,TRUE,0,3,#N/A,1,#N/A,6.54545454545454,15.55,1,FALSE,FALSE,3,TRUE,1,FALSE,100,"Swvu.WP1.","ACwvu.WP1.",1,FALSE,FALSE,0.25,0.25,0.25,0.25,1,"","&amp;L&amp;D &amp;T NBW&amp;C&amp;P&amp;R&amp;F",FALSE,FALSE,FALSE,FALSE,1,100,#N/A,#N/A,FALSE,FALSE,#N/A,#N/A,FALSE,FALSE}</definedName>
    <definedName name="TEST" localSheetId="7" hidden="1">{TRUE,TRUE,-1.25,-15.5,484.5,279.75,FALSE,FALSE,TRUE,TRUE,0,3,#N/A,1,#N/A,6.54545454545454,15.55,1,FALSE,FALSE,3,TRUE,1,FALSE,100,"Swvu.WP1.","ACwvu.WP1.",1,FALSE,FALSE,0.25,0.25,0.25,0.25,1,"","&amp;L&amp;D &amp;T NBW&amp;C&amp;P&amp;R&amp;F",FALSE,FALSE,FALSE,FALSE,1,100,#N/A,#N/A,FALSE,FALSE,#N/A,#N/A,FALSE,FALSE}</definedName>
    <definedName name="TEST" localSheetId="19" hidden="1">{TRUE,TRUE,-1.25,-15.5,484.5,279.75,FALSE,FALSE,TRUE,TRUE,0,3,#N/A,1,#N/A,6.54545454545454,15.55,1,FALSE,FALSE,3,TRUE,1,FALSE,100,"Swvu.WP1.","ACwvu.WP1.",1,FALSE,FALSE,0.25,0.25,0.25,0.25,1,"","&amp;L&amp;D &amp;T NBW&amp;C&amp;P&amp;R&amp;F",FALSE,FALSE,FALSE,FALSE,1,100,#N/A,#N/A,FALSE,FALSE,#N/A,#N/A,FALSE,FALSE}</definedName>
    <definedName name="TEST" localSheetId="17" hidden="1">{TRUE,TRUE,-1.25,-15.5,484.5,279.75,FALSE,FALSE,TRUE,TRUE,0,3,#N/A,1,#N/A,6.54545454545454,15.55,1,FALSE,FALSE,3,TRUE,1,FALSE,100,"Swvu.WP1.","ACwvu.WP1.",1,FALSE,FALSE,0.25,0.25,0.25,0.25,1,"","&amp;L&amp;D &amp;T NBW&amp;C&amp;P&amp;R&amp;F",FALSE,FALSE,FALSE,FALSE,1,100,#N/A,#N/A,FALSE,FALSE,#N/A,#N/A,FALSE,FALSE}</definedName>
    <definedName name="TEST" localSheetId="16" hidden="1">{TRUE,TRUE,-1.25,-15.5,484.5,279.75,FALSE,FALSE,TRUE,TRUE,0,3,#N/A,1,#N/A,6.54545454545454,15.55,1,FALSE,FALSE,3,TRUE,1,FALSE,100,"Swvu.WP1.","ACwvu.WP1.",1,FALSE,FALSE,0.25,0.25,0.25,0.25,1,"","&amp;L&amp;D &amp;T NBW&amp;C&amp;P&amp;R&amp;F",FALSE,FALSE,FALSE,FALSE,1,100,#N/A,#N/A,FALSE,FALSE,#N/A,#N/A,FALSE,FALSE}</definedName>
    <definedName name="TEST" localSheetId="13" hidden="1">{TRUE,TRUE,-1.25,-15.5,484.5,279.75,FALSE,FALSE,TRUE,TRUE,0,3,#N/A,1,#N/A,6.54545454545454,15.55,1,FALSE,FALSE,3,TRUE,1,FALSE,100,"Swvu.WP1.","ACwvu.WP1.",1,FALSE,FALSE,0.25,0.25,0.25,0.25,1,"","&amp;L&amp;D &amp;T NBW&amp;C&amp;P&amp;R&amp;F",FALSE,FALSE,FALSE,FALSE,1,100,#N/A,#N/A,FALSE,FALSE,#N/A,#N/A,FALSE,FALSE}</definedName>
    <definedName name="TEST" hidden="1">{TRUE,TRUE,-1.25,-15.5,484.5,279.75,FALSE,FALSE,TRUE,TRUE,0,3,#N/A,1,#N/A,6.54545454545454,15.55,1,FALSE,FALSE,3,TRUE,1,FALSE,100,"Swvu.WP1.","ACwvu.WP1.",1,FALSE,FALSE,0.25,0.25,0.25,0.25,1,"","&amp;L&amp;D &amp;T NBW&amp;C&amp;P&amp;R&amp;F",FALSE,FALSE,FALSE,FALSE,1,100,#N/A,#N/A,FALSE,FALSE,#N/A,#N/A,FALSE,FALSE}</definedName>
    <definedName name="w" localSheetId="6" hidden="1">{"MATALL",#N/A,FALSE,"Sheet4";"matclass",#N/A,FALSE,"Sheet4"}</definedName>
    <definedName name="w" localSheetId="10" hidden="1">{"MATALL",#N/A,FALSE,"Sheet4";"matclass",#N/A,FALSE,"Sheet4"}</definedName>
    <definedName name="w" localSheetId="18" hidden="1">{"MATALL",#N/A,FALSE,"Sheet4";"matclass",#N/A,FALSE,"Sheet4"}</definedName>
    <definedName name="w" localSheetId="4" hidden="1">{"MATALL",#N/A,FALSE,"Sheet4";"matclass",#N/A,FALSE,"Sheet4"}</definedName>
    <definedName name="w" localSheetId="8" hidden="1">{"MATALL",#N/A,FALSE,"Sheet4";"matclass",#N/A,FALSE,"Sheet4"}</definedName>
    <definedName name="w" localSheetId="15" hidden="1">{"MATALL",#N/A,FALSE,"Sheet4";"matclass",#N/A,FALSE,"Sheet4"}</definedName>
    <definedName name="w" localSheetId="20" hidden="1">{"MATALL",#N/A,FALSE,"Sheet4";"matclass",#N/A,FALSE,"Sheet4"}</definedName>
    <definedName name="w" localSheetId="12" hidden="1">{"MATALL",#N/A,FALSE,"Sheet4";"matclass",#N/A,FALSE,"Sheet4"}</definedName>
    <definedName name="w" localSheetId="7" hidden="1">{"MATALL",#N/A,FALSE,"Sheet4";"matclass",#N/A,FALSE,"Sheet4"}</definedName>
    <definedName name="w" localSheetId="19" hidden="1">{"MATALL",#N/A,FALSE,"Sheet4";"matclass",#N/A,FALSE,"Sheet4"}</definedName>
    <definedName name="w" localSheetId="17" hidden="1">{"MATALL",#N/A,FALSE,"Sheet4";"matclass",#N/A,FALSE,"Sheet4"}</definedName>
    <definedName name="w" localSheetId="13" hidden="1">{"MATALL",#N/A,FALSE,"Sheet4";"matclass",#N/A,FALSE,"Sheet4"}</definedName>
    <definedName name="w" hidden="1">{"MATALL",#N/A,FALSE,"Sheet4";"matclass",#N/A,FALSE,"Sheet4"}</definedName>
    <definedName name="WORKCAPa" localSheetId="6" hidden="1">{"WCCWCLL",#N/A,FALSE,"Sheet3";"PP",#N/A,FALSE,"Sheet3";"MAT1",#N/A,FALSE,"Sheet3";"MAT2",#N/A,FALSE,"Sheet3"}</definedName>
    <definedName name="WORKCAPa" localSheetId="10" hidden="1">{"WCCWCLL",#N/A,FALSE,"Sheet3";"PP",#N/A,FALSE,"Sheet3";"MAT1",#N/A,FALSE,"Sheet3";"MAT2",#N/A,FALSE,"Sheet3"}</definedName>
    <definedName name="WORKCAPa" localSheetId="18" hidden="1">{"WCCWCLL",#N/A,FALSE,"Sheet3";"PP",#N/A,FALSE,"Sheet3";"MAT1",#N/A,FALSE,"Sheet3";"MAT2",#N/A,FALSE,"Sheet3"}</definedName>
    <definedName name="WORKCAPa" localSheetId="4" hidden="1">{"WCCWCLL",#N/A,FALSE,"Sheet3";"PP",#N/A,FALSE,"Sheet3";"MAT1",#N/A,FALSE,"Sheet3";"MAT2",#N/A,FALSE,"Sheet3"}</definedName>
    <definedName name="WORKCAPa" localSheetId="8" hidden="1">{"WCCWCLL",#N/A,FALSE,"Sheet3";"PP",#N/A,FALSE,"Sheet3";"MAT1",#N/A,FALSE,"Sheet3";"MAT2",#N/A,FALSE,"Sheet3"}</definedName>
    <definedName name="WORKCAPa" localSheetId="15" hidden="1">{"WCCWCLL",#N/A,FALSE,"Sheet3";"PP",#N/A,FALSE,"Sheet3";"MAT1",#N/A,FALSE,"Sheet3";"MAT2",#N/A,FALSE,"Sheet3"}</definedName>
    <definedName name="WORKCAPa" localSheetId="20" hidden="1">{"WCCWCLL",#N/A,FALSE,"Sheet3";"PP",#N/A,FALSE,"Sheet3";"MAT1",#N/A,FALSE,"Sheet3";"MAT2",#N/A,FALSE,"Sheet3"}</definedName>
    <definedName name="WORKCAPa" localSheetId="5" hidden="1">{"WCCWCLL",#N/A,FALSE,"Sheet3";"PP",#N/A,FALSE,"Sheet3";"MAT1",#N/A,FALSE,"Sheet3";"MAT2",#N/A,FALSE,"Sheet3"}</definedName>
    <definedName name="WORKCAPa" localSheetId="12" hidden="1">{"WCCWCLL",#N/A,FALSE,"Sheet3";"PP",#N/A,FALSE,"Sheet3";"MAT1",#N/A,FALSE,"Sheet3";"MAT2",#N/A,FALSE,"Sheet3"}</definedName>
    <definedName name="WORKCAPa" localSheetId="7" hidden="1">{"WCCWCLL",#N/A,FALSE,"Sheet3";"PP",#N/A,FALSE,"Sheet3";"MAT1",#N/A,FALSE,"Sheet3";"MAT2",#N/A,FALSE,"Sheet3"}</definedName>
    <definedName name="WORKCAPa" localSheetId="14" hidden="1">{"WCCWCLL",#N/A,FALSE,"Sheet3";"PP",#N/A,FALSE,"Sheet3";"MAT1",#N/A,FALSE,"Sheet3";"MAT2",#N/A,FALSE,"Sheet3"}</definedName>
    <definedName name="WORKCAPa" localSheetId="19" hidden="1">{"WCCWCLL",#N/A,FALSE,"Sheet3";"PP",#N/A,FALSE,"Sheet3";"MAT1",#N/A,FALSE,"Sheet3";"MAT2",#N/A,FALSE,"Sheet3"}</definedName>
    <definedName name="WORKCAPa" localSheetId="17" hidden="1">{"WCCWCLL",#N/A,FALSE,"Sheet3";"PP",#N/A,FALSE,"Sheet3";"MAT1",#N/A,FALSE,"Sheet3";"MAT2",#N/A,FALSE,"Sheet3"}</definedName>
    <definedName name="WORKCAPa" localSheetId="16" hidden="1">{"WCCWCLL",#N/A,FALSE,"Sheet3";"PP",#N/A,FALSE,"Sheet3";"MAT1",#N/A,FALSE,"Sheet3";"MAT2",#N/A,FALSE,"Sheet3"}</definedName>
    <definedName name="WORKCAPa" localSheetId="13" hidden="1">{"WCCWCLL",#N/A,FALSE,"Sheet3";"PP",#N/A,FALSE,"Sheet3";"MAT1",#N/A,FALSE,"Sheet3";"MAT2",#N/A,FALSE,"Sheet3"}</definedName>
    <definedName name="WORKCAPa" hidden="1">{"WCCWCLL",#N/A,FALSE,"Sheet3";"PP",#N/A,FALSE,"Sheet3";"MAT1",#N/A,FALSE,"Sheet3";"MAT2",#N/A,FALSE,"Sheet3"}</definedName>
    <definedName name="wrn.cwip." localSheetId="6" hidden="1">{"CWIP2",#N/A,FALSE,"CWIP";"CWIP3",#N/A,FALSE,"CWIP"}</definedName>
    <definedName name="wrn.cwip." localSheetId="10" hidden="1">{"CWIP2",#N/A,FALSE,"CWIP";"CWIP3",#N/A,FALSE,"CWIP"}</definedName>
    <definedName name="wrn.cwip." localSheetId="18" hidden="1">{"CWIP2",#N/A,FALSE,"CWIP";"CWIP3",#N/A,FALSE,"CWIP"}</definedName>
    <definedName name="wrn.cwip." localSheetId="4" hidden="1">{"CWIP2",#N/A,FALSE,"CWIP";"CWIP3",#N/A,FALSE,"CWIP"}</definedName>
    <definedName name="wrn.cwip." localSheetId="8" hidden="1">{"CWIP2",#N/A,FALSE,"CWIP";"CWIP3",#N/A,FALSE,"CWIP"}</definedName>
    <definedName name="wrn.cwip." localSheetId="15" hidden="1">{"CWIP2",#N/A,FALSE,"CWIP";"CWIP3",#N/A,FALSE,"CWIP"}</definedName>
    <definedName name="wrn.cwip." localSheetId="20" hidden="1">{"CWIP2",#N/A,FALSE,"CWIP";"CWIP3",#N/A,FALSE,"CWIP"}</definedName>
    <definedName name="wrn.cwip." localSheetId="5" hidden="1">{"CWIP2",#N/A,FALSE,"CWIP";"CWIP3",#N/A,FALSE,"CWIP"}</definedName>
    <definedName name="wrn.cwip." localSheetId="12" hidden="1">{"CWIP2",#N/A,FALSE,"CWIP";"CWIP3",#N/A,FALSE,"CWIP"}</definedName>
    <definedName name="wrn.cwip." localSheetId="7" hidden="1">{"CWIP2",#N/A,FALSE,"CWIP";"CWIP3",#N/A,FALSE,"CWIP"}</definedName>
    <definedName name="wrn.cwip." localSheetId="14" hidden="1">{"CWIP2",#N/A,FALSE,"CWIP";"CWIP3",#N/A,FALSE,"CWIP"}</definedName>
    <definedName name="wrn.cwip." localSheetId="19" hidden="1">{"CWIP2",#N/A,FALSE,"CWIP";"CWIP3",#N/A,FALSE,"CWIP"}</definedName>
    <definedName name="wrn.cwip." localSheetId="17" hidden="1">{"CWIP2",#N/A,FALSE,"CWIP";"CWIP3",#N/A,FALSE,"CWIP"}</definedName>
    <definedName name="wrn.cwip." localSheetId="16" hidden="1">{"CWIP2",#N/A,FALSE,"CWIP";"CWIP3",#N/A,FALSE,"CWIP"}</definedName>
    <definedName name="wrn.cwip." localSheetId="13" hidden="1">{"CWIP2",#N/A,FALSE,"CWIP";"CWIP3",#N/A,FALSE,"CWIP"}</definedName>
    <definedName name="wrn.cwip." hidden="1">{"CWIP2",#N/A,FALSE,"CWIP";"CWIP3",#N/A,FALSE,"CWIP"}</definedName>
    <definedName name="wrn.cwipa" localSheetId="6" hidden="1">{"CWIP2",#N/A,FALSE,"CWIP";"CWIP3",#N/A,FALSE,"CWIP"}</definedName>
    <definedName name="wrn.cwipa" localSheetId="10" hidden="1">{"CWIP2",#N/A,FALSE,"CWIP";"CWIP3",#N/A,FALSE,"CWIP"}</definedName>
    <definedName name="wrn.cwipa" localSheetId="18" hidden="1">{"CWIP2",#N/A,FALSE,"CWIP";"CWIP3",#N/A,FALSE,"CWIP"}</definedName>
    <definedName name="wrn.cwipa" localSheetId="4" hidden="1">{"CWIP2",#N/A,FALSE,"CWIP";"CWIP3",#N/A,FALSE,"CWIP"}</definedName>
    <definedName name="wrn.cwipa" localSheetId="8" hidden="1">{"CWIP2",#N/A,FALSE,"CWIP";"CWIP3",#N/A,FALSE,"CWIP"}</definedName>
    <definedName name="wrn.cwipa" localSheetId="15" hidden="1">{"CWIP2",#N/A,FALSE,"CWIP";"CWIP3",#N/A,FALSE,"CWIP"}</definedName>
    <definedName name="wrn.cwipa" localSheetId="20" hidden="1">{"CWIP2",#N/A,FALSE,"CWIP";"CWIP3",#N/A,FALSE,"CWIP"}</definedName>
    <definedName name="wrn.cwipa" localSheetId="5" hidden="1">{"CWIP2",#N/A,FALSE,"CWIP";"CWIP3",#N/A,FALSE,"CWIP"}</definedName>
    <definedName name="wrn.cwipa" localSheetId="12" hidden="1">{"CWIP2",#N/A,FALSE,"CWIP";"CWIP3",#N/A,FALSE,"CWIP"}</definedName>
    <definedName name="wrn.cwipa" localSheetId="7" hidden="1">{"CWIP2",#N/A,FALSE,"CWIP";"CWIP3",#N/A,FALSE,"CWIP"}</definedName>
    <definedName name="wrn.cwipa" localSheetId="14" hidden="1">{"CWIP2",#N/A,FALSE,"CWIP";"CWIP3",#N/A,FALSE,"CWIP"}</definedName>
    <definedName name="wrn.cwipa" localSheetId="19" hidden="1">{"CWIP2",#N/A,FALSE,"CWIP";"CWIP3",#N/A,FALSE,"CWIP"}</definedName>
    <definedName name="wrn.cwipa" localSheetId="17" hidden="1">{"CWIP2",#N/A,FALSE,"CWIP";"CWIP3",#N/A,FALSE,"CWIP"}</definedName>
    <definedName name="wrn.cwipa" localSheetId="16" hidden="1">{"CWIP2",#N/A,FALSE,"CWIP";"CWIP3",#N/A,FALSE,"CWIP"}</definedName>
    <definedName name="wrn.cwipa" localSheetId="13" hidden="1">{"CWIP2",#N/A,FALSE,"CWIP";"CWIP3",#N/A,FALSE,"CWIP"}</definedName>
    <definedName name="wrn.cwipa" hidden="1">{"CWIP2",#N/A,FALSE,"CWIP";"CWIP3",#N/A,FALSE,"CWIP"}</definedName>
    <definedName name="wrn.Earnings._.Test." localSheetId="6"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10"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18"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4"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8"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15"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20"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5"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12"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7"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14"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19"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17"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16"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13"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full._.print." localSheetId="6"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10"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18"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4"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8"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15"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20"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5"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12"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7"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14"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19"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17"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16"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13"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matdtl." localSheetId="6" hidden="1">{"MATALL",#N/A,FALSE,"Sheet4";"matclass",#N/A,FALSE,"Sheet4"}</definedName>
    <definedName name="wrn.matdtl." localSheetId="10" hidden="1">{"MATALL",#N/A,FALSE,"Sheet4";"matclass",#N/A,FALSE,"Sheet4"}</definedName>
    <definedName name="wrn.matdtl." localSheetId="18" hidden="1">{"MATALL",#N/A,FALSE,"Sheet4";"matclass",#N/A,FALSE,"Sheet4"}</definedName>
    <definedName name="wrn.matdtl." localSheetId="4" hidden="1">{"MATALL",#N/A,FALSE,"Sheet4";"matclass",#N/A,FALSE,"Sheet4"}</definedName>
    <definedName name="wrn.matdtl." localSheetId="8" hidden="1">{"MATALL",#N/A,FALSE,"Sheet4";"matclass",#N/A,FALSE,"Sheet4"}</definedName>
    <definedName name="wrn.matdtl." localSheetId="15" hidden="1">{"MATALL",#N/A,FALSE,"Sheet4";"matclass",#N/A,FALSE,"Sheet4"}</definedName>
    <definedName name="wrn.matdtl." localSheetId="20" hidden="1">{"MATALL",#N/A,FALSE,"Sheet4";"matclass",#N/A,FALSE,"Sheet4"}</definedName>
    <definedName name="wrn.matdtl." localSheetId="5" hidden="1">{"MATALL",#N/A,FALSE,"Sheet4";"matclass",#N/A,FALSE,"Sheet4"}</definedName>
    <definedName name="wrn.matdtl." localSheetId="12" hidden="1">{"MATALL",#N/A,FALSE,"Sheet4";"matclass",#N/A,FALSE,"Sheet4"}</definedName>
    <definedName name="wrn.matdtl." localSheetId="7" hidden="1">{"MATALL",#N/A,FALSE,"Sheet4";"matclass",#N/A,FALSE,"Sheet4"}</definedName>
    <definedName name="wrn.matdtl." localSheetId="14" hidden="1">{"MATALL",#N/A,FALSE,"Sheet4";"matclass",#N/A,FALSE,"Sheet4"}</definedName>
    <definedName name="wrn.matdtl." localSheetId="19" hidden="1">{"MATALL",#N/A,FALSE,"Sheet4";"matclass",#N/A,FALSE,"Sheet4"}</definedName>
    <definedName name="wrn.matdtl." localSheetId="17" hidden="1">{"MATALL",#N/A,FALSE,"Sheet4";"matclass",#N/A,FALSE,"Sheet4"}</definedName>
    <definedName name="wrn.matdtl." localSheetId="16" hidden="1">{"MATALL",#N/A,FALSE,"Sheet4";"matclass",#N/A,FALSE,"Sheet4"}</definedName>
    <definedName name="wrn.matdtl." localSheetId="13" hidden="1">{"MATALL",#N/A,FALSE,"Sheet4";"matclass",#N/A,FALSE,"Sheet4"}</definedName>
    <definedName name="wrn.matdtl." hidden="1">{"MATALL",#N/A,FALSE,"Sheet4";"matclass",#N/A,FALSE,"Sheet4"}</definedName>
    <definedName name="wrn.matdtla" localSheetId="6" hidden="1">{"MATALL",#N/A,FALSE,"Sheet4";"matclass",#N/A,FALSE,"Sheet4"}</definedName>
    <definedName name="wrn.matdtla" localSheetId="10" hidden="1">{"MATALL",#N/A,FALSE,"Sheet4";"matclass",#N/A,FALSE,"Sheet4"}</definedName>
    <definedName name="wrn.matdtla" localSheetId="18" hidden="1">{"MATALL",#N/A,FALSE,"Sheet4";"matclass",#N/A,FALSE,"Sheet4"}</definedName>
    <definedName name="wrn.matdtla" localSheetId="4" hidden="1">{"MATALL",#N/A,FALSE,"Sheet4";"matclass",#N/A,FALSE,"Sheet4"}</definedName>
    <definedName name="wrn.matdtla" localSheetId="8" hidden="1">{"MATALL",#N/A,FALSE,"Sheet4";"matclass",#N/A,FALSE,"Sheet4"}</definedName>
    <definedName name="wrn.matdtla" localSheetId="15" hidden="1">{"MATALL",#N/A,FALSE,"Sheet4";"matclass",#N/A,FALSE,"Sheet4"}</definedName>
    <definedName name="wrn.matdtla" localSheetId="20" hidden="1">{"MATALL",#N/A,FALSE,"Sheet4";"matclass",#N/A,FALSE,"Sheet4"}</definedName>
    <definedName name="wrn.matdtla" localSheetId="5" hidden="1">{"MATALL",#N/A,FALSE,"Sheet4";"matclass",#N/A,FALSE,"Sheet4"}</definedName>
    <definedName name="wrn.matdtla" localSheetId="12" hidden="1">{"MATALL",#N/A,FALSE,"Sheet4";"matclass",#N/A,FALSE,"Sheet4"}</definedName>
    <definedName name="wrn.matdtla" localSheetId="7" hidden="1">{"MATALL",#N/A,FALSE,"Sheet4";"matclass",#N/A,FALSE,"Sheet4"}</definedName>
    <definedName name="wrn.matdtla" localSheetId="14" hidden="1">{"MATALL",#N/A,FALSE,"Sheet4";"matclass",#N/A,FALSE,"Sheet4"}</definedName>
    <definedName name="wrn.matdtla" localSheetId="19" hidden="1">{"MATALL",#N/A,FALSE,"Sheet4";"matclass",#N/A,FALSE,"Sheet4"}</definedName>
    <definedName name="wrn.matdtla" localSheetId="17" hidden="1">{"MATALL",#N/A,FALSE,"Sheet4";"matclass",#N/A,FALSE,"Sheet4"}</definedName>
    <definedName name="wrn.matdtla" localSheetId="16" hidden="1">{"MATALL",#N/A,FALSE,"Sheet4";"matclass",#N/A,FALSE,"Sheet4"}</definedName>
    <definedName name="wrn.matdtla" localSheetId="13" hidden="1">{"MATALL",#N/A,FALSE,"Sheet4";"matclass",#N/A,FALSE,"Sheet4"}</definedName>
    <definedName name="wrn.matdtla" hidden="1">{"MATALL",#N/A,FALSE,"Sheet4";"matclass",#N/A,FALSE,"Sheet4"}</definedName>
    <definedName name="wrn.PPJOURNAL._.ENTRY." localSheetId="6" hidden="1">{"PPDEFERREDBAL",#N/A,FALSE,"PRIOR PERIOD ADJMT";#N/A,#N/A,FALSE,"PRIOR PERIOD ADJMT";"PPJOURNALENTRY",#N/A,FALSE,"PRIOR PERIOD ADJMT"}</definedName>
    <definedName name="wrn.PPJOURNAL._.ENTRY." localSheetId="10" hidden="1">{"PPDEFERREDBAL",#N/A,FALSE,"PRIOR PERIOD ADJMT";#N/A,#N/A,FALSE,"PRIOR PERIOD ADJMT";"PPJOURNALENTRY",#N/A,FALSE,"PRIOR PERIOD ADJMT"}</definedName>
    <definedName name="wrn.PPJOURNAL._.ENTRY." localSheetId="18" hidden="1">{"PPDEFERREDBAL",#N/A,FALSE,"PRIOR PERIOD ADJMT";#N/A,#N/A,FALSE,"PRIOR PERIOD ADJMT";"PPJOURNALENTRY",#N/A,FALSE,"PRIOR PERIOD ADJMT"}</definedName>
    <definedName name="wrn.PPJOURNAL._.ENTRY." localSheetId="4" hidden="1">{"PPDEFERREDBAL",#N/A,FALSE,"PRIOR PERIOD ADJMT";#N/A,#N/A,FALSE,"PRIOR PERIOD ADJMT";"PPJOURNALENTRY",#N/A,FALSE,"PRIOR PERIOD ADJMT"}</definedName>
    <definedName name="wrn.PPJOURNAL._.ENTRY." localSheetId="8" hidden="1">{"PPDEFERREDBAL",#N/A,FALSE,"PRIOR PERIOD ADJMT";#N/A,#N/A,FALSE,"PRIOR PERIOD ADJMT";"PPJOURNALENTRY",#N/A,FALSE,"PRIOR PERIOD ADJMT"}</definedName>
    <definedName name="wrn.PPJOURNAL._.ENTRY." localSheetId="15" hidden="1">{"PPDEFERREDBAL",#N/A,FALSE,"PRIOR PERIOD ADJMT";#N/A,#N/A,FALSE,"PRIOR PERIOD ADJMT";"PPJOURNALENTRY",#N/A,FALSE,"PRIOR PERIOD ADJMT"}</definedName>
    <definedName name="wrn.PPJOURNAL._.ENTRY." localSheetId="20" hidden="1">{"PPDEFERREDBAL",#N/A,FALSE,"PRIOR PERIOD ADJMT";#N/A,#N/A,FALSE,"PRIOR PERIOD ADJMT";"PPJOURNALENTRY",#N/A,FALSE,"PRIOR PERIOD ADJMT"}</definedName>
    <definedName name="wrn.PPJOURNAL._.ENTRY." localSheetId="5" hidden="1">{"PPDEFERREDBAL",#N/A,FALSE,"PRIOR PERIOD ADJMT";#N/A,#N/A,FALSE,"PRIOR PERIOD ADJMT";"PPJOURNALENTRY",#N/A,FALSE,"PRIOR PERIOD ADJMT"}</definedName>
    <definedName name="wrn.PPJOURNAL._.ENTRY." localSheetId="12" hidden="1">{"PPDEFERREDBAL",#N/A,FALSE,"PRIOR PERIOD ADJMT";#N/A,#N/A,FALSE,"PRIOR PERIOD ADJMT";"PPJOURNALENTRY",#N/A,FALSE,"PRIOR PERIOD ADJMT"}</definedName>
    <definedName name="wrn.PPJOURNAL._.ENTRY." localSheetId="7" hidden="1">{"PPDEFERREDBAL",#N/A,FALSE,"PRIOR PERIOD ADJMT";#N/A,#N/A,FALSE,"PRIOR PERIOD ADJMT";"PPJOURNALENTRY",#N/A,FALSE,"PRIOR PERIOD ADJMT"}</definedName>
    <definedName name="wrn.PPJOURNAL._.ENTRY." localSheetId="19" hidden="1">{"PPDEFERREDBAL",#N/A,FALSE,"PRIOR PERIOD ADJMT";#N/A,#N/A,FALSE,"PRIOR PERIOD ADJMT";"PPJOURNALENTRY",#N/A,FALSE,"PRIOR PERIOD ADJMT"}</definedName>
    <definedName name="wrn.PPJOURNAL._.ENTRY." localSheetId="17" hidden="1">{"PPDEFERREDBAL",#N/A,FALSE,"PRIOR PERIOD ADJMT";#N/A,#N/A,FALSE,"PRIOR PERIOD ADJMT";"PPJOURNALENTRY",#N/A,FALSE,"PRIOR PERIOD ADJMT"}</definedName>
    <definedName name="wrn.PPJOURNAL._.ENTRY." localSheetId="16" hidden="1">{"PPDEFERREDBAL",#N/A,FALSE,"PRIOR PERIOD ADJMT";#N/A,#N/A,FALSE,"PRIOR PERIOD ADJMT";"PPJOURNALENTRY",#N/A,FALSE,"PRIOR PERIOD ADJMT"}</definedName>
    <definedName name="wrn.PPJOURNAL._.ENTRY." localSheetId="13" hidden="1">{"PPDEFERREDBAL",#N/A,FALSE,"PRIOR PERIOD ADJMT";#N/A,#N/A,FALSE,"PRIOR PERIOD ADJMT";"PPJOURNALENTRY",#N/A,FALSE,"PRIOR PERIOD ADJMT"}</definedName>
    <definedName name="wrn.PPJOURNAL._.ENTRY." hidden="1">{"PPDEFERREDBAL",#N/A,FALSE,"PRIOR PERIOD ADJMT";#N/A,#N/A,FALSE,"PRIOR PERIOD ADJMT";"PPJOURNALENTRY",#N/A,FALSE,"PRIOR PERIOD ADJMT"}</definedName>
    <definedName name="wrn.PRIOR._.PERIOD._.ADJMT." localSheetId="6" hidden="1">{#N/A,#N/A,FALSE,"PRIOR PERIOD ADJMT"}</definedName>
    <definedName name="wrn.PRIOR._.PERIOD._.ADJMT." localSheetId="10" hidden="1">{#N/A,#N/A,FALSE,"PRIOR PERIOD ADJMT"}</definedName>
    <definedName name="wrn.PRIOR._.PERIOD._.ADJMT." localSheetId="18" hidden="1">{#N/A,#N/A,FALSE,"PRIOR PERIOD ADJMT"}</definedName>
    <definedName name="wrn.PRIOR._.PERIOD._.ADJMT." localSheetId="4" hidden="1">{#N/A,#N/A,FALSE,"PRIOR PERIOD ADJMT"}</definedName>
    <definedName name="wrn.PRIOR._.PERIOD._.ADJMT." localSheetId="8" hidden="1">{#N/A,#N/A,FALSE,"PRIOR PERIOD ADJMT"}</definedName>
    <definedName name="wrn.PRIOR._.PERIOD._.ADJMT." localSheetId="15" hidden="1">{#N/A,#N/A,FALSE,"PRIOR PERIOD ADJMT"}</definedName>
    <definedName name="wrn.PRIOR._.PERIOD._.ADJMT." localSheetId="20" hidden="1">{#N/A,#N/A,FALSE,"PRIOR PERIOD ADJMT"}</definedName>
    <definedName name="wrn.PRIOR._.PERIOD._.ADJMT." localSheetId="5" hidden="1">{#N/A,#N/A,FALSE,"PRIOR PERIOD ADJMT"}</definedName>
    <definedName name="wrn.PRIOR._.PERIOD._.ADJMT." localSheetId="12" hidden="1">{#N/A,#N/A,FALSE,"PRIOR PERIOD ADJMT"}</definedName>
    <definedName name="wrn.PRIOR._.PERIOD._.ADJMT." localSheetId="7" hidden="1">{#N/A,#N/A,FALSE,"PRIOR PERIOD ADJMT"}</definedName>
    <definedName name="wrn.PRIOR._.PERIOD._.ADJMT." localSheetId="19" hidden="1">{#N/A,#N/A,FALSE,"PRIOR PERIOD ADJMT"}</definedName>
    <definedName name="wrn.PRIOR._.PERIOD._.ADJMT." localSheetId="17" hidden="1">{#N/A,#N/A,FALSE,"PRIOR PERIOD ADJMT"}</definedName>
    <definedName name="wrn.PRIOR._.PERIOD._.ADJMT." localSheetId="16" hidden="1">{#N/A,#N/A,FALSE,"PRIOR PERIOD ADJMT"}</definedName>
    <definedName name="wrn.PRIOR._.PERIOD._.ADJMT." localSheetId="13" hidden="1">{#N/A,#N/A,FALSE,"PRIOR PERIOD ADJMT"}</definedName>
    <definedName name="wrn.PRIOR._.PERIOD._.ADJMT." hidden="1">{#N/A,#N/A,FALSE,"PRIOR PERIOD ADJMT"}</definedName>
    <definedName name="wrn.Production." localSheetId="6" hidden="1">{"Production",#N/A,FALSE,"Electric O&amp;M Functionalization"}</definedName>
    <definedName name="wrn.Production." localSheetId="10" hidden="1">{"Production",#N/A,FALSE,"Electric O&amp;M Functionalization"}</definedName>
    <definedName name="wrn.Production." localSheetId="18" hidden="1">{"Production",#N/A,FALSE,"Electric O&amp;M Functionalization"}</definedName>
    <definedName name="wrn.Production." localSheetId="4" hidden="1">{"Production",#N/A,FALSE,"Electric O&amp;M Functionalization"}</definedName>
    <definedName name="wrn.Production." localSheetId="8" hidden="1">{"Production",#N/A,FALSE,"Electric O&amp;M Functionalization"}</definedName>
    <definedName name="wrn.Production." localSheetId="15" hidden="1">{"Production",#N/A,FALSE,"Electric O&amp;M Functionalization"}</definedName>
    <definedName name="wrn.Production." localSheetId="20" hidden="1">{"Production",#N/A,FALSE,"Electric O&amp;M Functionalization"}</definedName>
    <definedName name="wrn.Production." localSheetId="5" hidden="1">{"Production",#N/A,FALSE,"Electric O&amp;M Functionalization"}</definedName>
    <definedName name="wrn.Production." localSheetId="12" hidden="1">{"Production",#N/A,FALSE,"Electric O&amp;M Functionalization"}</definedName>
    <definedName name="wrn.Production." localSheetId="7" hidden="1">{"Production",#N/A,FALSE,"Electric O&amp;M Functionalization"}</definedName>
    <definedName name="wrn.Production." localSheetId="14" hidden="1">{"Production",#N/A,FALSE,"Electric O&amp;M Functionalization"}</definedName>
    <definedName name="wrn.Production." localSheetId="19" hidden="1">{"Production",#N/A,FALSE,"Electric O&amp;M Functionalization"}</definedName>
    <definedName name="wrn.Production." localSheetId="17" hidden="1">{"Production",#N/A,FALSE,"Electric O&amp;M Functionalization"}</definedName>
    <definedName name="wrn.Production." localSheetId="16" hidden="1">{"Production",#N/A,FALSE,"Electric O&amp;M Functionalization"}</definedName>
    <definedName name="wrn.Production." localSheetId="13" hidden="1">{"Production",#N/A,FALSE,"Electric O&amp;M Functionalization"}</definedName>
    <definedName name="wrn.Production." hidden="1">{"Production",#N/A,FALSE,"Electric O&amp;M Functionalization"}</definedName>
    <definedName name="wrn.Transmission." localSheetId="6" hidden="1">{"Transmission",#N/A,FALSE,"Electric O&amp;M Functionalization"}</definedName>
    <definedName name="wrn.Transmission." localSheetId="10" hidden="1">{"Transmission",#N/A,FALSE,"Electric O&amp;M Functionalization"}</definedName>
    <definedName name="wrn.Transmission." localSheetId="18" hidden="1">{"Transmission",#N/A,FALSE,"Electric O&amp;M Functionalization"}</definedName>
    <definedName name="wrn.Transmission." localSheetId="4" hidden="1">{"Transmission",#N/A,FALSE,"Electric O&amp;M Functionalization"}</definedName>
    <definedName name="wrn.Transmission." localSheetId="8" hidden="1">{"Transmission",#N/A,FALSE,"Electric O&amp;M Functionalization"}</definedName>
    <definedName name="wrn.Transmission." localSheetId="15" hidden="1">{"Transmission",#N/A,FALSE,"Electric O&amp;M Functionalization"}</definedName>
    <definedName name="wrn.Transmission." localSheetId="20" hidden="1">{"Transmission",#N/A,FALSE,"Electric O&amp;M Functionalization"}</definedName>
    <definedName name="wrn.Transmission." localSheetId="5" hidden="1">{"Transmission",#N/A,FALSE,"Electric O&amp;M Functionalization"}</definedName>
    <definedName name="wrn.Transmission." localSheetId="12" hidden="1">{"Transmission",#N/A,FALSE,"Electric O&amp;M Functionalization"}</definedName>
    <definedName name="wrn.Transmission." localSheetId="7" hidden="1">{"Transmission",#N/A,FALSE,"Electric O&amp;M Functionalization"}</definedName>
    <definedName name="wrn.Transmission." localSheetId="14" hidden="1">{"Transmission",#N/A,FALSE,"Electric O&amp;M Functionalization"}</definedName>
    <definedName name="wrn.Transmission." localSheetId="19" hidden="1">{"Transmission",#N/A,FALSE,"Electric O&amp;M Functionalization"}</definedName>
    <definedName name="wrn.Transmission." localSheetId="17" hidden="1">{"Transmission",#N/A,FALSE,"Electric O&amp;M Functionalization"}</definedName>
    <definedName name="wrn.Transmission." localSheetId="16" hidden="1">{"Transmission",#N/A,FALSE,"Electric O&amp;M Functionalization"}</definedName>
    <definedName name="wrn.Transmission." localSheetId="13" hidden="1">{"Transmission",#N/A,FALSE,"Electric O&amp;M Functionalization"}</definedName>
    <definedName name="wrn.Transmission." hidden="1">{"Transmission",#N/A,FALSE,"Electric O&amp;M Functionalization"}</definedName>
    <definedName name="wrn.WORKCAP." localSheetId="6" hidden="1">{"WCCWCLL",#N/A,FALSE,"Sheet3";"PP",#N/A,FALSE,"Sheet3";"MAT1",#N/A,FALSE,"Sheet3";"MAT2",#N/A,FALSE,"Sheet3"}</definedName>
    <definedName name="wrn.WORKCAP." localSheetId="10" hidden="1">{"WCCWCLL",#N/A,FALSE,"Sheet3";"PP",#N/A,FALSE,"Sheet3";"MAT1",#N/A,FALSE,"Sheet3";"MAT2",#N/A,FALSE,"Sheet3"}</definedName>
    <definedName name="wrn.WORKCAP." localSheetId="18" hidden="1">{"WCCWCLL",#N/A,FALSE,"Sheet3";"PP",#N/A,FALSE,"Sheet3";"MAT1",#N/A,FALSE,"Sheet3";"MAT2",#N/A,FALSE,"Sheet3"}</definedName>
    <definedName name="wrn.WORKCAP." localSheetId="4" hidden="1">{"WCCWCLL",#N/A,FALSE,"Sheet3";"PP",#N/A,FALSE,"Sheet3";"MAT1",#N/A,FALSE,"Sheet3";"MAT2",#N/A,FALSE,"Sheet3"}</definedName>
    <definedName name="wrn.WORKCAP." localSheetId="8" hidden="1">{"WCCWCLL",#N/A,FALSE,"Sheet3";"PP",#N/A,FALSE,"Sheet3";"MAT1",#N/A,FALSE,"Sheet3";"MAT2",#N/A,FALSE,"Sheet3"}</definedName>
    <definedName name="wrn.WORKCAP." localSheetId="15" hidden="1">{"WCCWCLL",#N/A,FALSE,"Sheet3";"PP",#N/A,FALSE,"Sheet3";"MAT1",#N/A,FALSE,"Sheet3";"MAT2",#N/A,FALSE,"Sheet3"}</definedName>
    <definedName name="wrn.WORKCAP." localSheetId="20" hidden="1">{"WCCWCLL",#N/A,FALSE,"Sheet3";"PP",#N/A,FALSE,"Sheet3";"MAT1",#N/A,FALSE,"Sheet3";"MAT2",#N/A,FALSE,"Sheet3"}</definedName>
    <definedName name="wrn.WORKCAP." localSheetId="5" hidden="1">{"WCCWCLL",#N/A,FALSE,"Sheet3";"PP",#N/A,FALSE,"Sheet3";"MAT1",#N/A,FALSE,"Sheet3";"MAT2",#N/A,FALSE,"Sheet3"}</definedName>
    <definedName name="wrn.WORKCAP." localSheetId="12" hidden="1">{"WCCWCLL",#N/A,FALSE,"Sheet3";"PP",#N/A,FALSE,"Sheet3";"MAT1",#N/A,FALSE,"Sheet3";"MAT2",#N/A,FALSE,"Sheet3"}</definedName>
    <definedName name="wrn.WORKCAP." localSheetId="7" hidden="1">{"WCCWCLL",#N/A,FALSE,"Sheet3";"PP",#N/A,FALSE,"Sheet3";"MAT1",#N/A,FALSE,"Sheet3";"MAT2",#N/A,FALSE,"Sheet3"}</definedName>
    <definedName name="wrn.WORKCAP." localSheetId="14" hidden="1">{"WCCWCLL",#N/A,FALSE,"Sheet3";"PP",#N/A,FALSE,"Sheet3";"MAT1",#N/A,FALSE,"Sheet3";"MAT2",#N/A,FALSE,"Sheet3"}</definedName>
    <definedName name="wrn.WORKCAP." localSheetId="19" hidden="1">{"WCCWCLL",#N/A,FALSE,"Sheet3";"PP",#N/A,FALSE,"Sheet3";"MAT1",#N/A,FALSE,"Sheet3";"MAT2",#N/A,FALSE,"Sheet3"}</definedName>
    <definedName name="wrn.WORKCAP." localSheetId="17" hidden="1">{"WCCWCLL",#N/A,FALSE,"Sheet3";"PP",#N/A,FALSE,"Sheet3";"MAT1",#N/A,FALSE,"Sheet3";"MAT2",#N/A,FALSE,"Sheet3"}</definedName>
    <definedName name="wrn.WORKCAP." localSheetId="16" hidden="1">{"WCCWCLL",#N/A,FALSE,"Sheet3";"PP",#N/A,FALSE,"Sheet3";"MAT1",#N/A,FALSE,"Sheet3";"MAT2",#N/A,FALSE,"Sheet3"}</definedName>
    <definedName name="wrn.WORKCAP." localSheetId="13" hidden="1">{"WCCWCLL",#N/A,FALSE,"Sheet3";"PP",#N/A,FALSE,"Sheet3";"MAT1",#N/A,FALSE,"Sheet3";"MAT2",#N/A,FALSE,"Sheet3"}</definedName>
    <definedName name="wrn.WORKCAP." hidden="1">{"WCCWCLL",#N/A,FALSE,"Sheet3";"PP",#N/A,FALSE,"Sheet3";"MAT1",#N/A,FALSE,"Sheet3";"MAT2",#N/A,FALSE,"Sheet3"}</definedName>
    <definedName name="wvu.DATABASE." localSheetId="6"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10"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18"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4"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8"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15"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20"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5"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12"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7"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19"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17"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16"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13"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istplt." localSheetId="6" hidden="1">{FALSE,TRUE,-1.25,-15.5,484.5,274.5,FALSE,TRUE,TRUE,TRUE,0,24,#N/A,1,#N/A,12.03,20,1,FALSE,FALSE,3,TRUE,1,FALSE,75,"Swvu.Distplt.","ACwvu.Distplt.",#N/A,FALSE,FALSE,1,0.75,0.75,0.75,1,"","",FALSE,FALSE,FALSE,FALSE,1,#N/A,1,1,FALSE,FALSE,#N/A,#N/A,FALSE,FALSE,FALSE,1,300,300,FALSE,FALSE,TRUE,TRUE,TRUE}</definedName>
    <definedName name="wvu.Distplt." localSheetId="10" hidden="1">{FALSE,TRUE,-1.25,-15.5,484.5,274.5,FALSE,TRUE,TRUE,TRUE,0,24,#N/A,1,#N/A,12.03,20,1,FALSE,FALSE,3,TRUE,1,FALSE,75,"Swvu.Distplt.","ACwvu.Distplt.",#N/A,FALSE,FALSE,1,0.75,0.75,0.75,1,"","",FALSE,FALSE,FALSE,FALSE,1,#N/A,1,1,FALSE,FALSE,#N/A,#N/A,FALSE,FALSE,FALSE,1,300,300,FALSE,FALSE,TRUE,TRUE,TRUE}</definedName>
    <definedName name="wvu.Distplt." localSheetId="8" hidden="1">{FALSE,TRUE,-1.25,-15.5,484.5,274.5,FALSE,TRUE,TRUE,TRUE,0,24,#N/A,1,#N/A,12.03,20,1,FALSE,FALSE,3,TRUE,1,FALSE,75,"Swvu.Distplt.","ACwvu.Distplt.",#N/A,FALSE,FALSE,1,0.75,0.75,0.75,1,"","",FALSE,FALSE,FALSE,FALSE,1,#N/A,1,1,FALSE,FALSE,#N/A,#N/A,FALSE,FALSE,FALSE,1,300,300,FALSE,FALSE,TRUE,TRUE,TRUE}</definedName>
    <definedName name="wvu.Distplt." localSheetId="20" hidden="1">{FALSE,TRUE,-1.25,-15.5,484.5,274.5,FALSE,TRUE,TRUE,TRUE,0,24,#N/A,1,#N/A,12.03,20,1,FALSE,FALSE,3,TRUE,1,FALSE,75,"Swvu.Distplt.","ACwvu.Distplt.",#N/A,FALSE,FALSE,1,0.75,0.75,0.75,1,"","",FALSE,FALSE,FALSE,FALSE,1,#N/A,1,1,FALSE,FALSE,#N/A,#N/A,FALSE,FALSE,FALSE,1,300,300,FALSE,FALSE,TRUE,TRUE,TRUE}</definedName>
    <definedName name="wvu.Distplt." localSheetId="5" hidden="1">{FALSE,TRUE,-1.25,-15.5,484.5,274.5,FALSE,TRUE,TRUE,TRUE,0,24,#N/A,1,#N/A,12.03,20,1,FALSE,FALSE,3,TRUE,1,FALSE,75,"Swvu.Distplt.","ACwvu.Distplt.",#N/A,FALSE,FALSE,1,0.75,0.75,0.75,1,"","",FALSE,FALSE,FALSE,FALSE,1,#N/A,1,1,FALSE,FALSE,#N/A,#N/A,FALSE,FALSE,FALSE,1,300,300,FALSE,FALSE,TRUE,TRUE,TRUE}</definedName>
    <definedName name="wvu.Distplt." localSheetId="12" hidden="1">{FALSE,TRUE,-1.25,-15.5,484.5,274.5,FALSE,TRUE,TRUE,TRUE,0,24,#N/A,1,#N/A,12.03,20,1,FALSE,FALSE,3,TRUE,1,FALSE,75,"Swvu.Distplt.","ACwvu.Distplt.",#N/A,FALSE,FALSE,1,0.75,0.75,0.75,1,"","",FALSE,FALSE,FALSE,FALSE,1,#N/A,1,1,FALSE,FALSE,#N/A,#N/A,FALSE,FALSE,FALSE,1,300,300,FALSE,FALSE,TRUE,TRUE,TRUE}</definedName>
    <definedName name="wvu.Distplt." localSheetId="7" hidden="1">{FALSE,TRUE,-1.25,-15.5,484.5,274.5,FALSE,TRUE,TRUE,TRUE,0,24,#N/A,1,#N/A,12.03,20,1,FALSE,FALSE,3,TRUE,1,FALSE,75,"Swvu.Distplt.","ACwvu.Distplt.",#N/A,FALSE,FALSE,1,0.75,0.75,0.75,1,"","",FALSE,FALSE,FALSE,FALSE,1,#N/A,1,1,FALSE,FALSE,#N/A,#N/A,FALSE,FALSE,FALSE,1,300,300,FALSE,FALSE,TRUE,TRUE,TRUE}</definedName>
    <definedName name="wvu.Distplt." localSheetId="13" hidden="1">{FALSE,TRUE,-1.25,-15.5,484.5,274.5,FALSE,TRUE,TRUE,TRUE,0,24,#N/A,1,#N/A,12.03,20,1,FALSE,FALSE,3,TRUE,1,FALSE,75,"Swvu.Distplt.","ACwvu.Distplt.",#N/A,FALSE,FALSE,1,0.75,0.75,0.75,1,"","",FALSE,FALSE,FALSE,FALSE,1,#N/A,1,1,FALSE,FALSE,#N/A,#N/A,FALSE,FALSE,FALSE,1,300,300,FALSE,FALSE,TRUE,TRUE,TRUE}</definedName>
    <definedName name="wvu.OP." localSheetId="6"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10"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18"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4"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8"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15"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20"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5"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12"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7"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19"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17"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16"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13"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Plant." localSheetId="6" hidden="1">{TRUE,TRUE,-1.25,-15.5,484.5,274.5,FALSE,TRUE,TRUE,TRUE,0,11,#N/A,47,#N/A,11.030303030303,20.4375,1,FALSE,FALSE,3,TRUE,1,FALSE,75,"Swvu.Plant.","ACwvu.Plant.",#N/A,FALSE,FALSE,0.75,0.75,0.5,0.5,2,"","",FALSE,FALSE,FALSE,FALSE,1,#N/A,1,1,"=R1C2:R60C21",FALSE,#N/A,#N/A,FALSE,FALSE,FALSE,1,300,300,FALSE,FALSE,TRUE,TRUE,TRUE}</definedName>
    <definedName name="wvu.Plant." localSheetId="10" hidden="1">{TRUE,TRUE,-1.25,-15.5,484.5,274.5,FALSE,TRUE,TRUE,TRUE,0,11,#N/A,47,#N/A,11.030303030303,20.4375,1,FALSE,FALSE,3,TRUE,1,FALSE,75,"Swvu.Plant.","ACwvu.Plant.",#N/A,FALSE,FALSE,0.75,0.75,0.5,0.5,2,"","",FALSE,FALSE,FALSE,FALSE,1,#N/A,1,1,"=R1C2:R60C21",FALSE,#N/A,#N/A,FALSE,FALSE,FALSE,1,300,300,FALSE,FALSE,TRUE,TRUE,TRUE}</definedName>
    <definedName name="wvu.Plant." localSheetId="8" hidden="1">{TRUE,TRUE,-1.25,-15.5,484.5,274.5,FALSE,TRUE,TRUE,TRUE,0,11,#N/A,47,#N/A,11.030303030303,20.4375,1,FALSE,FALSE,3,TRUE,1,FALSE,75,"Swvu.Plant.","ACwvu.Plant.",#N/A,FALSE,FALSE,0.75,0.75,0.5,0.5,2,"","",FALSE,FALSE,FALSE,FALSE,1,#N/A,1,1,"=R1C2:R60C21",FALSE,#N/A,#N/A,FALSE,FALSE,FALSE,1,300,300,FALSE,FALSE,TRUE,TRUE,TRUE}</definedName>
    <definedName name="wvu.Plant." localSheetId="20" hidden="1">{TRUE,TRUE,-1.25,-15.5,484.5,274.5,FALSE,TRUE,TRUE,TRUE,0,11,#N/A,47,#N/A,11.030303030303,20.4375,1,FALSE,FALSE,3,TRUE,1,FALSE,75,"Swvu.Plant.","ACwvu.Plant.",#N/A,FALSE,FALSE,0.75,0.75,0.5,0.5,2,"","",FALSE,FALSE,FALSE,FALSE,1,#N/A,1,1,"=R1C2:R60C21",FALSE,#N/A,#N/A,FALSE,FALSE,FALSE,1,300,300,FALSE,FALSE,TRUE,TRUE,TRUE}</definedName>
    <definedName name="wvu.Plant." localSheetId="5" hidden="1">{TRUE,TRUE,-1.25,-15.5,484.5,274.5,FALSE,TRUE,TRUE,TRUE,0,11,#N/A,47,#N/A,11.030303030303,20.4375,1,FALSE,FALSE,3,TRUE,1,FALSE,75,"Swvu.Plant.","ACwvu.Plant.",#N/A,FALSE,FALSE,0.75,0.75,0.5,0.5,2,"","",FALSE,FALSE,FALSE,FALSE,1,#N/A,1,1,"=R1C2:R60C21",FALSE,#N/A,#N/A,FALSE,FALSE,FALSE,1,300,300,FALSE,FALSE,TRUE,TRUE,TRUE}</definedName>
    <definedName name="wvu.Plant." localSheetId="12" hidden="1">{TRUE,TRUE,-1.25,-15.5,484.5,274.5,FALSE,TRUE,TRUE,TRUE,0,11,#N/A,47,#N/A,11.030303030303,20.4375,1,FALSE,FALSE,3,TRUE,1,FALSE,75,"Swvu.Plant.","ACwvu.Plant.",#N/A,FALSE,FALSE,0.75,0.75,0.5,0.5,2,"","",FALSE,FALSE,FALSE,FALSE,1,#N/A,1,1,"=R1C2:R60C21",FALSE,#N/A,#N/A,FALSE,FALSE,FALSE,1,300,300,FALSE,FALSE,TRUE,TRUE,TRUE}</definedName>
    <definedName name="wvu.Plant." localSheetId="7" hidden="1">{TRUE,TRUE,-1.25,-15.5,484.5,274.5,FALSE,TRUE,TRUE,TRUE,0,11,#N/A,47,#N/A,11.030303030303,20.4375,1,FALSE,FALSE,3,TRUE,1,FALSE,75,"Swvu.Plant.","ACwvu.Plant.",#N/A,FALSE,FALSE,0.75,0.75,0.5,0.5,2,"","",FALSE,FALSE,FALSE,FALSE,1,#N/A,1,1,"=R1C2:R60C21",FALSE,#N/A,#N/A,FALSE,FALSE,FALSE,1,300,300,FALSE,FALSE,TRUE,TRUE,TRUE}</definedName>
    <definedName name="wvu.Plant." localSheetId="13" hidden="1">{TRUE,TRUE,-1.25,-15.5,484.5,274.5,FALSE,TRUE,TRUE,TRUE,0,11,#N/A,47,#N/A,11.030303030303,20.4375,1,FALSE,FALSE,3,TRUE,1,FALSE,75,"Swvu.Plant.","ACwvu.Plant.",#N/A,FALSE,FALSE,0.75,0.75,0.5,0.5,2,"","",FALSE,FALSE,FALSE,FALSE,1,#N/A,1,1,"=R1C2:R60C21",FALSE,#N/A,#N/A,FALSE,FALSE,FALSE,1,300,300,FALSE,FALSE,TRUE,TRUE,TRUE}</definedName>
    <definedName name="wvu.WP1." localSheetId="6" hidden="1">{TRUE,TRUE,-1.25,-15.5,484.5,279.75,FALSE,FALSE,TRUE,TRUE,0,3,#N/A,1,#N/A,6.54545454545454,15.55,1,FALSE,FALSE,3,TRUE,1,FALSE,100,"Swvu.WP1.","ACwvu.WP1.",1,FALSE,FALSE,0.25,0.25,0.25,0.25,1,"","&amp;L&amp;D &amp;T NBW&amp;C&amp;P&amp;R&amp;F",FALSE,FALSE,FALSE,FALSE,1,100,#N/A,#N/A,FALSE,FALSE,#N/A,#N/A,FALSE,FALSE}</definedName>
    <definedName name="wvu.WP1." localSheetId="10" hidden="1">{TRUE,TRUE,-1.25,-15.5,484.5,279.75,FALSE,FALSE,TRUE,TRUE,0,3,#N/A,1,#N/A,6.54545454545454,15.55,1,FALSE,FALSE,3,TRUE,1,FALSE,100,"Swvu.WP1.","ACwvu.WP1.",1,FALSE,FALSE,0.25,0.25,0.25,0.25,1,"","&amp;L&amp;D &amp;T NBW&amp;C&amp;P&amp;R&amp;F",FALSE,FALSE,FALSE,FALSE,1,100,#N/A,#N/A,FALSE,FALSE,#N/A,#N/A,FALSE,FALSE}</definedName>
    <definedName name="wvu.WP1." localSheetId="18" hidden="1">{TRUE,TRUE,-1.25,-15.5,484.5,279.75,FALSE,FALSE,TRUE,TRUE,0,3,#N/A,1,#N/A,6.54545454545454,15.55,1,FALSE,FALSE,3,TRUE,1,FALSE,100,"Swvu.WP1.","ACwvu.WP1.",1,FALSE,FALSE,0.25,0.25,0.25,0.25,1,"","&amp;L&amp;D &amp;T NBW&amp;C&amp;P&amp;R&amp;F",FALSE,FALSE,FALSE,FALSE,1,100,#N/A,#N/A,FALSE,FALSE,#N/A,#N/A,FALSE,FALSE}</definedName>
    <definedName name="wvu.WP1." localSheetId="4" hidden="1">{TRUE,TRUE,-1.25,-15.5,484.5,279.75,FALSE,FALSE,TRUE,TRUE,0,3,#N/A,1,#N/A,6.54545454545454,15.55,1,FALSE,FALSE,3,TRUE,1,FALSE,100,"Swvu.WP1.","ACwvu.WP1.",1,FALSE,FALSE,0.25,0.25,0.25,0.25,1,"","&amp;L&amp;D &amp;T NBW&amp;C&amp;P&amp;R&amp;F",FALSE,FALSE,FALSE,FALSE,1,100,#N/A,#N/A,FALSE,FALSE,#N/A,#N/A,FALSE,FALSE}</definedName>
    <definedName name="wvu.WP1." localSheetId="8" hidden="1">{TRUE,TRUE,-1.25,-15.5,484.5,279.75,FALSE,FALSE,TRUE,TRUE,0,3,#N/A,1,#N/A,6.54545454545454,15.55,1,FALSE,FALSE,3,TRUE,1,FALSE,100,"Swvu.WP1.","ACwvu.WP1.",1,FALSE,FALSE,0.25,0.25,0.25,0.25,1,"","&amp;L&amp;D &amp;T NBW&amp;C&amp;P&amp;R&amp;F",FALSE,FALSE,FALSE,FALSE,1,100,#N/A,#N/A,FALSE,FALSE,#N/A,#N/A,FALSE,FALSE}</definedName>
    <definedName name="wvu.WP1." localSheetId="15" hidden="1">{TRUE,TRUE,-1.25,-15.5,484.5,279.75,FALSE,FALSE,TRUE,TRUE,0,3,#N/A,1,#N/A,6.54545454545454,15.55,1,FALSE,FALSE,3,TRUE,1,FALSE,100,"Swvu.WP1.","ACwvu.WP1.",1,FALSE,FALSE,0.25,0.25,0.25,0.25,1,"","&amp;L&amp;D &amp;T NBW&amp;C&amp;P&amp;R&amp;F",FALSE,FALSE,FALSE,FALSE,1,100,#N/A,#N/A,FALSE,FALSE,#N/A,#N/A,FALSE,FALSE}</definedName>
    <definedName name="wvu.WP1." localSheetId="20" hidden="1">{TRUE,TRUE,-1.25,-15.5,484.5,279.75,FALSE,FALSE,TRUE,TRUE,0,3,#N/A,1,#N/A,6.54545454545454,15.55,1,FALSE,FALSE,3,TRUE,1,FALSE,100,"Swvu.WP1.","ACwvu.WP1.",1,FALSE,FALSE,0.25,0.25,0.25,0.25,1,"","&amp;L&amp;D &amp;T NBW&amp;C&amp;P&amp;R&amp;F",FALSE,FALSE,FALSE,FALSE,1,100,#N/A,#N/A,FALSE,FALSE,#N/A,#N/A,FALSE,FALSE}</definedName>
    <definedName name="wvu.WP1." localSheetId="5" hidden="1">{TRUE,TRUE,-1.25,-15.5,484.5,279.75,FALSE,FALSE,TRUE,TRUE,0,3,#N/A,1,#N/A,6.54545454545454,15.55,1,FALSE,FALSE,3,TRUE,1,FALSE,100,"Swvu.WP1.","ACwvu.WP1.",1,FALSE,FALSE,0.25,0.25,0.25,0.25,1,"","&amp;L&amp;D &amp;T NBW&amp;C&amp;P&amp;R&amp;F",FALSE,FALSE,FALSE,FALSE,1,100,#N/A,#N/A,FALSE,FALSE,#N/A,#N/A,FALSE,FALSE}</definedName>
    <definedName name="wvu.WP1." localSheetId="12" hidden="1">{TRUE,TRUE,-1.25,-15.5,484.5,279.75,FALSE,FALSE,TRUE,TRUE,0,3,#N/A,1,#N/A,6.54545454545454,15.55,1,FALSE,FALSE,3,TRUE,1,FALSE,100,"Swvu.WP1.","ACwvu.WP1.",1,FALSE,FALSE,0.25,0.25,0.25,0.25,1,"","&amp;L&amp;D &amp;T NBW&amp;C&amp;P&amp;R&amp;F",FALSE,FALSE,FALSE,FALSE,1,100,#N/A,#N/A,FALSE,FALSE,#N/A,#N/A,FALSE,FALSE}</definedName>
    <definedName name="wvu.WP1." localSheetId="7" hidden="1">{TRUE,TRUE,-1.25,-15.5,484.5,279.75,FALSE,FALSE,TRUE,TRUE,0,3,#N/A,1,#N/A,6.54545454545454,15.55,1,FALSE,FALSE,3,TRUE,1,FALSE,100,"Swvu.WP1.","ACwvu.WP1.",1,FALSE,FALSE,0.25,0.25,0.25,0.25,1,"","&amp;L&amp;D &amp;T NBW&amp;C&amp;P&amp;R&amp;F",FALSE,FALSE,FALSE,FALSE,1,100,#N/A,#N/A,FALSE,FALSE,#N/A,#N/A,FALSE,FALSE}</definedName>
    <definedName name="wvu.WP1." localSheetId="19" hidden="1">{TRUE,TRUE,-1.25,-15.5,484.5,279.75,FALSE,FALSE,TRUE,TRUE,0,3,#N/A,1,#N/A,6.54545454545454,15.55,1,FALSE,FALSE,3,TRUE,1,FALSE,100,"Swvu.WP1.","ACwvu.WP1.",1,FALSE,FALSE,0.25,0.25,0.25,0.25,1,"","&amp;L&amp;D &amp;T NBW&amp;C&amp;P&amp;R&amp;F",FALSE,FALSE,FALSE,FALSE,1,100,#N/A,#N/A,FALSE,FALSE,#N/A,#N/A,FALSE,FALSE}</definedName>
    <definedName name="wvu.WP1." localSheetId="17" hidden="1">{TRUE,TRUE,-1.25,-15.5,484.5,279.75,FALSE,FALSE,TRUE,TRUE,0,3,#N/A,1,#N/A,6.54545454545454,15.55,1,FALSE,FALSE,3,TRUE,1,FALSE,100,"Swvu.WP1.","ACwvu.WP1.",1,FALSE,FALSE,0.25,0.25,0.25,0.25,1,"","&amp;L&amp;D &amp;T NBW&amp;C&amp;P&amp;R&amp;F",FALSE,FALSE,FALSE,FALSE,1,100,#N/A,#N/A,FALSE,FALSE,#N/A,#N/A,FALSE,FALSE}</definedName>
    <definedName name="wvu.WP1." localSheetId="16" hidden="1">{TRUE,TRUE,-1.25,-15.5,484.5,279.75,FALSE,FALSE,TRUE,TRUE,0,3,#N/A,1,#N/A,6.54545454545454,15.55,1,FALSE,FALSE,3,TRUE,1,FALSE,100,"Swvu.WP1.","ACwvu.WP1.",1,FALSE,FALSE,0.25,0.25,0.25,0.25,1,"","&amp;L&amp;D &amp;T NBW&amp;C&amp;P&amp;R&amp;F",FALSE,FALSE,FALSE,FALSE,1,100,#N/A,#N/A,FALSE,FALSE,#N/A,#N/A,FALSE,FALSE}</definedName>
    <definedName name="wvu.WP1." localSheetId="13" hidden="1">{TRUE,TRUE,-1.25,-15.5,484.5,279.75,FALSE,FALSE,TRUE,TRUE,0,3,#N/A,1,#N/A,6.54545454545454,15.55,1,FALSE,FALSE,3,TRUE,1,FALSE,100,"Swvu.WP1.","ACwvu.WP1.",1,FALSE,FALSE,0.25,0.25,0.25,0.25,1,"","&amp;L&amp;D &amp;T NBW&amp;C&amp;P&amp;R&amp;F",FALSE,FALSE,FALSE,FALSE,1,100,#N/A,#N/A,FALSE,FALSE,#N/A,#N/A,FALSE,FALSE}</definedName>
    <definedName name="wvu.WP1." hidden="1">{TRUE,TRUE,-1.25,-15.5,484.5,279.75,FALSE,FALSE,TRUE,TRUE,0,3,#N/A,1,#N/A,6.54545454545454,15.55,1,FALSE,FALSE,3,TRUE,1,FALSE,100,"Swvu.WP1.","ACwvu.WP1.",1,FALSE,FALSE,0.25,0.25,0.25,0.25,1,"","&amp;L&amp;D &amp;T NBW&amp;C&amp;P&amp;R&amp;F",FALSE,FALSE,FALSE,FALSE,1,100,#N/A,#N/A,FALSE,FALSE,#N/A,#N/A,FALSE,FALSE}</definedName>
    <definedName name="Z_2AB39ABB_3056_11D2_9A0A_002035671DEC_.wvu.PrintArea" localSheetId="6" hidden="1">'WP Accum Deprec'!$B$1:$N$58</definedName>
    <definedName name="Z_2AB39ABB_3056_11D2_9A0A_002035671DEC_.wvu.PrintArea" localSheetId="10" hidden="1">'WP Adj to Rate Base'!$B$1:$R$70</definedName>
    <definedName name="Z_2AB39ABB_3056_11D2_9A0A_002035671DEC_.wvu.PrintArea" localSheetId="8" hidden="1">'WP CWIP'!$B$1:$I$75</definedName>
    <definedName name="Z_2AB39ABB_3056_11D2_9A0A_002035671DEC_.wvu.PrintArea" localSheetId="20" hidden="1">'WP Divisor'!#REF!</definedName>
    <definedName name="Z_2AB39ABB_3056_11D2_9A0A_002035671DEC_.wvu.PrintArea" localSheetId="5" hidden="1">'WP Gross Plant'!$B$1:$N$56</definedName>
    <definedName name="Z_2AB39ABB_3056_11D2_9A0A_002035671DEC_.wvu.PrintArea" localSheetId="12" hidden="1">'WP Land HFFU'!$B$1:$P$55</definedName>
    <definedName name="Z_2AB39ABB_3056_11D2_9A0A_002035671DEC_.wvu.PrintArea" localSheetId="7" hidden="1">'WP Net Plant'!$B$1:$N$62</definedName>
    <definedName name="Z_2AB39ABB_3056_11D2_9A0A_002035671DEC_.wvu.PrintArea" localSheetId="13" hidden="1">'WP Working Capital'!$B$1:$P$35</definedName>
    <definedName name="Z_2EBC390F_35AC_11D2_9A0A_002035671DEC_.wvu.PrintArea" localSheetId="6" hidden="1">'WP Accum Deprec'!$B$1:$N$58</definedName>
    <definedName name="Z_2EBC390F_35AC_11D2_9A0A_002035671DEC_.wvu.PrintArea" localSheetId="10" hidden="1">'WP Adj to Rate Base'!$B$1:$R$70</definedName>
    <definedName name="Z_2EBC390F_35AC_11D2_9A0A_002035671DEC_.wvu.PrintArea" localSheetId="8" hidden="1">'WP CWIP'!$B$1:$I$75</definedName>
    <definedName name="Z_2EBC390F_35AC_11D2_9A0A_002035671DEC_.wvu.PrintArea" localSheetId="20" hidden="1">'WP Divisor'!#REF!</definedName>
    <definedName name="Z_2EBC390F_35AC_11D2_9A0A_002035671DEC_.wvu.PrintArea" localSheetId="5" hidden="1">'WP Gross Plant'!$B$1:$N$56</definedName>
    <definedName name="Z_2EBC390F_35AC_11D2_9A0A_002035671DEC_.wvu.PrintArea" localSheetId="12" hidden="1">'WP Land HFFU'!$B$1:$P$55</definedName>
    <definedName name="Z_2EBC390F_35AC_11D2_9A0A_002035671DEC_.wvu.PrintArea" localSheetId="7" hidden="1">'WP Net Plant'!$B$1:$N$62</definedName>
    <definedName name="Z_2EBC390F_35AC_11D2_9A0A_002035671DEC_.wvu.PrintArea" localSheetId="13" hidden="1">'WP Working Capital'!$B$1:$P$35</definedName>
    <definedName name="Z_695B8C1F_3695_11D2_9A0A_002035671DEC_.wvu.PrintArea" localSheetId="6" hidden="1">'WP Accum Deprec'!$B$1:$N$58</definedName>
    <definedName name="Z_695B8C1F_3695_11D2_9A0A_002035671DEC_.wvu.PrintArea" localSheetId="10" hidden="1">'WP Adj to Rate Base'!$B$1:$R$70</definedName>
    <definedName name="Z_695B8C1F_3695_11D2_9A0A_002035671DEC_.wvu.PrintArea" localSheetId="8" hidden="1">'WP CWIP'!$B$1:$I$75</definedName>
    <definedName name="Z_695B8C1F_3695_11D2_9A0A_002035671DEC_.wvu.PrintArea" localSheetId="20" hidden="1">'WP Divisor'!#REF!</definedName>
    <definedName name="Z_695B8C1F_3695_11D2_9A0A_002035671DEC_.wvu.PrintArea" localSheetId="5" hidden="1">'WP Gross Plant'!$B$1:$N$56</definedName>
    <definedName name="Z_695B8C1F_3695_11D2_9A0A_002035671DEC_.wvu.PrintArea" localSheetId="12" hidden="1">'WP Land HFFU'!$B$1:$P$55</definedName>
    <definedName name="Z_695B8C1F_3695_11D2_9A0A_002035671DEC_.wvu.PrintArea" localSheetId="7" hidden="1">'WP Net Plant'!$B$1:$N$62</definedName>
    <definedName name="Z_695B8C1F_3695_11D2_9A0A_002035671DEC_.wvu.PrintArea" localSheetId="13" hidden="1">'WP Working Capital'!$B$1:$P$35</definedName>
    <definedName name="Z_7530C500_3E4D_11D2_9A0A_002035671DEC_.wvu.PrintArea" localSheetId="6" hidden="1">'WP Accum Deprec'!$B$1:$N$58</definedName>
    <definedName name="Z_7530C500_3E4D_11D2_9A0A_002035671DEC_.wvu.PrintArea" localSheetId="10" hidden="1">'WP Adj to Rate Base'!$B$1:$R$70</definedName>
    <definedName name="Z_7530C500_3E4D_11D2_9A0A_002035671DEC_.wvu.PrintArea" localSheetId="8" hidden="1">'WP CWIP'!$B$1:$I$75</definedName>
    <definedName name="Z_7530C500_3E4D_11D2_9A0A_002035671DEC_.wvu.PrintArea" localSheetId="20" hidden="1">'WP Divisor'!#REF!</definedName>
    <definedName name="Z_7530C500_3E4D_11D2_9A0A_002035671DEC_.wvu.PrintArea" localSheetId="5" hidden="1">'WP Gross Plant'!$B$1:$N$56</definedName>
    <definedName name="Z_7530C500_3E4D_11D2_9A0A_002035671DEC_.wvu.PrintArea" localSheetId="12" hidden="1">'WP Land HFFU'!$B$1:$P$55</definedName>
    <definedName name="Z_7530C500_3E4D_11D2_9A0A_002035671DEC_.wvu.PrintArea" localSheetId="7" hidden="1">'WP Net Plant'!$B$1:$N$62</definedName>
    <definedName name="Z_7530C500_3E4D_11D2_9A0A_002035671DEC_.wvu.PrintArea" localSheetId="13" hidden="1">'WP Working Capital'!$B$1:$P$35</definedName>
    <definedName name="Z_83CCC42C_3811_11D2_9A0A_002035671DEC_.wvu.PrintArea" localSheetId="6" hidden="1">'WP Accum Deprec'!$B$1:$N$58</definedName>
    <definedName name="Z_83CCC42C_3811_11D2_9A0A_002035671DEC_.wvu.PrintArea" localSheetId="10" hidden="1">'WP Adj to Rate Base'!$B$1:$R$70</definedName>
    <definedName name="Z_83CCC42C_3811_11D2_9A0A_002035671DEC_.wvu.PrintArea" localSheetId="8" hidden="1">'WP CWIP'!$B$1:$I$75</definedName>
    <definedName name="Z_83CCC42C_3811_11D2_9A0A_002035671DEC_.wvu.PrintArea" localSheetId="20" hidden="1">'WP Divisor'!#REF!</definedName>
    <definedName name="Z_83CCC42C_3811_11D2_9A0A_002035671DEC_.wvu.PrintArea" localSheetId="5" hidden="1">'WP Gross Plant'!$B$1:$N$56</definedName>
    <definedName name="Z_83CCC42C_3811_11D2_9A0A_002035671DEC_.wvu.PrintArea" localSheetId="12" hidden="1">'WP Land HFFU'!$B$1:$P$55</definedName>
    <definedName name="Z_83CCC42C_3811_11D2_9A0A_002035671DEC_.wvu.PrintArea" localSheetId="7" hidden="1">'WP Net Plant'!$B$1:$N$62</definedName>
    <definedName name="Z_83CCC42C_3811_11D2_9A0A_002035671DEC_.wvu.PrintArea" localSheetId="13" hidden="1">'WP Working Capital'!$B$1:$P$35</definedName>
    <definedName name="Z_85FF1678_2AB5_11D2_9A0A_002035671DEC_.wvu.PrintArea" localSheetId="6" hidden="1">'WP Accum Deprec'!$A$1:$N$58</definedName>
    <definedName name="Z_85FF1678_2AB5_11D2_9A0A_002035671DEC_.wvu.PrintArea" localSheetId="10" hidden="1">'WP Adj to Rate Base'!$A$1:$R$70</definedName>
    <definedName name="Z_85FF1678_2AB5_11D2_9A0A_002035671DEC_.wvu.PrintArea" localSheetId="8" hidden="1">'WP CWIP'!$A$1:$I$75</definedName>
    <definedName name="Z_85FF1678_2AB5_11D2_9A0A_002035671DEC_.wvu.PrintArea" localSheetId="20" hidden="1">'WP Divisor'!#REF!</definedName>
    <definedName name="Z_85FF1678_2AB5_11D2_9A0A_002035671DEC_.wvu.PrintArea" localSheetId="5" hidden="1">'WP Gross Plant'!$A$1:$N$56</definedName>
    <definedName name="Z_85FF1678_2AB5_11D2_9A0A_002035671DEC_.wvu.PrintArea" localSheetId="12" hidden="1">'WP Land HFFU'!$A$1:$P$55</definedName>
    <definedName name="Z_85FF1678_2AB5_11D2_9A0A_002035671DEC_.wvu.PrintArea" localSheetId="7" hidden="1">'WP Net Plant'!$A$1:$N$62</definedName>
    <definedName name="Z_85FF1678_2AB5_11D2_9A0A_002035671DEC_.wvu.PrintArea" localSheetId="13" hidden="1">'WP Working Capital'!$A$1:$P$35</definedName>
    <definedName name="Z_85FF169C_2AB5_11D2_9A0A_002035671DEC_.wvu.PrintArea" localSheetId="6" hidden="1">'WP Accum Deprec'!$A$1:$N$58</definedName>
    <definedName name="Z_85FF169C_2AB5_11D2_9A0A_002035671DEC_.wvu.PrintArea" localSheetId="10" hidden="1">'WP Adj to Rate Base'!$A$1:$R$70</definedName>
    <definedName name="Z_85FF169C_2AB5_11D2_9A0A_002035671DEC_.wvu.PrintArea" localSheetId="8" hidden="1">'WP CWIP'!$A$1:$I$75</definedName>
    <definedName name="Z_85FF169C_2AB5_11D2_9A0A_002035671DEC_.wvu.PrintArea" localSheetId="20" hidden="1">'WP Divisor'!#REF!</definedName>
    <definedName name="Z_85FF169C_2AB5_11D2_9A0A_002035671DEC_.wvu.PrintArea" localSheetId="5" hidden="1">'WP Gross Plant'!$A$1:$N$56</definedName>
    <definedName name="Z_85FF169C_2AB5_11D2_9A0A_002035671DEC_.wvu.PrintArea" localSheetId="12" hidden="1">'WP Land HFFU'!$A$1:$P$55</definedName>
    <definedName name="Z_85FF169C_2AB5_11D2_9A0A_002035671DEC_.wvu.PrintArea" localSheetId="7" hidden="1">'WP Net Plant'!$A$1:$N$62</definedName>
    <definedName name="Z_85FF169C_2AB5_11D2_9A0A_002035671DEC_.wvu.PrintArea" localSheetId="13" hidden="1">'WP Working Capital'!$A$1:$P$35</definedName>
    <definedName name="Z_899A2362_3D94_11D2_9A0A_002035671DEC_.wvu.PrintArea" localSheetId="6" hidden="1">'WP Accum Deprec'!$B$1:$N$58</definedName>
    <definedName name="Z_899A2362_3D94_11D2_9A0A_002035671DEC_.wvu.PrintArea" localSheetId="10" hidden="1">'WP Adj to Rate Base'!$B$1:$R$70</definedName>
    <definedName name="Z_899A2362_3D94_11D2_9A0A_002035671DEC_.wvu.PrintArea" localSheetId="8" hidden="1">'WP CWIP'!$B$1:$I$75</definedName>
    <definedName name="Z_899A2362_3D94_11D2_9A0A_002035671DEC_.wvu.PrintArea" localSheetId="20" hidden="1">'WP Divisor'!#REF!</definedName>
    <definedName name="Z_899A2362_3D94_11D2_9A0A_002035671DEC_.wvu.PrintArea" localSheetId="5" hidden="1">'WP Gross Plant'!$B$1:$N$56</definedName>
    <definedName name="Z_899A2362_3D94_11D2_9A0A_002035671DEC_.wvu.PrintArea" localSheetId="12" hidden="1">'WP Land HFFU'!$B$1:$P$55</definedName>
    <definedName name="Z_899A2362_3D94_11D2_9A0A_002035671DEC_.wvu.PrintArea" localSheetId="7" hidden="1">'WP Net Plant'!$B$1:$N$62</definedName>
    <definedName name="Z_899A2362_3D94_11D2_9A0A_002035671DEC_.wvu.PrintArea" localSheetId="13" hidden="1">'WP Working Capital'!$B$1:$P$35</definedName>
    <definedName name="Z_96F833DF_38CF_11D2_9A0A_002035671DEC_.wvu.PrintArea" localSheetId="6" hidden="1">'WP Accum Deprec'!$B$1:$N$58</definedName>
    <definedName name="Z_96F833DF_38CF_11D2_9A0A_002035671DEC_.wvu.PrintArea" localSheetId="10" hidden="1">'WP Adj to Rate Base'!$B$1:$R$70</definedName>
    <definedName name="Z_96F833DF_38CF_11D2_9A0A_002035671DEC_.wvu.PrintArea" localSheetId="8" hidden="1">'WP CWIP'!$B$1:$I$75</definedName>
    <definedName name="Z_96F833DF_38CF_11D2_9A0A_002035671DEC_.wvu.PrintArea" localSheetId="20" hidden="1">'WP Divisor'!#REF!</definedName>
    <definedName name="Z_96F833DF_38CF_11D2_9A0A_002035671DEC_.wvu.PrintArea" localSheetId="5" hidden="1">'WP Gross Plant'!$B$1:$N$56</definedName>
    <definedName name="Z_96F833DF_38CF_11D2_9A0A_002035671DEC_.wvu.PrintArea" localSheetId="12" hidden="1">'WP Land HFFU'!$B$1:$P$55</definedName>
    <definedName name="Z_96F833DF_38CF_11D2_9A0A_002035671DEC_.wvu.PrintArea" localSheetId="7" hidden="1">'WP Net Plant'!$B$1:$N$62</definedName>
    <definedName name="Z_96F833DF_38CF_11D2_9A0A_002035671DEC_.wvu.PrintArea" localSheetId="13" hidden="1">'WP Working Capital'!$B$1:$P$35</definedName>
    <definedName name="Z_A82EF67A_30F0_11D2_9A0A_002035671DEC_.wvu.PrintArea" localSheetId="6" hidden="1">'WP Accum Deprec'!$B$1:$N$58</definedName>
    <definedName name="Z_A82EF67A_30F0_11D2_9A0A_002035671DEC_.wvu.PrintArea" localSheetId="10" hidden="1">'WP Adj to Rate Base'!$B$1:$R$70</definedName>
    <definedName name="Z_A82EF67A_30F0_11D2_9A0A_002035671DEC_.wvu.PrintArea" localSheetId="8" hidden="1">'WP CWIP'!$B$1:$I$75</definedName>
    <definedName name="Z_A82EF67A_30F0_11D2_9A0A_002035671DEC_.wvu.PrintArea" localSheetId="20" hidden="1">'WP Divisor'!#REF!</definedName>
    <definedName name="Z_A82EF67A_30F0_11D2_9A0A_002035671DEC_.wvu.PrintArea" localSheetId="5" hidden="1">'WP Gross Plant'!$B$1:$N$56</definedName>
    <definedName name="Z_A82EF67A_30F0_11D2_9A0A_002035671DEC_.wvu.PrintArea" localSheetId="12" hidden="1">'WP Land HFFU'!$B$1:$P$55</definedName>
    <definedName name="Z_A82EF67A_30F0_11D2_9A0A_002035671DEC_.wvu.PrintArea" localSheetId="7" hidden="1">'WP Net Plant'!$B$1:$N$62</definedName>
    <definedName name="Z_A82EF67A_30F0_11D2_9A0A_002035671DEC_.wvu.PrintArea" localSheetId="13" hidden="1">'WP Working Capital'!$B$1:$P$35</definedName>
    <definedName name="Z_B219561F_35C5_11D2_9A0A_002035671DEC_.wvu.PrintArea" localSheetId="6" hidden="1">'WP Accum Deprec'!$B$1:$N$58</definedName>
    <definedName name="Z_B219561F_35C5_11D2_9A0A_002035671DEC_.wvu.PrintArea" localSheetId="10" hidden="1">'WP Adj to Rate Base'!$B$1:$R$70</definedName>
    <definedName name="Z_B219561F_35C5_11D2_9A0A_002035671DEC_.wvu.PrintArea" localSheetId="8" hidden="1">'WP CWIP'!$B$1:$I$75</definedName>
    <definedName name="Z_B219561F_35C5_11D2_9A0A_002035671DEC_.wvu.PrintArea" localSheetId="20" hidden="1">'WP Divisor'!#REF!</definedName>
    <definedName name="Z_B219561F_35C5_11D2_9A0A_002035671DEC_.wvu.PrintArea" localSheetId="5" hidden="1">'WP Gross Plant'!$B$1:$N$56</definedName>
    <definedName name="Z_B219561F_35C5_11D2_9A0A_002035671DEC_.wvu.PrintArea" localSheetId="12" hidden="1">'WP Land HFFU'!$B$1:$P$55</definedName>
    <definedName name="Z_B219561F_35C5_11D2_9A0A_002035671DEC_.wvu.PrintArea" localSheetId="7" hidden="1">'WP Net Plant'!$B$1:$N$62</definedName>
    <definedName name="Z_B219561F_35C5_11D2_9A0A_002035671DEC_.wvu.PrintArea" localSheetId="13" hidden="1">'WP Working Capital'!$B$1:$P$35</definedName>
    <definedName name="Z_B6920318_2AE7_11D2_9A0A_002035671DEC_.wvu.PrintArea" localSheetId="6" hidden="1">'WP Accum Deprec'!$A$1:$N$58</definedName>
    <definedName name="Z_B6920318_2AE7_11D2_9A0A_002035671DEC_.wvu.PrintArea" localSheetId="10" hidden="1">'WP Adj to Rate Base'!$A$1:$R$70</definedName>
    <definedName name="Z_B6920318_2AE7_11D2_9A0A_002035671DEC_.wvu.PrintArea" localSheetId="8" hidden="1">'WP CWIP'!$A$1:$I$75</definedName>
    <definedName name="Z_B6920318_2AE7_11D2_9A0A_002035671DEC_.wvu.PrintArea" localSheetId="20" hidden="1">'WP Divisor'!#REF!</definedName>
    <definedName name="Z_B6920318_2AE7_11D2_9A0A_002035671DEC_.wvu.PrintArea" localSheetId="5" hidden="1">'WP Gross Plant'!$A$1:$N$56</definedName>
    <definedName name="Z_B6920318_2AE7_11D2_9A0A_002035671DEC_.wvu.PrintArea" localSheetId="12" hidden="1">'WP Land HFFU'!$A$1:$P$55</definedName>
    <definedName name="Z_B6920318_2AE7_11D2_9A0A_002035671DEC_.wvu.PrintArea" localSheetId="7" hidden="1">'WP Net Plant'!$A$1:$N$62</definedName>
    <definedName name="Z_B6920318_2AE7_11D2_9A0A_002035671DEC_.wvu.PrintArea" localSheetId="13" hidden="1">'WP Working Capital'!$A$1:$P$35</definedName>
    <definedName name="Z_B7219758_2F65_11D2_9A0A_002035671DEC_.wvu.PrintArea" localSheetId="6" hidden="1">'WP Accum Deprec'!$A$1:$N$58</definedName>
    <definedName name="Z_B7219758_2F65_11D2_9A0A_002035671DEC_.wvu.PrintArea" localSheetId="10" hidden="1">'WP Adj to Rate Base'!$A$1:$R$70</definedName>
    <definedName name="Z_B7219758_2F65_11D2_9A0A_002035671DEC_.wvu.PrintArea" localSheetId="8" hidden="1">'WP CWIP'!$A$1:$I$75</definedName>
    <definedName name="Z_B7219758_2F65_11D2_9A0A_002035671DEC_.wvu.PrintArea" localSheetId="20" hidden="1">'WP Divisor'!#REF!</definedName>
    <definedName name="Z_B7219758_2F65_11D2_9A0A_002035671DEC_.wvu.PrintArea" localSheetId="5" hidden="1">'WP Gross Plant'!$A$1:$N$56</definedName>
    <definedName name="Z_B7219758_2F65_11D2_9A0A_002035671DEC_.wvu.PrintArea" localSheetId="12" hidden="1">'WP Land HFFU'!$A$1:$P$55</definedName>
    <definedName name="Z_B7219758_2F65_11D2_9A0A_002035671DEC_.wvu.PrintArea" localSheetId="7" hidden="1">'WP Net Plant'!$A$1:$N$62</definedName>
    <definedName name="Z_B7219758_2F65_11D2_9A0A_002035671DEC_.wvu.PrintArea" localSheetId="13" hidden="1">'WP Working Capital'!$A$1:$P$35</definedName>
    <definedName name="Z_B8997BC0_3CD6_11D2_9A0A_002035671DEC_.wvu.PrintArea" localSheetId="6" hidden="1">'WP Accum Deprec'!$B$1:$N$58</definedName>
    <definedName name="Z_B8997BC0_3CD6_11D2_9A0A_002035671DEC_.wvu.PrintArea" localSheetId="10" hidden="1">'WP Adj to Rate Base'!$B$1:$R$70</definedName>
    <definedName name="Z_B8997BC0_3CD6_11D2_9A0A_002035671DEC_.wvu.PrintArea" localSheetId="8" hidden="1">'WP CWIP'!$B$1:$I$75</definedName>
    <definedName name="Z_B8997BC0_3CD6_11D2_9A0A_002035671DEC_.wvu.PrintArea" localSheetId="20" hidden="1">'WP Divisor'!#REF!</definedName>
    <definedName name="Z_B8997BC0_3CD6_11D2_9A0A_002035671DEC_.wvu.PrintArea" localSheetId="5" hidden="1">'WP Gross Plant'!$B$1:$N$56</definedName>
    <definedName name="Z_B8997BC0_3CD6_11D2_9A0A_002035671DEC_.wvu.PrintArea" localSheetId="12" hidden="1">'WP Land HFFU'!$B$1:$P$55</definedName>
    <definedName name="Z_B8997BC0_3CD6_11D2_9A0A_002035671DEC_.wvu.PrintArea" localSheetId="7" hidden="1">'WP Net Plant'!$B$1:$N$62</definedName>
    <definedName name="Z_B8997BC0_3CD6_11D2_9A0A_002035671DEC_.wvu.PrintArea" localSheetId="13" hidden="1">'WP Working Capital'!$B$1:$P$35</definedName>
    <definedName name="Z_D20BDA67_374C_11D2_9A0A_002035671DEC_.wvu.PrintArea" localSheetId="6" hidden="1">'WP Accum Deprec'!$B$1:$N$58</definedName>
    <definedName name="Z_D20BDA67_374C_11D2_9A0A_002035671DEC_.wvu.PrintArea" localSheetId="10" hidden="1">'WP Adj to Rate Base'!$B$1:$R$70</definedName>
    <definedName name="Z_D20BDA67_374C_11D2_9A0A_002035671DEC_.wvu.PrintArea" localSheetId="8" hidden="1">'WP CWIP'!$B$1:$I$75</definedName>
    <definedName name="Z_D20BDA67_374C_11D2_9A0A_002035671DEC_.wvu.PrintArea" localSheetId="20" hidden="1">'WP Divisor'!#REF!</definedName>
    <definedName name="Z_D20BDA67_374C_11D2_9A0A_002035671DEC_.wvu.PrintArea" localSheetId="5" hidden="1">'WP Gross Plant'!$B$1:$N$56</definedName>
    <definedName name="Z_D20BDA67_374C_11D2_9A0A_002035671DEC_.wvu.PrintArea" localSheetId="12" hidden="1">'WP Land HFFU'!$B$1:$P$55</definedName>
    <definedName name="Z_D20BDA67_374C_11D2_9A0A_002035671DEC_.wvu.PrintArea" localSheetId="7" hidden="1">'WP Net Plant'!$B$1:$N$62</definedName>
    <definedName name="Z_D20BDA67_374C_11D2_9A0A_002035671DEC_.wvu.PrintArea" localSheetId="13" hidden="1">'WP Working Capital'!$B$1:$P$35</definedName>
    <definedName name="Z_D7887CBF_30F6_11D2_9A0A_002035671DEC_.wvu.PrintArea" localSheetId="6" hidden="1">'WP Accum Deprec'!$B$1:$N$58</definedName>
    <definedName name="Z_D7887CBF_30F6_11D2_9A0A_002035671DEC_.wvu.PrintArea" localSheetId="10" hidden="1">'WP Adj to Rate Base'!$B$1:$R$70</definedName>
    <definedName name="Z_D7887CBF_30F6_11D2_9A0A_002035671DEC_.wvu.PrintArea" localSheetId="8" hidden="1">'WP CWIP'!$B$1:$I$75</definedName>
    <definedName name="Z_D7887CBF_30F6_11D2_9A0A_002035671DEC_.wvu.PrintArea" localSheetId="20" hidden="1">'WP Divisor'!#REF!</definedName>
    <definedName name="Z_D7887CBF_30F6_11D2_9A0A_002035671DEC_.wvu.PrintArea" localSheetId="5" hidden="1">'WP Gross Plant'!$B$1:$N$56</definedName>
    <definedName name="Z_D7887CBF_30F6_11D2_9A0A_002035671DEC_.wvu.PrintArea" localSheetId="12" hidden="1">'WP Land HFFU'!$B$1:$P$55</definedName>
    <definedName name="Z_D7887CBF_30F6_11D2_9A0A_002035671DEC_.wvu.PrintArea" localSheetId="7" hidden="1">'WP Net Plant'!$B$1:$N$62</definedName>
    <definedName name="Z_D7887CBF_30F6_11D2_9A0A_002035671DEC_.wvu.PrintArea" localSheetId="13" hidden="1">'WP Working Capital'!$B$1:$P$35</definedName>
    <definedName name="Z_DBF8361F_30FA_11D2_9A0A_002035671DEC_.wvu.PrintArea" localSheetId="6" hidden="1">'WP Accum Deprec'!$B$1:$N$58</definedName>
    <definedName name="Z_DBF8361F_30FA_11D2_9A0A_002035671DEC_.wvu.PrintArea" localSheetId="10" hidden="1">'WP Adj to Rate Base'!$B$1:$R$70</definedName>
    <definedName name="Z_DBF8361F_30FA_11D2_9A0A_002035671DEC_.wvu.PrintArea" localSheetId="8" hidden="1">'WP CWIP'!$B$1:$I$75</definedName>
    <definedName name="Z_DBF8361F_30FA_11D2_9A0A_002035671DEC_.wvu.PrintArea" localSheetId="20" hidden="1">'WP Divisor'!#REF!</definedName>
    <definedName name="Z_DBF8361F_30FA_11D2_9A0A_002035671DEC_.wvu.PrintArea" localSheetId="5" hidden="1">'WP Gross Plant'!$B$1:$N$56</definedName>
    <definedName name="Z_DBF8361F_30FA_11D2_9A0A_002035671DEC_.wvu.PrintArea" localSheetId="12" hidden="1">'WP Land HFFU'!$B$1:$P$55</definedName>
    <definedName name="Z_DBF8361F_30FA_11D2_9A0A_002035671DEC_.wvu.PrintArea" localSheetId="7" hidden="1">'WP Net Plant'!$B$1:$N$62</definedName>
    <definedName name="Z_DBF8361F_30FA_11D2_9A0A_002035671DEC_.wvu.PrintArea" localSheetId="13" hidden="1">'WP Working Capital'!$B$1:$P$35</definedName>
    <definedName name="Z_E400ADB6_2875_11D2_9A0A_002035671DEC_.wvu.PrintArea" localSheetId="6" hidden="1">'WP Accum Deprec'!$A$1:$N$58</definedName>
    <definedName name="Z_E400ADB6_2875_11D2_9A0A_002035671DEC_.wvu.PrintArea" localSheetId="10" hidden="1">'WP Adj to Rate Base'!$A$1:$R$70</definedName>
    <definedName name="Z_E400ADB6_2875_11D2_9A0A_002035671DEC_.wvu.PrintArea" localSheetId="8" hidden="1">'WP CWIP'!$A$1:$I$75</definedName>
    <definedName name="Z_E400ADB6_2875_11D2_9A0A_002035671DEC_.wvu.PrintArea" localSheetId="20" hidden="1">'WP Divisor'!#REF!</definedName>
    <definedName name="Z_E400ADB6_2875_11D2_9A0A_002035671DEC_.wvu.PrintArea" localSheetId="5" hidden="1">'WP Gross Plant'!$A$1:$N$56</definedName>
    <definedName name="Z_E400ADB6_2875_11D2_9A0A_002035671DEC_.wvu.PrintArea" localSheetId="12" hidden="1">'WP Land HFFU'!$A$1:$P$55</definedName>
    <definedName name="Z_E400ADB6_2875_11D2_9A0A_002035671DEC_.wvu.PrintArea" localSheetId="7" hidden="1">'WP Net Plant'!$A$1:$N$62</definedName>
    <definedName name="Z_E400ADB6_2875_11D2_9A0A_002035671DEC_.wvu.PrintArea" localSheetId="13" hidden="1">'WP Working Capital'!$A$1:$P$35</definedName>
    <definedName name="Z_E400ADFD_2875_11D2_9A0A_002035671DEC_.wvu.PrintArea" localSheetId="6" hidden="1">'WP Accum Deprec'!$A$1:$N$58</definedName>
    <definedName name="Z_E400ADFD_2875_11D2_9A0A_002035671DEC_.wvu.PrintArea" localSheetId="10" hidden="1">'WP Adj to Rate Base'!$A$1:$R$70</definedName>
    <definedName name="Z_E400ADFD_2875_11D2_9A0A_002035671DEC_.wvu.PrintArea" localSheetId="8" hidden="1">'WP CWIP'!$A$1:$I$75</definedName>
    <definedName name="Z_E400ADFD_2875_11D2_9A0A_002035671DEC_.wvu.PrintArea" localSheetId="20" hidden="1">'WP Divisor'!#REF!</definedName>
    <definedName name="Z_E400ADFD_2875_11D2_9A0A_002035671DEC_.wvu.PrintArea" localSheetId="5" hidden="1">'WP Gross Plant'!$A$1:$N$56</definedName>
    <definedName name="Z_E400ADFD_2875_11D2_9A0A_002035671DEC_.wvu.PrintArea" localSheetId="12" hidden="1">'WP Land HFFU'!$A$1:$P$55</definedName>
    <definedName name="Z_E400ADFD_2875_11D2_9A0A_002035671DEC_.wvu.PrintArea" localSheetId="7" hidden="1">'WP Net Plant'!$A$1:$N$62</definedName>
    <definedName name="Z_E400ADFD_2875_11D2_9A0A_002035671DEC_.wvu.PrintArea" localSheetId="13" hidden="1">'WP Working Capital'!$A$1:$P$35</definedName>
    <definedName name="Z_E400AE47_2875_11D2_9A0A_002035671DEC_.wvu.PrintArea" localSheetId="6" hidden="1">'WP Accum Deprec'!$A$1:$N$58</definedName>
    <definedName name="Z_E400AE47_2875_11D2_9A0A_002035671DEC_.wvu.PrintArea" localSheetId="10" hidden="1">'WP Adj to Rate Base'!$A$1:$R$70</definedName>
    <definedName name="Z_E400AE47_2875_11D2_9A0A_002035671DEC_.wvu.PrintArea" localSheetId="8" hidden="1">'WP CWIP'!$A$1:$I$75</definedName>
    <definedName name="Z_E400AE47_2875_11D2_9A0A_002035671DEC_.wvu.PrintArea" localSheetId="20" hidden="1">'WP Divisor'!#REF!</definedName>
    <definedName name="Z_E400AE47_2875_11D2_9A0A_002035671DEC_.wvu.PrintArea" localSheetId="5" hidden="1">'WP Gross Plant'!$A$1:$N$56</definedName>
    <definedName name="Z_E400AE47_2875_11D2_9A0A_002035671DEC_.wvu.PrintArea" localSheetId="12" hidden="1">'WP Land HFFU'!$A$1:$P$55</definedName>
    <definedName name="Z_E400AE47_2875_11D2_9A0A_002035671DEC_.wvu.PrintArea" localSheetId="7" hidden="1">'WP Net Plant'!$A$1:$N$62</definedName>
    <definedName name="Z_E400AE47_2875_11D2_9A0A_002035671DEC_.wvu.PrintArea" localSheetId="13" hidden="1">'WP Working Capital'!$A$1:$P$35</definedName>
  </definedNames>
  <calcPr calcId="145621"/>
</workbook>
</file>

<file path=xl/calcChain.xml><?xml version="1.0" encoding="utf-8"?>
<calcChain xmlns="http://schemas.openxmlformats.org/spreadsheetml/2006/main">
  <c r="F41" i="136" l="1"/>
  <c r="F40" i="136"/>
  <c r="M289" i="154" l="1"/>
  <c r="M288" i="154"/>
  <c r="L287" i="154"/>
  <c r="M287" i="154"/>
  <c r="I287" i="154" s="1"/>
  <c r="L283" i="154"/>
  <c r="I283" i="154" s="1"/>
  <c r="D13" i="154" s="1"/>
  <c r="M283" i="154"/>
  <c r="L286" i="154"/>
  <c r="I286" i="154" s="1"/>
  <c r="M286" i="154"/>
  <c r="M280" i="154"/>
  <c r="I280" i="154" s="1"/>
  <c r="L280" i="154"/>
  <c r="M279" i="154"/>
  <c r="L279" i="154"/>
  <c r="L209" i="154"/>
  <c r="D209" i="154" s="1"/>
  <c r="I209" i="154" s="1"/>
  <c r="L205" i="154"/>
  <c r="D205" i="154" s="1"/>
  <c r="I205" i="154" s="1"/>
  <c r="L288" i="154"/>
  <c r="L289" i="154"/>
  <c r="L229" i="154"/>
  <c r="I229" i="154" s="1"/>
  <c r="M229" i="154"/>
  <c r="L230" i="154"/>
  <c r="M230" i="154"/>
  <c r="F17" i="131"/>
  <c r="F18" i="131"/>
  <c r="F19" i="131"/>
  <c r="F20" i="131"/>
  <c r="F22" i="131"/>
  <c r="L238" i="154" s="1"/>
  <c r="H17" i="131"/>
  <c r="H18" i="131"/>
  <c r="H19" i="131"/>
  <c r="H20" i="131"/>
  <c r="H22" i="131"/>
  <c r="M238" i="154" s="1"/>
  <c r="L247" i="154"/>
  <c r="M247" i="154"/>
  <c r="D247" i="154" s="1"/>
  <c r="G247" i="154" s="1"/>
  <c r="L248" i="154"/>
  <c r="D248" i="154" s="1"/>
  <c r="M248" i="154"/>
  <c r="L249" i="154"/>
  <c r="M249" i="154"/>
  <c r="L255" i="154"/>
  <c r="D255" i="154" s="1"/>
  <c r="M255" i="154"/>
  <c r="L256" i="154"/>
  <c r="M256" i="154"/>
  <c r="D256" i="154" s="1"/>
  <c r="L257" i="154"/>
  <c r="D257" i="154" s="1"/>
  <c r="M257" i="154"/>
  <c r="L177" i="154"/>
  <c r="M177" i="154"/>
  <c r="L178" i="154"/>
  <c r="L184" i="154" s="1"/>
  <c r="M178" i="154"/>
  <c r="L180" i="154"/>
  <c r="M180" i="154"/>
  <c r="D180" i="154" s="1"/>
  <c r="L182" i="154"/>
  <c r="D182" i="154" s="1"/>
  <c r="M182" i="154"/>
  <c r="L183" i="154"/>
  <c r="M183" i="154"/>
  <c r="L266" i="154"/>
  <c r="L269" i="154" s="1"/>
  <c r="M266" i="154"/>
  <c r="L268" i="154"/>
  <c r="M268" i="154"/>
  <c r="I268" i="154" s="1"/>
  <c r="D326" i="154"/>
  <c r="L192" i="154"/>
  <c r="D192" i="154" s="1"/>
  <c r="M192" i="154"/>
  <c r="L267" i="154"/>
  <c r="I267" i="154" s="1"/>
  <c r="M267" i="154"/>
  <c r="I230" i="154"/>
  <c r="D249" i="154"/>
  <c r="G249" i="154"/>
  <c r="D163" i="154"/>
  <c r="D114" i="154"/>
  <c r="D177" i="154"/>
  <c r="D178" i="154"/>
  <c r="D183" i="154"/>
  <c r="L168" i="154"/>
  <c r="M168" i="154"/>
  <c r="L169" i="154"/>
  <c r="M169" i="154"/>
  <c r="L170" i="154"/>
  <c r="D170" i="154" s="1"/>
  <c r="M170" i="154"/>
  <c r="I20" i="154"/>
  <c r="H5" i="157"/>
  <c r="H19" i="157" s="1"/>
  <c r="H6" i="157"/>
  <c r="P38" i="128" s="1"/>
  <c r="H7" i="157"/>
  <c r="P39" i="128" s="1"/>
  <c r="H8" i="157"/>
  <c r="P40" i="128" s="1"/>
  <c r="H9" i="157"/>
  <c r="P41" i="128" s="1"/>
  <c r="H10" i="157"/>
  <c r="P42" i="128" s="1"/>
  <c r="H11" i="157"/>
  <c r="P43" i="128" s="1"/>
  <c r="H12" i="157"/>
  <c r="P44" i="128" s="1"/>
  <c r="H13" i="157"/>
  <c r="P45" i="128" s="1"/>
  <c r="H14" i="157"/>
  <c r="P46" i="128" s="1"/>
  <c r="H15" i="157"/>
  <c r="P47" i="128" s="1"/>
  <c r="H16" i="157"/>
  <c r="P48" i="128" s="1"/>
  <c r="H17" i="157"/>
  <c r="P49" i="128" s="1"/>
  <c r="M181" i="154"/>
  <c r="D181" i="154" s="1"/>
  <c r="L181" i="154"/>
  <c r="F38" i="136"/>
  <c r="F45" i="136" s="1"/>
  <c r="A301" i="154"/>
  <c r="I279" i="154"/>
  <c r="D272" i="154"/>
  <c r="G272" i="154" s="1"/>
  <c r="M269" i="154"/>
  <c r="I263" i="154"/>
  <c r="M258" i="154"/>
  <c r="L258" i="154"/>
  <c r="I254" i="154"/>
  <c r="N245" i="154"/>
  <c r="A224" i="154"/>
  <c r="K221" i="154"/>
  <c r="D164" i="154"/>
  <c r="I164" i="154" s="1"/>
  <c r="D116" i="154"/>
  <c r="M184" i="154"/>
  <c r="F182" i="154"/>
  <c r="C182" i="154"/>
  <c r="F92" i="154"/>
  <c r="F110" i="154" s="1"/>
  <c r="F181" i="154" s="1"/>
  <c r="F178" i="154"/>
  <c r="C178" i="154"/>
  <c r="B168" i="154"/>
  <c r="C163" i="154"/>
  <c r="F162" i="154"/>
  <c r="F160" i="154"/>
  <c r="F161" i="154" s="1"/>
  <c r="A149" i="154"/>
  <c r="K146" i="154"/>
  <c r="F93" i="154"/>
  <c r="F119" i="154" s="1"/>
  <c r="F113" i="154"/>
  <c r="B96" i="154"/>
  <c r="B104" i="154" s="1"/>
  <c r="B95" i="154"/>
  <c r="B103" i="154"/>
  <c r="B94" i="154"/>
  <c r="B102" i="154" s="1"/>
  <c r="B93" i="154"/>
  <c r="B101" i="154" s="1"/>
  <c r="B92" i="154"/>
  <c r="B100" i="154" s="1"/>
  <c r="F96" i="154"/>
  <c r="F95" i="154"/>
  <c r="G94" i="154"/>
  <c r="F94" i="154"/>
  <c r="G92" i="154"/>
  <c r="A77" i="154"/>
  <c r="K74" i="154"/>
  <c r="I47" i="154"/>
  <c r="I46" i="154"/>
  <c r="P33" i="154"/>
  <c r="S33" i="154" s="1"/>
  <c r="S34" i="154" s="1"/>
  <c r="O19" i="154"/>
  <c r="F14" i="154"/>
  <c r="F15" i="154" s="1"/>
  <c r="F16" i="154" s="1"/>
  <c r="F15" i="156"/>
  <c r="H21" i="156"/>
  <c r="F17" i="156"/>
  <c r="H24" i="156" s="1"/>
  <c r="H14" i="156"/>
  <c r="F78" i="128"/>
  <c r="C7" i="151"/>
  <c r="C9" i="151"/>
  <c r="D327" i="154" s="1"/>
  <c r="D187" i="154" s="1"/>
  <c r="D191" i="154" s="1"/>
  <c r="H53" i="128"/>
  <c r="H18" i="138"/>
  <c r="M172" i="154" s="1"/>
  <c r="L43" i="127"/>
  <c r="L96" i="154" s="1"/>
  <c r="J43" i="127"/>
  <c r="L95" i="154" s="1"/>
  <c r="H43" i="127"/>
  <c r="L94" i="154" s="1"/>
  <c r="F43" i="127"/>
  <c r="L93" i="154" s="1"/>
  <c r="D43" i="127"/>
  <c r="L92" i="154" s="1"/>
  <c r="D10" i="149"/>
  <c r="I19" i="154" s="1"/>
  <c r="I21" i="154" s="1"/>
  <c r="D15" i="149"/>
  <c r="H20" i="149" s="1"/>
  <c r="H22" i="149" s="1"/>
  <c r="H10" i="149"/>
  <c r="C8" i="148" s="1"/>
  <c r="E5" i="151"/>
  <c r="C5" i="151"/>
  <c r="L83" i="127"/>
  <c r="J83" i="127"/>
  <c r="H83" i="127"/>
  <c r="F83" i="127"/>
  <c r="D83" i="127"/>
  <c r="L79" i="127"/>
  <c r="J79" i="127"/>
  <c r="H79" i="127"/>
  <c r="F79" i="127"/>
  <c r="D79" i="127"/>
  <c r="L74" i="127"/>
  <c r="J74" i="127"/>
  <c r="H74" i="127"/>
  <c r="F74" i="127"/>
  <c r="D74" i="127"/>
  <c r="L70" i="127"/>
  <c r="J70" i="127"/>
  <c r="H70" i="127"/>
  <c r="F70" i="127"/>
  <c r="D70" i="127"/>
  <c r="A8" i="3"/>
  <c r="A9" i="3" s="1"/>
  <c r="A10" i="3" s="1"/>
  <c r="A11" i="3" s="1"/>
  <c r="A12" i="3" s="1"/>
  <c r="A13" i="3" s="1"/>
  <c r="A14" i="3" s="1"/>
  <c r="A15" i="3" s="1"/>
  <c r="A16" i="3" s="1"/>
  <c r="A17" i="3" s="1"/>
  <c r="A18" i="3" s="1"/>
  <c r="A19" i="3" s="1"/>
  <c r="A20" i="3" s="1"/>
  <c r="A21" i="3" s="1"/>
  <c r="A22" i="3" s="1"/>
  <c r="A27" i="3" s="1"/>
  <c r="A28" i="3" s="1"/>
  <c r="A29" i="3" s="1"/>
  <c r="A30" i="3" s="1"/>
  <c r="A31" i="3" s="1"/>
  <c r="A32" i="3" s="1"/>
  <c r="A33" i="3" s="1"/>
  <c r="A34" i="3" s="1"/>
  <c r="A35" i="3" s="1"/>
  <c r="A36" i="3" s="1"/>
  <c r="A37" i="3" s="1"/>
  <c r="A38" i="3" s="1"/>
  <c r="A39" i="3" s="1"/>
  <c r="A40" i="3" s="1"/>
  <c r="A41" i="3" s="1"/>
  <c r="A42" i="3" s="1"/>
  <c r="A47" i="3" s="1"/>
  <c r="A48" i="3" s="1"/>
  <c r="A49" i="3" s="1"/>
  <c r="A50" i="3" s="1"/>
  <c r="A51" i="3" s="1"/>
  <c r="A52" i="3" s="1"/>
  <c r="A53" i="3" s="1"/>
  <c r="A54" i="3" s="1"/>
  <c r="J79" i="3"/>
  <c r="J81" i="3" s="1"/>
  <c r="J75" i="3"/>
  <c r="D80" i="3"/>
  <c r="D76" i="3"/>
  <c r="J70" i="3"/>
  <c r="J72" i="3" s="1"/>
  <c r="J66" i="3"/>
  <c r="L81" i="3"/>
  <c r="H81" i="3"/>
  <c r="F81" i="3"/>
  <c r="D81" i="3"/>
  <c r="L77" i="3"/>
  <c r="J77" i="3"/>
  <c r="H77" i="3"/>
  <c r="F77" i="3"/>
  <c r="D77" i="3"/>
  <c r="L72" i="3"/>
  <c r="H72" i="3"/>
  <c r="F72" i="3"/>
  <c r="L68" i="3"/>
  <c r="J68" i="3"/>
  <c r="H68" i="3"/>
  <c r="F68" i="3"/>
  <c r="D71" i="3"/>
  <c r="D72" i="3" s="1"/>
  <c r="D67" i="3"/>
  <c r="D68" i="3" s="1"/>
  <c r="R66" i="150"/>
  <c r="R53" i="150"/>
  <c r="H16" i="138"/>
  <c r="M171" i="154" s="1"/>
  <c r="M173" i="154" s="1"/>
  <c r="F18" i="138"/>
  <c r="L172" i="154" s="1"/>
  <c r="D172" i="154" s="1"/>
  <c r="F16" i="138"/>
  <c r="L171" i="154" s="1"/>
  <c r="F53" i="128"/>
  <c r="J53" i="128"/>
  <c r="J52" i="128"/>
  <c r="J78" i="128"/>
  <c r="J77" i="128"/>
  <c r="A9" i="130"/>
  <c r="A10" i="130" s="1"/>
  <c r="A12" i="130" s="1"/>
  <c r="A14" i="130" s="1"/>
  <c r="A16" i="130" s="1"/>
  <c r="A21" i="130" s="1"/>
  <c r="A22" i="130" s="1"/>
  <c r="A24" i="130" s="1"/>
  <c r="A26" i="130" s="1"/>
  <c r="A28" i="130" s="1"/>
  <c r="A30" i="130" s="1"/>
  <c r="A35" i="130" s="1"/>
  <c r="A36" i="130" s="1"/>
  <c r="A38" i="130" s="1"/>
  <c r="A40" i="130" s="1"/>
  <c r="A42" i="130" s="1"/>
  <c r="A45" i="130" s="1"/>
  <c r="A46" i="130" s="1"/>
  <c r="A47" i="130" s="1"/>
  <c r="A49" i="130" s="1"/>
  <c r="A50" i="130" s="1"/>
  <c r="A51" i="130" s="1"/>
  <c r="A54" i="130" s="1"/>
  <c r="A55" i="130" s="1"/>
  <c r="A56" i="130" s="1"/>
  <c r="H29" i="131"/>
  <c r="M250" i="154" s="1"/>
  <c r="F29" i="131"/>
  <c r="L250" i="154" s="1"/>
  <c r="H12" i="132"/>
  <c r="M261" i="154" s="1"/>
  <c r="H11" i="132"/>
  <c r="M271" i="154" s="1"/>
  <c r="F12" i="132"/>
  <c r="L261" i="154" s="1"/>
  <c r="F11" i="132"/>
  <c r="L271" i="154" s="1"/>
  <c r="F84" i="37"/>
  <c r="H69" i="37"/>
  <c r="F69" i="37"/>
  <c r="J64" i="127"/>
  <c r="M95" i="154" s="1"/>
  <c r="F15" i="149"/>
  <c r="F17" i="149"/>
  <c r="H24" i="149" s="1"/>
  <c r="H21" i="149"/>
  <c r="I45" i="133"/>
  <c r="J12" i="136"/>
  <c r="J14" i="136" s="1"/>
  <c r="J11" i="136"/>
  <c r="H14" i="136"/>
  <c r="F14" i="136"/>
  <c r="A60" i="37"/>
  <c r="A61" i="37"/>
  <c r="A62" i="37" s="1"/>
  <c r="A63" i="37" s="1"/>
  <c r="A64" i="37" s="1"/>
  <c r="A65" i="37" s="1"/>
  <c r="A66" i="37" s="1"/>
  <c r="A67" i="37" s="1"/>
  <c r="A68" i="37" s="1"/>
  <c r="A69" i="37" s="1"/>
  <c r="A70" i="37" s="1"/>
  <c r="A71" i="37" s="1"/>
  <c r="A72" i="37" s="1"/>
  <c r="A73" i="37" s="1"/>
  <c r="A74" i="37" s="1"/>
  <c r="A75" i="37" s="1"/>
  <c r="A77" i="37" s="1"/>
  <c r="A78" i="37" s="1"/>
  <c r="A80" i="37" s="1"/>
  <c r="A82" i="37" s="1"/>
  <c r="A84" i="37" s="1"/>
  <c r="A85" i="37" s="1"/>
  <c r="A86" i="37" s="1"/>
  <c r="A87" i="37" s="1"/>
  <c r="A89" i="37" s="1"/>
  <c r="A91" i="37" s="1"/>
  <c r="A93" i="37" s="1"/>
  <c r="A10" i="37"/>
  <c r="A11" i="37" s="1"/>
  <c r="A12" i="37" s="1"/>
  <c r="A13" i="37" s="1"/>
  <c r="A14" i="37" s="1"/>
  <c r="A15" i="37" s="1"/>
  <c r="A16" i="37" s="1"/>
  <c r="A17" i="37" s="1"/>
  <c r="A18" i="37" s="1"/>
  <c r="A19" i="37" s="1"/>
  <c r="A20" i="37" s="1"/>
  <c r="A21" i="37" s="1"/>
  <c r="A22" i="37" s="1"/>
  <c r="A23" i="37" s="1"/>
  <c r="A24" i="37" s="1"/>
  <c r="A25" i="37" s="1"/>
  <c r="A26" i="37" s="1"/>
  <c r="A27" i="37" s="1"/>
  <c r="A29" i="37" s="1"/>
  <c r="A30" i="37" s="1"/>
  <c r="A31" i="37" s="1"/>
  <c r="A32" i="37" s="1"/>
  <c r="A33" i="37" s="1"/>
  <c r="A34" i="37" s="1"/>
  <c r="A35" i="37" s="1"/>
  <c r="A36" i="37" s="1"/>
  <c r="A37" i="37" s="1"/>
  <c r="A38" i="37" s="1"/>
  <c r="A39" i="37" s="1"/>
  <c r="A40" i="37" s="1"/>
  <c r="A42" i="37" s="1"/>
  <c r="A44" i="37" s="1"/>
  <c r="A45" i="37" s="1"/>
  <c r="A46" i="37" s="1"/>
  <c r="A47" i="37" s="1"/>
  <c r="A48" i="37" s="1"/>
  <c r="A49" i="37" s="1"/>
  <c r="A50" i="37" s="1"/>
  <c r="A52" i="37" s="1"/>
  <c r="A54" i="37" s="1"/>
  <c r="A9" i="129"/>
  <c r="A10" i="129" s="1"/>
  <c r="A11" i="129" s="1"/>
  <c r="A12" i="129" s="1"/>
  <c r="A13" i="129" s="1"/>
  <c r="A14" i="129" s="1"/>
  <c r="A15" i="129" s="1"/>
  <c r="A16" i="129" s="1"/>
  <c r="A17" i="129" s="1"/>
  <c r="A18" i="129" s="1"/>
  <c r="A19" i="129" s="1"/>
  <c r="A20" i="129" s="1"/>
  <c r="A21" i="129" s="1"/>
  <c r="A22" i="129" s="1"/>
  <c r="A23" i="129" s="1"/>
  <c r="A27" i="129" s="1"/>
  <c r="A28" i="129" s="1"/>
  <c r="A29" i="129" s="1"/>
  <c r="A30" i="129" s="1"/>
  <c r="A31" i="129" s="1"/>
  <c r="A32" i="129" s="1"/>
  <c r="A33" i="129" s="1"/>
  <c r="A34" i="129" s="1"/>
  <c r="A35" i="129" s="1"/>
  <c r="A36" i="129" s="1"/>
  <c r="A37" i="129" s="1"/>
  <c r="A38" i="129" s="1"/>
  <c r="A39" i="129" s="1"/>
  <c r="A40" i="129" s="1"/>
  <c r="A41" i="129" s="1"/>
  <c r="A42" i="129" s="1"/>
  <c r="A46" i="129" s="1"/>
  <c r="H85" i="37"/>
  <c r="H87" i="37" s="1"/>
  <c r="M161" i="154" s="1"/>
  <c r="H86" i="37"/>
  <c r="D42" i="129"/>
  <c r="L119" i="154" s="1"/>
  <c r="D61" i="129"/>
  <c r="M119" i="154" s="1"/>
  <c r="J76" i="128"/>
  <c r="J80" i="128" s="1"/>
  <c r="M113" i="154" s="1"/>
  <c r="H76" i="128"/>
  <c r="H80" i="128"/>
  <c r="M112" i="154" s="1"/>
  <c r="F76" i="128"/>
  <c r="F80" i="128" s="1"/>
  <c r="M111" i="154" s="1"/>
  <c r="D76" i="128"/>
  <c r="D80" i="128"/>
  <c r="M110" i="154" s="1"/>
  <c r="L64" i="127"/>
  <c r="M96" i="154" s="1"/>
  <c r="H64" i="127"/>
  <c r="M94" i="154" s="1"/>
  <c r="F64" i="127"/>
  <c r="M93" i="154" s="1"/>
  <c r="D64" i="127"/>
  <c r="M92" i="154" s="1"/>
  <c r="M97" i="154" s="1"/>
  <c r="D17" i="149"/>
  <c r="J22" i="136"/>
  <c r="J23" i="136"/>
  <c r="J25" i="136"/>
  <c r="J26" i="136"/>
  <c r="H27" i="136"/>
  <c r="F27" i="136"/>
  <c r="A11" i="136"/>
  <c r="A12" i="136" s="1"/>
  <c r="A13" i="136" s="1"/>
  <c r="A14" i="136" s="1"/>
  <c r="A15" i="136" s="1"/>
  <c r="A16" i="136" s="1"/>
  <c r="A17" i="136" s="1"/>
  <c r="A18" i="136" s="1"/>
  <c r="A19" i="136" s="1"/>
  <c r="A20" i="136" s="1"/>
  <c r="A21" i="136" s="1"/>
  <c r="A22" i="136" s="1"/>
  <c r="A23" i="136" s="1"/>
  <c r="A24" i="136" s="1"/>
  <c r="A25" i="136" s="1"/>
  <c r="J18" i="136"/>
  <c r="F25" i="137"/>
  <c r="J25" i="137"/>
  <c r="I30" i="154" s="1"/>
  <c r="D13" i="156" s="1"/>
  <c r="H13" i="156" s="1"/>
  <c r="D25" i="137"/>
  <c r="H25" i="137" s="1"/>
  <c r="I28" i="154" s="1"/>
  <c r="F89" i="37"/>
  <c r="L162" i="154" s="1"/>
  <c r="F85" i="37"/>
  <c r="F87" i="37" s="1"/>
  <c r="L161" i="154" s="1"/>
  <c r="F86" i="37"/>
  <c r="F82" i="37"/>
  <c r="L160" i="154" s="1"/>
  <c r="F75" i="37"/>
  <c r="F80" i="37" s="1"/>
  <c r="L159" i="154" s="1"/>
  <c r="F38" i="130"/>
  <c r="F56" i="130"/>
  <c r="F58" i="130" s="1"/>
  <c r="F40" i="130" s="1"/>
  <c r="F42" i="130" s="1"/>
  <c r="M124" i="154" s="1"/>
  <c r="F26" i="130"/>
  <c r="F47" i="130"/>
  <c r="F49" i="130" s="1"/>
  <c r="F28" i="130" s="1"/>
  <c r="F30" i="130" s="1"/>
  <c r="L124" i="154" s="1"/>
  <c r="D38" i="130"/>
  <c r="D42" i="130" s="1"/>
  <c r="M123" i="154" s="1"/>
  <c r="D26" i="130"/>
  <c r="D30" i="130"/>
  <c r="L123" i="154" s="1"/>
  <c r="J51" i="128"/>
  <c r="J55" i="128" s="1"/>
  <c r="L113" i="154" s="1"/>
  <c r="H51" i="128"/>
  <c r="H55" i="128"/>
  <c r="L112" i="154" s="1"/>
  <c r="D112" i="154" s="1"/>
  <c r="F51" i="128"/>
  <c r="F55" i="128" s="1"/>
  <c r="L111" i="154" s="1"/>
  <c r="D111" i="154" s="1"/>
  <c r="D51" i="128"/>
  <c r="D55" i="128"/>
  <c r="L110" i="154" s="1"/>
  <c r="H75" i="37"/>
  <c r="H80" i="37" s="1"/>
  <c r="M159" i="154" s="1"/>
  <c r="F52" i="37"/>
  <c r="L158" i="154" s="1"/>
  <c r="H49" i="37"/>
  <c r="H48" i="37"/>
  <c r="F48" i="37"/>
  <c r="F49" i="37"/>
  <c r="F50" i="37" s="1"/>
  <c r="L157" i="154" s="1"/>
  <c r="H27" i="37"/>
  <c r="H40" i="37"/>
  <c r="H42" i="37"/>
  <c r="H46" i="37" s="1"/>
  <c r="M156" i="154" s="1"/>
  <c r="F27" i="37"/>
  <c r="F40" i="37"/>
  <c r="F42" i="37"/>
  <c r="F46" i="37" s="1"/>
  <c r="L156" i="154" s="1"/>
  <c r="A58" i="130"/>
  <c r="A59" i="130" s="1"/>
  <c r="A60" i="130" s="1"/>
  <c r="D9" i="130"/>
  <c r="D10" i="130"/>
  <c r="D14" i="130" s="1"/>
  <c r="F9" i="130"/>
  <c r="F10" i="130"/>
  <c r="F14" i="130"/>
  <c r="H52" i="37"/>
  <c r="M158" i="154" s="1"/>
  <c r="H82" i="37"/>
  <c r="M160" i="154" s="1"/>
  <c r="H89" i="37"/>
  <c r="M162" i="154" s="1"/>
  <c r="N29" i="127"/>
  <c r="N28" i="3"/>
  <c r="D42" i="3"/>
  <c r="L84" i="154" s="1"/>
  <c r="D62" i="3"/>
  <c r="M84" i="154" s="1"/>
  <c r="F42" i="3"/>
  <c r="L85" i="154" s="1"/>
  <c r="F62" i="3"/>
  <c r="M85" i="154" s="1"/>
  <c r="H42" i="3"/>
  <c r="L86" i="154" s="1"/>
  <c r="H62" i="3"/>
  <c r="M86" i="154" s="1"/>
  <c r="M102" i="154" s="1"/>
  <c r="L42" i="3"/>
  <c r="L88" i="154" s="1"/>
  <c r="L62" i="3"/>
  <c r="M88" i="154" s="1"/>
  <c r="M104" i="154" s="1"/>
  <c r="J42" i="3"/>
  <c r="L87" i="154" s="1"/>
  <c r="J62" i="3"/>
  <c r="M87" i="154" s="1"/>
  <c r="M103" i="154" s="1"/>
  <c r="P76" i="128"/>
  <c r="P80" i="128"/>
  <c r="N51" i="128"/>
  <c r="N55" i="128" s="1"/>
  <c r="N76" i="128"/>
  <c r="N80" i="128"/>
  <c r="H20" i="138"/>
  <c r="J30" i="37"/>
  <c r="J31" i="37"/>
  <c r="J32" i="37"/>
  <c r="J33" i="37"/>
  <c r="J34" i="37"/>
  <c r="J35" i="37"/>
  <c r="J36" i="37"/>
  <c r="J37" i="37"/>
  <c r="J38" i="37"/>
  <c r="J39" i="37"/>
  <c r="J40" i="37"/>
  <c r="J11" i="37"/>
  <c r="J12" i="37"/>
  <c r="J13" i="37"/>
  <c r="J27" i="37" s="1"/>
  <c r="J42" i="37" s="1"/>
  <c r="J46" i="37" s="1"/>
  <c r="J14" i="37"/>
  <c r="J15" i="37"/>
  <c r="J16" i="37"/>
  <c r="J17" i="37"/>
  <c r="J18" i="37"/>
  <c r="J19" i="37"/>
  <c r="J20" i="37"/>
  <c r="J21" i="37"/>
  <c r="J22" i="37"/>
  <c r="J23" i="37"/>
  <c r="J24" i="37"/>
  <c r="J25" i="37"/>
  <c r="J26" i="37"/>
  <c r="J49" i="37"/>
  <c r="H17" i="149"/>
  <c r="H30" i="149" s="1"/>
  <c r="H15" i="149"/>
  <c r="H14" i="149"/>
  <c r="H13" i="149"/>
  <c r="H12" i="149"/>
  <c r="P13" i="128"/>
  <c r="P14" i="128"/>
  <c r="P15" i="128"/>
  <c r="P16" i="128"/>
  <c r="P17" i="128"/>
  <c r="P18" i="128"/>
  <c r="P19" i="128"/>
  <c r="P20" i="128"/>
  <c r="P21" i="128"/>
  <c r="P22" i="128"/>
  <c r="P23" i="128"/>
  <c r="P24" i="128"/>
  <c r="D12" i="128"/>
  <c r="D24" i="128"/>
  <c r="D13" i="128"/>
  <c r="D26" i="128" s="1"/>
  <c r="D14" i="128"/>
  <c r="D15" i="128"/>
  <c r="D16" i="128"/>
  <c r="D17" i="128"/>
  <c r="D18" i="128"/>
  <c r="D19" i="128"/>
  <c r="D20" i="128"/>
  <c r="D21" i="128"/>
  <c r="D22" i="128"/>
  <c r="D23" i="128"/>
  <c r="F12" i="128"/>
  <c r="F26" i="128" s="1"/>
  <c r="F30" i="128" s="1"/>
  <c r="F24" i="128"/>
  <c r="F18" i="128"/>
  <c r="F19" i="128"/>
  <c r="F20" i="128"/>
  <c r="F21" i="128"/>
  <c r="F13" i="128"/>
  <c r="F14" i="128"/>
  <c r="F15" i="128"/>
  <c r="F16" i="128"/>
  <c r="F17" i="128"/>
  <c r="F22" i="128"/>
  <c r="F23" i="128"/>
  <c r="H12" i="128"/>
  <c r="H24" i="128"/>
  <c r="H13" i="128"/>
  <c r="H26" i="128" s="1"/>
  <c r="H30" i="128" s="1"/>
  <c r="H14" i="128"/>
  <c r="H15" i="128"/>
  <c r="H16" i="128"/>
  <c r="H17" i="128"/>
  <c r="H18" i="128"/>
  <c r="H19" i="128"/>
  <c r="H20" i="128"/>
  <c r="H21" i="128"/>
  <c r="H22" i="128"/>
  <c r="H23" i="128"/>
  <c r="J12" i="128"/>
  <c r="J26" i="128" s="1"/>
  <c r="J30" i="128" s="1"/>
  <c r="J24" i="128"/>
  <c r="J13" i="128"/>
  <c r="J14" i="128"/>
  <c r="J15" i="128"/>
  <c r="J16" i="128"/>
  <c r="J17" i="128"/>
  <c r="J18" i="128"/>
  <c r="J19" i="128"/>
  <c r="J20" i="128"/>
  <c r="J21" i="128"/>
  <c r="J22" i="128"/>
  <c r="J23" i="128"/>
  <c r="L37" i="128"/>
  <c r="L62" i="128"/>
  <c r="L12" i="128"/>
  <c r="L13" i="128"/>
  <c r="L14" i="128"/>
  <c r="L15" i="128"/>
  <c r="L16" i="128"/>
  <c r="L17" i="128"/>
  <c r="L18" i="128"/>
  <c r="L19" i="128"/>
  <c r="L20" i="128"/>
  <c r="L21" i="128"/>
  <c r="L22" i="128"/>
  <c r="L23" i="128"/>
  <c r="L49" i="128"/>
  <c r="L51" i="128" s="1"/>
  <c r="L74" i="128"/>
  <c r="N12" i="128"/>
  <c r="N26" i="128" s="1"/>
  <c r="N30" i="128" s="1"/>
  <c r="N13" i="128"/>
  <c r="N14" i="128"/>
  <c r="N15" i="128"/>
  <c r="N16" i="128"/>
  <c r="N17" i="128"/>
  <c r="N18" i="128"/>
  <c r="N19" i="128"/>
  <c r="N20" i="128"/>
  <c r="N21" i="128"/>
  <c r="N22" i="128"/>
  <c r="N23" i="128"/>
  <c r="N24" i="128"/>
  <c r="I46" i="133"/>
  <c r="J45" i="37"/>
  <c r="J48" i="37"/>
  <c r="J50" i="37" s="1"/>
  <c r="J52" i="37"/>
  <c r="F54" i="37"/>
  <c r="J69" i="37"/>
  <c r="J70" i="37"/>
  <c r="J85" i="37"/>
  <c r="J84" i="37"/>
  <c r="J72" i="37"/>
  <c r="J86" i="37"/>
  <c r="J87" i="37"/>
  <c r="J61" i="37"/>
  <c r="J62" i="37"/>
  <c r="J63" i="37"/>
  <c r="J64" i="37"/>
  <c r="J65" i="37"/>
  <c r="J66" i="37"/>
  <c r="J67" i="37"/>
  <c r="J68" i="37"/>
  <c r="J82" i="37" s="1"/>
  <c r="J71" i="37"/>
  <c r="J73" i="37"/>
  <c r="J74" i="37"/>
  <c r="J75" i="37"/>
  <c r="J80" i="37" s="1"/>
  <c r="J91" i="37" s="1"/>
  <c r="J78" i="37"/>
  <c r="J89" i="37"/>
  <c r="H91" i="37"/>
  <c r="F91" i="37"/>
  <c r="D10" i="129"/>
  <c r="D11" i="129"/>
  <c r="D12" i="129"/>
  <c r="D13" i="129"/>
  <c r="D14" i="129"/>
  <c r="D15" i="129"/>
  <c r="D16" i="129"/>
  <c r="D17" i="129"/>
  <c r="D18" i="129"/>
  <c r="D19" i="129"/>
  <c r="D20" i="129"/>
  <c r="D21" i="129"/>
  <c r="N29" i="3"/>
  <c r="D55" i="134"/>
  <c r="D56" i="134"/>
  <c r="D57" i="134"/>
  <c r="D58" i="134"/>
  <c r="D59" i="134"/>
  <c r="D60" i="134"/>
  <c r="D61" i="134"/>
  <c r="D62" i="134"/>
  <c r="D63" i="134"/>
  <c r="D64" i="134"/>
  <c r="D65" i="134"/>
  <c r="D66" i="134"/>
  <c r="F55" i="134"/>
  <c r="F56" i="134"/>
  <c r="F57" i="134"/>
  <c r="F58" i="134"/>
  <c r="F59" i="134"/>
  <c r="F60" i="134"/>
  <c r="F61" i="134"/>
  <c r="F62" i="134"/>
  <c r="F63" i="134"/>
  <c r="F64" i="134"/>
  <c r="F65" i="134"/>
  <c r="F66" i="134"/>
  <c r="H55" i="134"/>
  <c r="H56" i="134"/>
  <c r="H57" i="134"/>
  <c r="H58" i="134"/>
  <c r="H59" i="134"/>
  <c r="H60" i="134"/>
  <c r="H61" i="134"/>
  <c r="H62" i="134"/>
  <c r="H63" i="134"/>
  <c r="H64" i="134"/>
  <c r="H65" i="134"/>
  <c r="H66" i="134"/>
  <c r="J55" i="134"/>
  <c r="J56" i="134"/>
  <c r="J57" i="134"/>
  <c r="J58" i="134"/>
  <c r="J59" i="134"/>
  <c r="J60" i="134"/>
  <c r="J61" i="134"/>
  <c r="J62" i="134"/>
  <c r="J63" i="134"/>
  <c r="J64" i="134"/>
  <c r="J65" i="134"/>
  <c r="J66" i="134"/>
  <c r="L55" i="134"/>
  <c r="L56" i="134"/>
  <c r="L57" i="134"/>
  <c r="L58" i="134"/>
  <c r="L59" i="134"/>
  <c r="L60" i="134"/>
  <c r="L61" i="134"/>
  <c r="L62" i="134"/>
  <c r="L63" i="134"/>
  <c r="L64" i="134"/>
  <c r="L65" i="134"/>
  <c r="L66" i="134"/>
  <c r="L33" i="134"/>
  <c r="L34" i="134"/>
  <c r="L35" i="134"/>
  <c r="L36" i="134"/>
  <c r="L37" i="134"/>
  <c r="L38" i="134"/>
  <c r="L39" i="134"/>
  <c r="L40" i="134"/>
  <c r="L41" i="134"/>
  <c r="L42" i="134"/>
  <c r="L43" i="134"/>
  <c r="L44" i="134"/>
  <c r="J33" i="134"/>
  <c r="J34" i="134"/>
  <c r="J35" i="134"/>
  <c r="J36" i="134"/>
  <c r="J37" i="134"/>
  <c r="J38" i="134"/>
  <c r="J39" i="134"/>
  <c r="J40" i="134"/>
  <c r="J41" i="134"/>
  <c r="J42" i="134"/>
  <c r="J43" i="134"/>
  <c r="J44" i="134"/>
  <c r="H33" i="134"/>
  <c r="H34" i="134"/>
  <c r="H35" i="134"/>
  <c r="H36" i="134"/>
  <c r="H37" i="134"/>
  <c r="H38" i="134"/>
  <c r="H39" i="134"/>
  <c r="H40" i="134"/>
  <c r="H41" i="134"/>
  <c r="H42" i="134"/>
  <c r="H43" i="134"/>
  <c r="H44" i="134"/>
  <c r="F33" i="134"/>
  <c r="F34" i="134"/>
  <c r="F35" i="134"/>
  <c r="F36" i="134"/>
  <c r="F37" i="134"/>
  <c r="F38" i="134"/>
  <c r="F39" i="134"/>
  <c r="F40" i="134"/>
  <c r="F41" i="134"/>
  <c r="F42" i="134"/>
  <c r="F43" i="134"/>
  <c r="F44" i="134"/>
  <c r="D33" i="134"/>
  <c r="D34" i="134"/>
  <c r="D35" i="134"/>
  <c r="D36" i="134"/>
  <c r="D37" i="134"/>
  <c r="D38" i="134"/>
  <c r="D39" i="134"/>
  <c r="D40" i="134"/>
  <c r="D41" i="134"/>
  <c r="D42" i="134"/>
  <c r="D43" i="134"/>
  <c r="D44" i="134"/>
  <c r="H12" i="137"/>
  <c r="L12" i="137" s="1"/>
  <c r="H13" i="137"/>
  <c r="L13" i="137"/>
  <c r="H14" i="137"/>
  <c r="L14" i="137" s="1"/>
  <c r="H15" i="137"/>
  <c r="L15" i="137"/>
  <c r="H16" i="137"/>
  <c r="L16" i="137" s="1"/>
  <c r="H17" i="137"/>
  <c r="L17" i="137"/>
  <c r="H18" i="137"/>
  <c r="L18" i="137" s="1"/>
  <c r="H19" i="137"/>
  <c r="L19" i="137"/>
  <c r="H20" i="137"/>
  <c r="L20" i="137" s="1"/>
  <c r="H21" i="137"/>
  <c r="L21" i="137"/>
  <c r="H22" i="137"/>
  <c r="L22" i="137" s="1"/>
  <c r="H23" i="137"/>
  <c r="L23" i="137"/>
  <c r="A12" i="137"/>
  <c r="A13" i="137"/>
  <c r="A14" i="137"/>
  <c r="A15" i="137" s="1"/>
  <c r="A16" i="137" s="1"/>
  <c r="A17" i="137" s="1"/>
  <c r="A18" i="137" s="1"/>
  <c r="A19" i="137" s="1"/>
  <c r="A20" i="137" s="1"/>
  <c r="A21" i="137" s="1"/>
  <c r="A22" i="137" s="1"/>
  <c r="A23" i="137" s="1"/>
  <c r="A24" i="137" s="1"/>
  <c r="A25" i="137" s="1"/>
  <c r="F59" i="130"/>
  <c r="F60" i="130" s="1"/>
  <c r="F50" i="130"/>
  <c r="F51" i="130"/>
  <c r="A11" i="132"/>
  <c r="A12" i="132" s="1"/>
  <c r="A13" i="132" s="1"/>
  <c r="A14" i="132" s="1"/>
  <c r="A15" i="132" s="1"/>
  <c r="A16" i="132" s="1"/>
  <c r="A17" i="132" s="1"/>
  <c r="A18" i="132" s="1"/>
  <c r="A19" i="132" s="1"/>
  <c r="A20" i="132" s="1"/>
  <c r="A21" i="132" s="1"/>
  <c r="A22" i="132" s="1"/>
  <c r="A23" i="132" s="1"/>
  <c r="A24" i="132" s="1"/>
  <c r="A25" i="132" s="1"/>
  <c r="A26" i="132" s="1"/>
  <c r="A27" i="132" s="1"/>
  <c r="A28" i="132" s="1"/>
  <c r="A29" i="132" s="1"/>
  <c r="A30" i="132" s="1"/>
  <c r="A31" i="132" s="1"/>
  <c r="A32" i="132" s="1"/>
  <c r="A33" i="132" s="1"/>
  <c r="A34" i="132" s="1"/>
  <c r="J11" i="132"/>
  <c r="J12" i="132"/>
  <c r="J13" i="132"/>
  <c r="J17" i="132"/>
  <c r="J18" i="132"/>
  <c r="J21" i="132" s="1"/>
  <c r="F32" i="132" s="1"/>
  <c r="J19" i="132"/>
  <c r="F21" i="132"/>
  <c r="H21" i="132"/>
  <c r="F28" i="132"/>
  <c r="J28" i="132"/>
  <c r="A11" i="131"/>
  <c r="J11" i="131"/>
  <c r="A12" i="131"/>
  <c r="A13" i="131" s="1"/>
  <c r="A14" i="131" s="1"/>
  <c r="A15" i="131" s="1"/>
  <c r="A16" i="131" s="1"/>
  <c r="A18" i="131" s="1"/>
  <c r="A19" i="131" s="1"/>
  <c r="A20" i="131" s="1"/>
  <c r="A21" i="131" s="1"/>
  <c r="A22" i="131" s="1"/>
  <c r="A23" i="131" s="1"/>
  <c r="A24" i="131" s="1"/>
  <c r="A25" i="131" s="1"/>
  <c r="A26" i="131" s="1"/>
  <c r="A27" i="131" s="1"/>
  <c r="A28" i="131" s="1"/>
  <c r="A29" i="131" s="1"/>
  <c r="A30" i="131" s="1"/>
  <c r="A31" i="131" s="1"/>
  <c r="A32" i="131" s="1"/>
  <c r="A33" i="131" s="1"/>
  <c r="A34" i="131" s="1"/>
  <c r="A35" i="131" s="1"/>
  <c r="A36" i="131" s="1"/>
  <c r="A37" i="131" s="1"/>
  <c r="A38" i="131" s="1"/>
  <c r="A39" i="131" s="1"/>
  <c r="J12" i="131"/>
  <c r="J17" i="131"/>
  <c r="J18" i="131"/>
  <c r="J22" i="131" s="1"/>
  <c r="J19" i="131"/>
  <c r="J20" i="131"/>
  <c r="J26" i="131"/>
  <c r="J31" i="131" s="1"/>
  <c r="J27" i="131"/>
  <c r="J28" i="131"/>
  <c r="J29" i="131"/>
  <c r="F31" i="131"/>
  <c r="H31" i="131"/>
  <c r="J35" i="131"/>
  <c r="J39" i="131" s="1"/>
  <c r="J36" i="131"/>
  <c r="J37" i="131"/>
  <c r="F39" i="131"/>
  <c r="H39" i="131"/>
  <c r="A11" i="84"/>
  <c r="A12" i="84" s="1"/>
  <c r="A13" i="84" s="1"/>
  <c r="A14" i="84" s="1"/>
  <c r="A15" i="84" s="1"/>
  <c r="A16" i="84" s="1"/>
  <c r="A17" i="84" s="1"/>
  <c r="A18" i="84" s="1"/>
  <c r="A19" i="84" s="1"/>
  <c r="A20" i="84" s="1"/>
  <c r="A21" i="84" s="1"/>
  <c r="A22" i="84" s="1"/>
  <c r="A23" i="84" s="1"/>
  <c r="A24" i="84" s="1"/>
  <c r="A25" i="84" s="1"/>
  <c r="A26" i="84" s="1"/>
  <c r="J12" i="84"/>
  <c r="J13" i="84"/>
  <c r="J17" i="84"/>
  <c r="J18" i="84"/>
  <c r="J19" i="84"/>
  <c r="J20" i="84"/>
  <c r="F23" i="84"/>
  <c r="J23" i="84" s="1"/>
  <c r="H23" i="84"/>
  <c r="J26" i="84"/>
  <c r="J10" i="138"/>
  <c r="A11" i="138"/>
  <c r="A12" i="138" s="1"/>
  <c r="A13" i="138" s="1"/>
  <c r="A14" i="138" s="1"/>
  <c r="A15" i="138" s="1"/>
  <c r="A16" i="138" s="1"/>
  <c r="A17" i="138" s="1"/>
  <c r="A18" i="138" s="1"/>
  <c r="A19" i="138" s="1"/>
  <c r="A20" i="138" s="1"/>
  <c r="J12" i="138"/>
  <c r="J14" i="138"/>
  <c r="J16" i="138"/>
  <c r="J18" i="138"/>
  <c r="F20" i="138"/>
  <c r="J20" i="138"/>
  <c r="F93" i="37"/>
  <c r="D16" i="130"/>
  <c r="F16" i="130"/>
  <c r="D9" i="129"/>
  <c r="D23" i="129" s="1"/>
  <c r="A47" i="129"/>
  <c r="A48" i="129" s="1"/>
  <c r="A49" i="129" s="1"/>
  <c r="A50" i="129" s="1"/>
  <c r="A51" i="129" s="1"/>
  <c r="A52" i="129" s="1"/>
  <c r="A53" i="129" s="1"/>
  <c r="A54" i="129" s="1"/>
  <c r="A55" i="129" s="1"/>
  <c r="A56" i="129" s="1"/>
  <c r="A57" i="129" s="1"/>
  <c r="A58" i="129" s="1"/>
  <c r="A59" i="129" s="1"/>
  <c r="A60" i="129" s="1"/>
  <c r="A61" i="129" s="1"/>
  <c r="A12" i="128"/>
  <c r="A13" i="128" s="1"/>
  <c r="A14" i="128" s="1"/>
  <c r="A15" i="128" s="1"/>
  <c r="A16" i="128" s="1"/>
  <c r="A17" i="128" s="1"/>
  <c r="A18" i="128" s="1"/>
  <c r="A19" i="128" s="1"/>
  <c r="A20" i="128" s="1"/>
  <c r="A21" i="128" s="1"/>
  <c r="A22" i="128" s="1"/>
  <c r="A23" i="128" s="1"/>
  <c r="A24" i="128" s="1"/>
  <c r="A25" i="128" s="1"/>
  <c r="A26" i="128" s="1"/>
  <c r="A27" i="128" s="1"/>
  <c r="A28" i="128" s="1"/>
  <c r="A29" i="128" s="1"/>
  <c r="A30" i="128" s="1"/>
  <c r="A31" i="128" s="1"/>
  <c r="A32" i="128" s="1"/>
  <c r="A33" i="128" s="1"/>
  <c r="A34" i="128" s="1"/>
  <c r="A35" i="128" s="1"/>
  <c r="A36" i="128" s="1"/>
  <c r="A37" i="128" s="1"/>
  <c r="A38" i="128" s="1"/>
  <c r="A39" i="128" s="1"/>
  <c r="A40" i="128" s="1"/>
  <c r="A41" i="128" s="1"/>
  <c r="A42" i="128" s="1"/>
  <c r="A43" i="128" s="1"/>
  <c r="A44" i="128" s="1"/>
  <c r="A45" i="128" s="1"/>
  <c r="A46" i="128" s="1"/>
  <c r="A47" i="128" s="1"/>
  <c r="A48" i="128" s="1"/>
  <c r="A49" i="128" s="1"/>
  <c r="A50" i="128" s="1"/>
  <c r="A51" i="128" s="1"/>
  <c r="A52" i="128" s="1"/>
  <c r="A53" i="128" s="1"/>
  <c r="A54" i="128" s="1"/>
  <c r="A55" i="128" s="1"/>
  <c r="A56" i="128" s="1"/>
  <c r="A57" i="128" s="1"/>
  <c r="A58" i="128" s="1"/>
  <c r="A59" i="128" s="1"/>
  <c r="A60" i="128" s="1"/>
  <c r="A61" i="128" s="1"/>
  <c r="A62" i="128" s="1"/>
  <c r="A63" i="128" s="1"/>
  <c r="A64" i="128" s="1"/>
  <c r="A65" i="128" s="1"/>
  <c r="A66" i="128" s="1"/>
  <c r="A67" i="128" s="1"/>
  <c r="A68" i="128" s="1"/>
  <c r="A69" i="128" s="1"/>
  <c r="A70" i="128" s="1"/>
  <c r="A71" i="128" s="1"/>
  <c r="A72" i="128" s="1"/>
  <c r="A73" i="128" s="1"/>
  <c r="A74" i="128" s="1"/>
  <c r="A75" i="128" s="1"/>
  <c r="A76" i="128" s="1"/>
  <c r="A77" i="128" s="1"/>
  <c r="A78" i="128" s="1"/>
  <c r="A79" i="128" s="1"/>
  <c r="A80" i="128" s="1"/>
  <c r="I12" i="128"/>
  <c r="K12" i="128"/>
  <c r="O12" i="128"/>
  <c r="Q12" i="128"/>
  <c r="I13" i="128"/>
  <c r="K13" i="128"/>
  <c r="R13" i="128" s="1"/>
  <c r="O13" i="128"/>
  <c r="Q13" i="128"/>
  <c r="I14" i="128"/>
  <c r="K14" i="128"/>
  <c r="O14" i="128"/>
  <c r="Q14" i="128"/>
  <c r="R14" i="128"/>
  <c r="I15" i="128"/>
  <c r="K15" i="128"/>
  <c r="R15" i="128" s="1"/>
  <c r="O15" i="128"/>
  <c r="Q15" i="128"/>
  <c r="I16" i="128"/>
  <c r="K16" i="128"/>
  <c r="O16" i="128"/>
  <c r="Q16" i="128"/>
  <c r="R16" i="128"/>
  <c r="I17" i="128"/>
  <c r="K17" i="128"/>
  <c r="O17" i="128"/>
  <c r="R17" i="128" s="1"/>
  <c r="Q17" i="128"/>
  <c r="I18" i="128"/>
  <c r="K18" i="128"/>
  <c r="O18" i="128"/>
  <c r="Q18" i="128"/>
  <c r="R18" i="128"/>
  <c r="I19" i="128"/>
  <c r="K19" i="128"/>
  <c r="O19" i="128"/>
  <c r="R19" i="128" s="1"/>
  <c r="Q19" i="128"/>
  <c r="I20" i="128"/>
  <c r="K20" i="128"/>
  <c r="O20" i="128"/>
  <c r="Q20" i="128"/>
  <c r="R20" i="128"/>
  <c r="I21" i="128"/>
  <c r="K21" i="128"/>
  <c r="O21" i="128"/>
  <c r="R21" i="128" s="1"/>
  <c r="Q21" i="128"/>
  <c r="I22" i="128"/>
  <c r="K22" i="128"/>
  <c r="O22" i="128"/>
  <c r="Q22" i="128"/>
  <c r="R22" i="128"/>
  <c r="I23" i="128"/>
  <c r="K23" i="128"/>
  <c r="O23" i="128"/>
  <c r="R23" i="128" s="1"/>
  <c r="Q23" i="128"/>
  <c r="I24" i="128"/>
  <c r="K24" i="128"/>
  <c r="O24" i="128"/>
  <c r="Q24" i="128"/>
  <c r="D27" i="128"/>
  <c r="H27" i="128"/>
  <c r="J27" i="128"/>
  <c r="N27" i="128"/>
  <c r="P27" i="128"/>
  <c r="R77" i="128"/>
  <c r="R52" i="128"/>
  <c r="R27" i="128" s="1"/>
  <c r="D28" i="128"/>
  <c r="F28" i="128"/>
  <c r="H28" i="128"/>
  <c r="J28" i="128"/>
  <c r="N28" i="128"/>
  <c r="P28" i="128"/>
  <c r="R78" i="128"/>
  <c r="R53" i="128"/>
  <c r="R28" i="128" s="1"/>
  <c r="R38" i="128"/>
  <c r="R39" i="128"/>
  <c r="R40" i="128"/>
  <c r="R41" i="128"/>
  <c r="R42" i="128"/>
  <c r="R43" i="128"/>
  <c r="R44" i="128"/>
  <c r="R45" i="128"/>
  <c r="R46" i="128"/>
  <c r="R47" i="128"/>
  <c r="R48" i="128"/>
  <c r="R49" i="128"/>
  <c r="R62" i="128"/>
  <c r="R63" i="128"/>
  <c r="R64" i="128"/>
  <c r="R65" i="128"/>
  <c r="R66" i="128"/>
  <c r="R67" i="128"/>
  <c r="R68" i="128"/>
  <c r="R69" i="128"/>
  <c r="R70" i="128"/>
  <c r="R71" i="128"/>
  <c r="R72" i="128"/>
  <c r="R73" i="128"/>
  <c r="R74" i="128"/>
  <c r="L76" i="128"/>
  <c r="R76" i="128"/>
  <c r="L80" i="128"/>
  <c r="R80" i="128"/>
  <c r="A8" i="133"/>
  <c r="A9" i="133" s="1"/>
  <c r="A10" i="133"/>
  <c r="A11" i="133" s="1"/>
  <c r="A12" i="133" s="1"/>
  <c r="A15" i="133" s="1"/>
  <c r="A16" i="133"/>
  <c r="A17" i="133" s="1"/>
  <c r="A18" i="133" s="1"/>
  <c r="A19" i="133" s="1"/>
  <c r="A20" i="133" s="1"/>
  <c r="A21" i="133" s="1"/>
  <c r="A22" i="133" s="1"/>
  <c r="A23" i="133" s="1"/>
  <c r="A24" i="133" s="1"/>
  <c r="A25" i="133" s="1"/>
  <c r="A26" i="133" s="1"/>
  <c r="A27" i="133" s="1"/>
  <c r="A28" i="133" s="1"/>
  <c r="A29" i="133" s="1"/>
  <c r="A30" i="133" s="1"/>
  <c r="A31" i="133" s="1"/>
  <c r="A32" i="133" s="1"/>
  <c r="A33" i="133" s="1"/>
  <c r="A34" i="133" s="1"/>
  <c r="A35" i="133" s="1"/>
  <c r="A36" i="133" s="1"/>
  <c r="A37" i="133" s="1"/>
  <c r="A38" i="133" s="1"/>
  <c r="A39" i="133" s="1"/>
  <c r="A40" i="133" s="1"/>
  <c r="A41" i="133" s="1"/>
  <c r="A42" i="133" s="1"/>
  <c r="A43" i="133" s="1"/>
  <c r="A44" i="133" s="1"/>
  <c r="A45" i="133" s="1"/>
  <c r="A46" i="133" s="1"/>
  <c r="A47" i="133" s="1"/>
  <c r="A48" i="133" s="1"/>
  <c r="A49" i="133" s="1"/>
  <c r="A50" i="133" s="1"/>
  <c r="A51" i="133" s="1"/>
  <c r="A52" i="133" s="1"/>
  <c r="A53" i="133" s="1"/>
  <c r="A54" i="133" s="1"/>
  <c r="A55" i="133" s="1"/>
  <c r="A56" i="133" s="1"/>
  <c r="A57" i="133" s="1"/>
  <c r="A58" i="133" s="1"/>
  <c r="A59" i="133" s="1"/>
  <c r="A60" i="133" s="1"/>
  <c r="A61" i="133" s="1"/>
  <c r="A62" i="133" s="1"/>
  <c r="A63" i="133" s="1"/>
  <c r="A64" i="133" s="1"/>
  <c r="A65" i="133" s="1"/>
  <c r="A66" i="133" s="1"/>
  <c r="A67" i="133" s="1"/>
  <c r="A68" i="133" s="1"/>
  <c r="A69" i="133" s="1"/>
  <c r="A70" i="133" s="1"/>
  <c r="A71" i="133" s="1"/>
  <c r="A72" i="133" s="1"/>
  <c r="A73" i="133" s="1"/>
  <c r="A74" i="133" s="1"/>
  <c r="A75" i="133" s="1"/>
  <c r="A76" i="133" s="1"/>
  <c r="A77" i="133" s="1"/>
  <c r="A78" i="133" s="1"/>
  <c r="A79" i="133" s="1"/>
  <c r="A80" i="133" s="1"/>
  <c r="A81" i="133" s="1"/>
  <c r="F23" i="133"/>
  <c r="E23" i="133"/>
  <c r="I23" i="133" s="1"/>
  <c r="F24" i="133"/>
  <c r="E24" i="133"/>
  <c r="F25" i="133"/>
  <c r="E25" i="133"/>
  <c r="I25" i="133" s="1"/>
  <c r="F26" i="133"/>
  <c r="E26" i="133"/>
  <c r="F27" i="133"/>
  <c r="E27" i="133"/>
  <c r="I27" i="133" s="1"/>
  <c r="F28" i="133"/>
  <c r="E28" i="133"/>
  <c r="F29" i="133"/>
  <c r="E29" i="133"/>
  <c r="I29" i="133" s="1"/>
  <c r="F30" i="133"/>
  <c r="E30" i="133"/>
  <c r="F31" i="133"/>
  <c r="E31" i="133"/>
  <c r="I31" i="133" s="1"/>
  <c r="F32" i="133"/>
  <c r="E32" i="133"/>
  <c r="F33" i="133"/>
  <c r="E33" i="133"/>
  <c r="I33" i="133" s="1"/>
  <c r="F34" i="133"/>
  <c r="E34" i="133"/>
  <c r="I34" i="133" s="1"/>
  <c r="F35" i="133"/>
  <c r="E35" i="133"/>
  <c r="E37" i="133" s="1"/>
  <c r="I47" i="133"/>
  <c r="I48" i="133"/>
  <c r="I49" i="133"/>
  <c r="I50" i="133"/>
  <c r="I51" i="133"/>
  <c r="I52" i="133"/>
  <c r="I53" i="133"/>
  <c r="I54" i="133"/>
  <c r="I55" i="133"/>
  <c r="I56" i="133"/>
  <c r="I57" i="133"/>
  <c r="E59" i="133"/>
  <c r="I59" i="133"/>
  <c r="L107" i="154" s="1"/>
  <c r="I67" i="133"/>
  <c r="I68" i="133"/>
  <c r="I81" i="133" s="1"/>
  <c r="M107" i="154" s="1"/>
  <c r="I69" i="133"/>
  <c r="I70" i="133"/>
  <c r="I71" i="133"/>
  <c r="I72" i="133"/>
  <c r="I73" i="133"/>
  <c r="I74" i="133"/>
  <c r="I75" i="133"/>
  <c r="I76" i="133"/>
  <c r="I77" i="133"/>
  <c r="I78" i="133"/>
  <c r="I79" i="133"/>
  <c r="E81" i="133"/>
  <c r="A10" i="134"/>
  <c r="D32" i="134"/>
  <c r="D10" i="134" s="1"/>
  <c r="N10" i="134" s="1"/>
  <c r="D54" i="134"/>
  <c r="F32" i="134"/>
  <c r="F54" i="134"/>
  <c r="F10" i="134"/>
  <c r="G10" i="134"/>
  <c r="H32" i="134"/>
  <c r="H54" i="134"/>
  <c r="H10" i="134"/>
  <c r="I10" i="134"/>
  <c r="J32" i="134"/>
  <c r="J54" i="134"/>
  <c r="J10" i="134"/>
  <c r="K10" i="134"/>
  <c r="L32" i="134"/>
  <c r="L54" i="134"/>
  <c r="L10" i="134"/>
  <c r="A11" i="134"/>
  <c r="D11" i="134"/>
  <c r="F11" i="134"/>
  <c r="N11" i="134" s="1"/>
  <c r="G11" i="134"/>
  <c r="H11" i="134"/>
  <c r="I11" i="134"/>
  <c r="J11" i="134"/>
  <c r="K11" i="134"/>
  <c r="L11" i="134"/>
  <c r="A12" i="134"/>
  <c r="A13" i="134" s="1"/>
  <c r="A14" i="134" s="1"/>
  <c r="A15" i="134" s="1"/>
  <c r="A16" i="134" s="1"/>
  <c r="A17" i="134" s="1"/>
  <c r="A18" i="134" s="1"/>
  <c r="A19" i="134" s="1"/>
  <c r="A20" i="134" s="1"/>
  <c r="A21" i="134" s="1"/>
  <c r="A22" i="134" s="1"/>
  <c r="A23" i="134" s="1"/>
  <c r="A24" i="134" s="1"/>
  <c r="A31" i="134" s="1"/>
  <c r="A32" i="134" s="1"/>
  <c r="A33" i="134" s="1"/>
  <c r="A34" i="134" s="1"/>
  <c r="A35" i="134" s="1"/>
  <c r="A36" i="134" s="1"/>
  <c r="A37" i="134" s="1"/>
  <c r="A38" i="134" s="1"/>
  <c r="A39" i="134" s="1"/>
  <c r="A40" i="134" s="1"/>
  <c r="A41" i="134" s="1"/>
  <c r="A42" i="134" s="1"/>
  <c r="A43" i="134" s="1"/>
  <c r="A44" i="134" s="1"/>
  <c r="A45" i="134" s="1"/>
  <c r="A46" i="134" s="1"/>
  <c r="A53" i="134" s="1"/>
  <c r="A54" i="134" s="1"/>
  <c r="A55" i="134" s="1"/>
  <c r="A56" i="134" s="1"/>
  <c r="A57" i="134" s="1"/>
  <c r="A58" i="134" s="1"/>
  <c r="A59" i="134" s="1"/>
  <c r="A60" i="134" s="1"/>
  <c r="A61" i="134" s="1"/>
  <c r="A62" i="134" s="1"/>
  <c r="A63" i="134" s="1"/>
  <c r="A64" i="134" s="1"/>
  <c r="A65" i="134" s="1"/>
  <c r="A66" i="134" s="1"/>
  <c r="A67" i="134" s="1"/>
  <c r="A68" i="134" s="1"/>
  <c r="D12" i="134"/>
  <c r="F12" i="134"/>
  <c r="G12" i="134"/>
  <c r="N12" i="134" s="1"/>
  <c r="H12" i="134"/>
  <c r="I12" i="134"/>
  <c r="J12" i="134"/>
  <c r="K12" i="134"/>
  <c r="L12" i="134"/>
  <c r="D13" i="134"/>
  <c r="F13" i="134"/>
  <c r="N13" i="134" s="1"/>
  <c r="G13" i="134"/>
  <c r="H13" i="134"/>
  <c r="I13" i="134"/>
  <c r="J13" i="134"/>
  <c r="K13" i="134"/>
  <c r="L13" i="134"/>
  <c r="D14" i="134"/>
  <c r="F14" i="134"/>
  <c r="G14" i="134"/>
  <c r="N14" i="134" s="1"/>
  <c r="H14" i="134"/>
  <c r="I14" i="134"/>
  <c r="J14" i="134"/>
  <c r="K14" i="134"/>
  <c r="L14" i="134"/>
  <c r="D15" i="134"/>
  <c r="F15" i="134"/>
  <c r="N15" i="134" s="1"/>
  <c r="G15" i="134"/>
  <c r="H15" i="134"/>
  <c r="I15" i="134"/>
  <c r="J15" i="134"/>
  <c r="K15" i="134"/>
  <c r="L15" i="134"/>
  <c r="D16" i="134"/>
  <c r="F16" i="134"/>
  <c r="G16" i="134"/>
  <c r="N16" i="134" s="1"/>
  <c r="H16" i="134"/>
  <c r="I16" i="134"/>
  <c r="J16" i="134"/>
  <c r="K16" i="134"/>
  <c r="L16" i="134"/>
  <c r="D17" i="134"/>
  <c r="F17" i="134"/>
  <c r="N17" i="134" s="1"/>
  <c r="G17" i="134"/>
  <c r="H17" i="134"/>
  <c r="I17" i="134"/>
  <c r="J17" i="134"/>
  <c r="K17" i="134"/>
  <c r="L17" i="134"/>
  <c r="D18" i="134"/>
  <c r="F18" i="134"/>
  <c r="G18" i="134"/>
  <c r="N18" i="134" s="1"/>
  <c r="H18" i="134"/>
  <c r="I18" i="134"/>
  <c r="J18" i="134"/>
  <c r="K18" i="134"/>
  <c r="L18" i="134"/>
  <c r="D19" i="134"/>
  <c r="F19" i="134"/>
  <c r="N19" i="134" s="1"/>
  <c r="G19" i="134"/>
  <c r="H19" i="134"/>
  <c r="I19" i="134"/>
  <c r="J19" i="134"/>
  <c r="K19" i="134"/>
  <c r="L19" i="134"/>
  <c r="D20" i="134"/>
  <c r="F20" i="134"/>
  <c r="G20" i="134"/>
  <c r="N20" i="134" s="1"/>
  <c r="H20" i="134"/>
  <c r="I20" i="134"/>
  <c r="J20" i="134"/>
  <c r="K20" i="134"/>
  <c r="L20" i="134"/>
  <c r="D21" i="134"/>
  <c r="F21" i="134"/>
  <c r="N21" i="134" s="1"/>
  <c r="G21" i="134"/>
  <c r="H21" i="134"/>
  <c r="I21" i="134"/>
  <c r="J21" i="134"/>
  <c r="K21" i="134"/>
  <c r="L21" i="134"/>
  <c r="D22" i="134"/>
  <c r="F22" i="134"/>
  <c r="G22" i="134"/>
  <c r="N22" i="134" s="1"/>
  <c r="H22" i="134"/>
  <c r="I22" i="134"/>
  <c r="J22" i="134"/>
  <c r="K22" i="134"/>
  <c r="L22" i="134"/>
  <c r="D46" i="134"/>
  <c r="D24" i="134" s="1"/>
  <c r="D68" i="134"/>
  <c r="F46" i="134"/>
  <c r="F24" i="134" s="1"/>
  <c r="F68" i="134"/>
  <c r="H46" i="134"/>
  <c r="H68" i="134"/>
  <c r="H24" i="134"/>
  <c r="J46" i="134"/>
  <c r="J68" i="134"/>
  <c r="J24" i="134"/>
  <c r="L46" i="134"/>
  <c r="L24" i="134" s="1"/>
  <c r="L68" i="134"/>
  <c r="N30" i="3"/>
  <c r="N42" i="3" s="1"/>
  <c r="N31" i="3"/>
  <c r="N32" i="3"/>
  <c r="N33" i="3"/>
  <c r="N34" i="3"/>
  <c r="N35" i="3"/>
  <c r="N36" i="3"/>
  <c r="N37" i="3"/>
  <c r="N38" i="3"/>
  <c r="N39" i="3"/>
  <c r="N40" i="3"/>
  <c r="N30" i="127"/>
  <c r="N31" i="127"/>
  <c r="N43" i="127" s="1"/>
  <c r="N22" i="127" s="1"/>
  <c r="N32" i="127"/>
  <c r="N33" i="127"/>
  <c r="N34" i="127"/>
  <c r="N35" i="127"/>
  <c r="N36" i="127"/>
  <c r="N37" i="127"/>
  <c r="N38" i="127"/>
  <c r="N39" i="127"/>
  <c r="N40" i="127"/>
  <c r="N41" i="127"/>
  <c r="N48" i="3"/>
  <c r="N62" i="3" s="1"/>
  <c r="N68" i="134" s="1"/>
  <c r="N49" i="3"/>
  <c r="N50" i="3"/>
  <c r="N51" i="3"/>
  <c r="N52" i="3"/>
  <c r="N53" i="3"/>
  <c r="N54" i="3"/>
  <c r="N55" i="3"/>
  <c r="N56" i="3"/>
  <c r="N57" i="3"/>
  <c r="N58" i="3"/>
  <c r="N59" i="3"/>
  <c r="N60" i="3"/>
  <c r="N50" i="127"/>
  <c r="N51" i="127"/>
  <c r="N52" i="127"/>
  <c r="N53" i="127"/>
  <c r="N54" i="127"/>
  <c r="N55" i="127"/>
  <c r="N56" i="127"/>
  <c r="N57" i="127"/>
  <c r="N58" i="127"/>
  <c r="N59" i="127"/>
  <c r="N60" i="127"/>
  <c r="N61" i="127"/>
  <c r="N62" i="127"/>
  <c r="N64" i="127"/>
  <c r="N32" i="134"/>
  <c r="N33" i="134"/>
  <c r="N34" i="134"/>
  <c r="N35" i="134"/>
  <c r="N36" i="134"/>
  <c r="N37" i="134"/>
  <c r="N38" i="134"/>
  <c r="N39" i="134"/>
  <c r="N40" i="134"/>
  <c r="N41" i="134"/>
  <c r="N42" i="134"/>
  <c r="N43" i="134"/>
  <c r="N44" i="134"/>
  <c r="N54" i="134"/>
  <c r="N55" i="134"/>
  <c r="N56" i="134"/>
  <c r="N57" i="134"/>
  <c r="N58" i="134"/>
  <c r="N59" i="134"/>
  <c r="N60" i="134"/>
  <c r="N61" i="134"/>
  <c r="N62" i="134"/>
  <c r="N63" i="134"/>
  <c r="N64" i="134"/>
  <c r="N65" i="134"/>
  <c r="N66" i="134"/>
  <c r="A8" i="127"/>
  <c r="A9" i="127" s="1"/>
  <c r="A10" i="127" s="1"/>
  <c r="A11" i="127" s="1"/>
  <c r="A12" i="127" s="1"/>
  <c r="A13" i="127" s="1"/>
  <c r="A14" i="127" s="1"/>
  <c r="A15" i="127" s="1"/>
  <c r="A16" i="127" s="1"/>
  <c r="A17" i="127" s="1"/>
  <c r="A18" i="127" s="1"/>
  <c r="A19" i="127" s="1"/>
  <c r="A20" i="127" s="1"/>
  <c r="A21" i="127" s="1"/>
  <c r="A22" i="127" s="1"/>
  <c r="A28" i="127" s="1"/>
  <c r="A29" i="127" s="1"/>
  <c r="A30" i="127" s="1"/>
  <c r="A31" i="127" s="1"/>
  <c r="A32" i="127" s="1"/>
  <c r="A33" i="127" s="1"/>
  <c r="A34" i="127" s="1"/>
  <c r="A35" i="127" s="1"/>
  <c r="A36" i="127" s="1"/>
  <c r="A37" i="127" s="1"/>
  <c r="A38" i="127" s="1"/>
  <c r="A39" i="127" s="1"/>
  <c r="A40" i="127" s="1"/>
  <c r="A41" i="127" s="1"/>
  <c r="A42" i="127" s="1"/>
  <c r="A43" i="127" s="1"/>
  <c r="A49" i="127" s="1"/>
  <c r="A50" i="127" s="1"/>
  <c r="A51" i="127" s="1"/>
  <c r="A52" i="127" s="1"/>
  <c r="A53" i="127" s="1"/>
  <c r="A54" i="127" s="1"/>
  <c r="A55" i="127" s="1"/>
  <c r="A56" i="127" s="1"/>
  <c r="A57" i="127" s="1"/>
  <c r="A58" i="127" s="1"/>
  <c r="A59" i="127" s="1"/>
  <c r="A60" i="127" s="1"/>
  <c r="A61" i="127" s="1"/>
  <c r="A62" i="127" s="1"/>
  <c r="A63" i="127" s="1"/>
  <c r="A64" i="127" s="1"/>
  <c r="A67" i="127" s="1"/>
  <c r="A68" i="127" s="1"/>
  <c r="A69" i="127" s="1"/>
  <c r="A70" i="127" s="1"/>
  <c r="A71" i="127" s="1"/>
  <c r="A72" i="127" s="1"/>
  <c r="A73" i="127" s="1"/>
  <c r="A74" i="127" s="1"/>
  <c r="A75" i="127" s="1"/>
  <c r="A76" i="127" s="1"/>
  <c r="A77" i="127" s="1"/>
  <c r="A78" i="127" s="1"/>
  <c r="A79" i="127" s="1"/>
  <c r="A80" i="127" s="1"/>
  <c r="A81" i="127" s="1"/>
  <c r="A82" i="127" s="1"/>
  <c r="A83" i="127" s="1"/>
  <c r="D8" i="127"/>
  <c r="F8" i="127"/>
  <c r="G8" i="127"/>
  <c r="H8" i="127"/>
  <c r="I8" i="127"/>
  <c r="J8" i="127"/>
  <c r="K8" i="127"/>
  <c r="L8" i="127"/>
  <c r="N8" i="127"/>
  <c r="D9" i="127"/>
  <c r="F9" i="127"/>
  <c r="N9" i="127" s="1"/>
  <c r="G9" i="127"/>
  <c r="H9" i="127"/>
  <c r="I9" i="127"/>
  <c r="J9" i="127"/>
  <c r="K9" i="127"/>
  <c r="L9" i="127"/>
  <c r="D10" i="127"/>
  <c r="F10" i="127"/>
  <c r="G10" i="127"/>
  <c r="H10" i="127"/>
  <c r="I10" i="127"/>
  <c r="N10" i="127" s="1"/>
  <c r="J10" i="127"/>
  <c r="K10" i="127"/>
  <c r="L10" i="127"/>
  <c r="D11" i="127"/>
  <c r="F11" i="127"/>
  <c r="N11" i="127" s="1"/>
  <c r="G11" i="127"/>
  <c r="H11" i="127"/>
  <c r="I11" i="127"/>
  <c r="J11" i="127"/>
  <c r="K11" i="127"/>
  <c r="L11" i="127"/>
  <c r="D12" i="127"/>
  <c r="F12" i="127"/>
  <c r="G12" i="127"/>
  <c r="H12" i="127"/>
  <c r="I12" i="127"/>
  <c r="N12" i="127" s="1"/>
  <c r="J12" i="127"/>
  <c r="K12" i="127"/>
  <c r="L12" i="127"/>
  <c r="D13" i="127"/>
  <c r="F13" i="127"/>
  <c r="N13" i="127" s="1"/>
  <c r="G13" i="127"/>
  <c r="H13" i="127"/>
  <c r="I13" i="127"/>
  <c r="J13" i="127"/>
  <c r="K13" i="127"/>
  <c r="L13" i="127"/>
  <c r="D14" i="127"/>
  <c r="N14" i="127" s="1"/>
  <c r="F14" i="127"/>
  <c r="G14" i="127"/>
  <c r="H14" i="127"/>
  <c r="I14" i="127"/>
  <c r="J14" i="127"/>
  <c r="K14" i="127"/>
  <c r="L14" i="127"/>
  <c r="D15" i="127"/>
  <c r="F15" i="127"/>
  <c r="N15" i="127" s="1"/>
  <c r="G15" i="127"/>
  <c r="H15" i="127"/>
  <c r="I15" i="127"/>
  <c r="J15" i="127"/>
  <c r="K15" i="127"/>
  <c r="L15" i="127"/>
  <c r="D16" i="127"/>
  <c r="N16" i="127" s="1"/>
  <c r="F16" i="127"/>
  <c r="G16" i="127"/>
  <c r="H16" i="127"/>
  <c r="I16" i="127"/>
  <c r="J16" i="127"/>
  <c r="K16" i="127"/>
  <c r="L16" i="127"/>
  <c r="D17" i="127"/>
  <c r="F17" i="127"/>
  <c r="N17" i="127" s="1"/>
  <c r="G17" i="127"/>
  <c r="H17" i="127"/>
  <c r="I17" i="127"/>
  <c r="J17" i="127"/>
  <c r="K17" i="127"/>
  <c r="L17" i="127"/>
  <c r="D18" i="127"/>
  <c r="F18" i="127"/>
  <c r="G18" i="127"/>
  <c r="H18" i="127"/>
  <c r="I18" i="127"/>
  <c r="J18" i="127"/>
  <c r="K18" i="127"/>
  <c r="L18" i="127"/>
  <c r="N18" i="127"/>
  <c r="D19" i="127"/>
  <c r="F19" i="127"/>
  <c r="N19" i="127" s="1"/>
  <c r="G19" i="127"/>
  <c r="H19" i="127"/>
  <c r="I19" i="127"/>
  <c r="J19" i="127"/>
  <c r="K19" i="127"/>
  <c r="L19" i="127"/>
  <c r="D20" i="127"/>
  <c r="F20" i="127"/>
  <c r="G20" i="127"/>
  <c r="H20" i="127"/>
  <c r="I20" i="127"/>
  <c r="N20" i="127" s="1"/>
  <c r="J20" i="127"/>
  <c r="K20" i="127"/>
  <c r="L20" i="127"/>
  <c r="D22" i="127"/>
  <c r="F22" i="127"/>
  <c r="H22" i="127"/>
  <c r="J22" i="127"/>
  <c r="L22" i="127"/>
  <c r="D8" i="3"/>
  <c r="F8" i="3"/>
  <c r="N8" i="3" s="1"/>
  <c r="G8" i="3"/>
  <c r="H8" i="3"/>
  <c r="I8" i="3"/>
  <c r="J8" i="3"/>
  <c r="K8" i="3"/>
  <c r="L8" i="3"/>
  <c r="D9" i="3"/>
  <c r="N9" i="3" s="1"/>
  <c r="F9" i="3"/>
  <c r="G9" i="3"/>
  <c r="H9" i="3"/>
  <c r="I9" i="3"/>
  <c r="J9" i="3"/>
  <c r="K9" i="3"/>
  <c r="L9" i="3"/>
  <c r="D10" i="3"/>
  <c r="F10" i="3"/>
  <c r="G10" i="3"/>
  <c r="N10" i="3" s="1"/>
  <c r="H10" i="3"/>
  <c r="I10" i="3"/>
  <c r="J10" i="3"/>
  <c r="K10" i="3"/>
  <c r="L10" i="3"/>
  <c r="D11" i="3"/>
  <c r="F11" i="3"/>
  <c r="N11" i="3" s="1"/>
  <c r="G11" i="3"/>
  <c r="H11" i="3"/>
  <c r="I11" i="3"/>
  <c r="J11" i="3"/>
  <c r="K11" i="3"/>
  <c r="L11" i="3"/>
  <c r="D12" i="3"/>
  <c r="F12" i="3"/>
  <c r="N12" i="3" s="1"/>
  <c r="G12" i="3"/>
  <c r="H12" i="3"/>
  <c r="I12" i="3"/>
  <c r="J12" i="3"/>
  <c r="K12" i="3"/>
  <c r="L12" i="3"/>
  <c r="D13" i="3"/>
  <c r="F13" i="3"/>
  <c r="G13" i="3"/>
  <c r="H13" i="3"/>
  <c r="I13" i="3"/>
  <c r="J13" i="3"/>
  <c r="K13" i="3"/>
  <c r="L13" i="3"/>
  <c r="N13" i="3"/>
  <c r="D14" i="3"/>
  <c r="F14" i="3"/>
  <c r="G14" i="3"/>
  <c r="N14" i="3" s="1"/>
  <c r="H14" i="3"/>
  <c r="I14" i="3"/>
  <c r="J14" i="3"/>
  <c r="K14" i="3"/>
  <c r="L14" i="3"/>
  <c r="D15" i="3"/>
  <c r="F15" i="3"/>
  <c r="N15" i="3" s="1"/>
  <c r="G15" i="3"/>
  <c r="H15" i="3"/>
  <c r="I15" i="3"/>
  <c r="J15" i="3"/>
  <c r="K15" i="3"/>
  <c r="L15" i="3"/>
  <c r="D16" i="3"/>
  <c r="F16" i="3"/>
  <c r="N16" i="3" s="1"/>
  <c r="G16" i="3"/>
  <c r="H16" i="3"/>
  <c r="I16" i="3"/>
  <c r="J16" i="3"/>
  <c r="K16" i="3"/>
  <c r="L16" i="3"/>
  <c r="D17" i="3"/>
  <c r="F17" i="3"/>
  <c r="G17" i="3"/>
  <c r="H17" i="3"/>
  <c r="I17" i="3"/>
  <c r="J17" i="3"/>
  <c r="K17" i="3"/>
  <c r="L17" i="3"/>
  <c r="N17" i="3"/>
  <c r="D18" i="3"/>
  <c r="F18" i="3"/>
  <c r="G18" i="3"/>
  <c r="N18" i="3" s="1"/>
  <c r="H18" i="3"/>
  <c r="I18" i="3"/>
  <c r="J18" i="3"/>
  <c r="K18" i="3"/>
  <c r="L18" i="3"/>
  <c r="D19" i="3"/>
  <c r="F19" i="3"/>
  <c r="N19" i="3" s="1"/>
  <c r="G19" i="3"/>
  <c r="H19" i="3"/>
  <c r="I19" i="3"/>
  <c r="J19" i="3"/>
  <c r="K19" i="3"/>
  <c r="L19" i="3"/>
  <c r="D20" i="3"/>
  <c r="F20" i="3"/>
  <c r="N20" i="3" s="1"/>
  <c r="G20" i="3"/>
  <c r="H20" i="3"/>
  <c r="I20" i="3"/>
  <c r="J20" i="3"/>
  <c r="K20" i="3"/>
  <c r="L20" i="3"/>
  <c r="D22" i="3"/>
  <c r="F22" i="3"/>
  <c r="H22" i="3"/>
  <c r="J22" i="3"/>
  <c r="L22" i="3"/>
  <c r="A55" i="3"/>
  <c r="A56" i="3"/>
  <c r="A57" i="3"/>
  <c r="A58" i="3" s="1"/>
  <c r="A59" i="3" s="1"/>
  <c r="A60" i="3" s="1"/>
  <c r="A61" i="3" s="1"/>
  <c r="A62" i="3" s="1"/>
  <c r="A65" i="3" s="1"/>
  <c r="A66" i="3" s="1"/>
  <c r="A67" i="3" s="1"/>
  <c r="A68" i="3" s="1"/>
  <c r="A69" i="3" s="1"/>
  <c r="A70" i="3" s="1"/>
  <c r="A71" i="3" s="1"/>
  <c r="A72" i="3" s="1"/>
  <c r="A73" i="3" s="1"/>
  <c r="A74" i="3" s="1"/>
  <c r="A75" i="3" s="1"/>
  <c r="A76" i="3" s="1"/>
  <c r="A77" i="3" s="1"/>
  <c r="A78" i="3" s="1"/>
  <c r="A79" i="3" s="1"/>
  <c r="A80" i="3" s="1"/>
  <c r="A81" i="3" s="1"/>
  <c r="J27" i="136" l="1"/>
  <c r="I281" i="154"/>
  <c r="D184" i="154"/>
  <c r="D258" i="154"/>
  <c r="G256" i="154" s="1"/>
  <c r="L97" i="154"/>
  <c r="I266" i="154"/>
  <c r="I289" i="154"/>
  <c r="L103" i="154"/>
  <c r="L102" i="154"/>
  <c r="D110" i="154"/>
  <c r="M125" i="154"/>
  <c r="D161" i="154"/>
  <c r="L173" i="154"/>
  <c r="P34" i="154"/>
  <c r="D169" i="154"/>
  <c r="I288" i="154"/>
  <c r="D195" i="154"/>
  <c r="I269" i="154"/>
  <c r="D273" i="154" s="1"/>
  <c r="M100" i="154"/>
  <c r="M101" i="154"/>
  <c r="D113" i="154"/>
  <c r="D124" i="154"/>
  <c r="D159" i="154"/>
  <c r="M251" i="154"/>
  <c r="D168" i="154"/>
  <c r="N46" i="134"/>
  <c r="N24" i="134" s="1"/>
  <c r="N22" i="3"/>
  <c r="I35" i="133"/>
  <c r="I32" i="133"/>
  <c r="I30" i="133"/>
  <c r="I28" i="133"/>
  <c r="I26" i="133"/>
  <c r="I24" i="133"/>
  <c r="I37" i="133" s="1"/>
  <c r="J93" i="37"/>
  <c r="J54" i="37"/>
  <c r="D107" i="154"/>
  <c r="L25" i="137"/>
  <c r="L55" i="128"/>
  <c r="D30" i="128"/>
  <c r="L24" i="128"/>
  <c r="R24" i="128" s="1"/>
  <c r="M105" i="154"/>
  <c r="F30" i="132"/>
  <c r="F34" i="132" s="1"/>
  <c r="L89" i="154"/>
  <c r="L165" i="154"/>
  <c r="D156" i="154"/>
  <c r="H50" i="37"/>
  <c r="H26" i="149"/>
  <c r="D88" i="154"/>
  <c r="L104" i="154"/>
  <c r="D85" i="154"/>
  <c r="L101" i="154"/>
  <c r="D12" i="156"/>
  <c r="I36" i="154"/>
  <c r="A27" i="136"/>
  <c r="A26" i="136"/>
  <c r="I261" i="154"/>
  <c r="D93" i="154"/>
  <c r="D123" i="154"/>
  <c r="D160" i="154"/>
  <c r="D162" i="154"/>
  <c r="D94" i="154"/>
  <c r="L125" i="154"/>
  <c r="D158" i="154"/>
  <c r="M117" i="154"/>
  <c r="D119" i="154"/>
  <c r="D95" i="154"/>
  <c r="M89" i="154"/>
  <c r="I238" i="154"/>
  <c r="N238" i="154" s="1"/>
  <c r="N240" i="154" s="1"/>
  <c r="N246" i="154" s="1"/>
  <c r="I290" i="154"/>
  <c r="D14" i="154" s="1"/>
  <c r="D87" i="154"/>
  <c r="D103" i="154" s="1"/>
  <c r="D86" i="154"/>
  <c r="D84" i="154"/>
  <c r="D271" i="154"/>
  <c r="G271" i="154" s="1"/>
  <c r="L251" i="154"/>
  <c r="D250" i="154"/>
  <c r="D171" i="154"/>
  <c r="D92" i="154"/>
  <c r="D96" i="154"/>
  <c r="L100" i="154"/>
  <c r="P37" i="128"/>
  <c r="D97" i="154" l="1"/>
  <c r="D173" i="154"/>
  <c r="M127" i="154"/>
  <c r="L105" i="154"/>
  <c r="D102" i="154"/>
  <c r="H28" i="132"/>
  <c r="L28" i="132" s="1"/>
  <c r="H34" i="132"/>
  <c r="H32" i="132"/>
  <c r="L32" i="132" s="1"/>
  <c r="D104" i="154"/>
  <c r="I22" i="154"/>
  <c r="C9" i="148"/>
  <c r="C11" i="148" s="1"/>
  <c r="C23" i="148" s="1"/>
  <c r="H28" i="149"/>
  <c r="H32" i="149" s="1"/>
  <c r="M157" i="154"/>
  <c r="H54" i="37"/>
  <c r="H93" i="37" s="1"/>
  <c r="H30" i="132"/>
  <c r="L30" i="132" s="1"/>
  <c r="P51" i="128"/>
  <c r="R37" i="128"/>
  <c r="P12" i="128"/>
  <c r="D89" i="154"/>
  <c r="D100" i="154"/>
  <c r="D15" i="156"/>
  <c r="H12" i="156"/>
  <c r="I228" i="154"/>
  <c r="D101" i="154"/>
  <c r="I237" i="154"/>
  <c r="G250" i="154"/>
  <c r="D251" i="154"/>
  <c r="D274" i="154"/>
  <c r="L26" i="128"/>
  <c r="L30" i="128" l="1"/>
  <c r="R26" i="128"/>
  <c r="R30" i="128" s="1"/>
  <c r="R12" i="128"/>
  <c r="P26" i="128"/>
  <c r="P30" i="128" s="1"/>
  <c r="E271" i="154"/>
  <c r="I271" i="154" s="1"/>
  <c r="E273" i="154"/>
  <c r="I273" i="154" s="1"/>
  <c r="E272" i="154"/>
  <c r="I272" i="154" s="1"/>
  <c r="I239" i="154"/>
  <c r="I241" i="154" s="1"/>
  <c r="H20" i="156"/>
  <c r="H22" i="156" s="1"/>
  <c r="H26" i="156" s="1"/>
  <c r="H15" i="156"/>
  <c r="M165" i="154"/>
  <c r="D157" i="154"/>
  <c r="D105" i="154"/>
  <c r="P55" i="128"/>
  <c r="L115" i="154" s="1"/>
  <c r="R51" i="128"/>
  <c r="R55" i="128" s="1"/>
  <c r="I231" i="154"/>
  <c r="I233" i="154"/>
  <c r="D23" i="148"/>
  <c r="C24" i="148"/>
  <c r="L34" i="132"/>
  <c r="D24" i="148" l="1"/>
  <c r="C25" i="148"/>
  <c r="D115" i="154"/>
  <c r="L117" i="154"/>
  <c r="L127" i="154" s="1"/>
  <c r="G116" i="154"/>
  <c r="I116" i="154" s="1"/>
  <c r="G170" i="154"/>
  <c r="I170" i="154" s="1"/>
  <c r="G13" i="154"/>
  <c r="I242" i="154"/>
  <c r="I243" i="154" s="1"/>
  <c r="G115" i="154"/>
  <c r="E248" i="154"/>
  <c r="G248" i="154" s="1"/>
  <c r="G251" i="154" s="1"/>
  <c r="I251" i="154" s="1"/>
  <c r="G85" i="154"/>
  <c r="G107" i="154"/>
  <c r="I107" i="154" s="1"/>
  <c r="G169" i="154"/>
  <c r="I169" i="154" s="1"/>
  <c r="I157" i="154"/>
  <c r="D165" i="154"/>
  <c r="D122" i="154" s="1"/>
  <c r="D125" i="154" s="1"/>
  <c r="I274" i="154"/>
  <c r="I85" i="154" l="1"/>
  <c r="G93" i="154"/>
  <c r="G14" i="154"/>
  <c r="I13" i="154"/>
  <c r="I115" i="154"/>
  <c r="D117" i="154"/>
  <c r="D127" i="154" s="1"/>
  <c r="D198" i="154" s="1"/>
  <c r="G87" i="154"/>
  <c r="I256" i="154"/>
  <c r="K256" i="154" s="1"/>
  <c r="G88" i="154" s="1"/>
  <c r="D25" i="148"/>
  <c r="C26" i="148"/>
  <c r="D188" i="154"/>
  <c r="G123" i="154"/>
  <c r="I123" i="154" s="1"/>
  <c r="G156" i="154"/>
  <c r="G158" i="154" l="1"/>
  <c r="I158" i="154" s="1"/>
  <c r="I156" i="154"/>
  <c r="G162" i="154"/>
  <c r="I162" i="154" s="1"/>
  <c r="G95" i="154"/>
  <c r="I87" i="154"/>
  <c r="G15" i="154"/>
  <c r="I14" i="154"/>
  <c r="D26" i="148"/>
  <c r="C27" i="148"/>
  <c r="I93" i="154"/>
  <c r="I101" i="154" s="1"/>
  <c r="G119" i="154"/>
  <c r="O21" i="154"/>
  <c r="O20" i="154" s="1"/>
  <c r="Q29" i="154"/>
  <c r="D194" i="154"/>
  <c r="D196" i="154" s="1"/>
  <c r="D201" i="154" s="1"/>
  <c r="D210" i="154" s="1"/>
  <c r="I88" i="154"/>
  <c r="G96" i="154"/>
  <c r="I119" i="154" l="1"/>
  <c r="G168" i="154"/>
  <c r="I168" i="154" s="1"/>
  <c r="N29" i="154"/>
  <c r="G16" i="154"/>
  <c r="I16" i="154" s="1"/>
  <c r="I15" i="154"/>
  <c r="I17" i="154" s="1"/>
  <c r="I89" i="154"/>
  <c r="G89" i="154" s="1"/>
  <c r="D27" i="148"/>
  <c r="C28" i="148"/>
  <c r="G163" i="154"/>
  <c r="I96" i="154"/>
  <c r="I104" i="154" s="1"/>
  <c r="G159" i="154"/>
  <c r="I95" i="154"/>
  <c r="I103" i="154" s="1"/>
  <c r="I105" i="154" l="1"/>
  <c r="G105" i="154" s="1"/>
  <c r="G111" i="154" s="1"/>
  <c r="D28" i="148"/>
  <c r="C29" i="148"/>
  <c r="I163" i="154"/>
  <c r="G172" i="154"/>
  <c r="I172" i="154" s="1"/>
  <c r="G180" i="154"/>
  <c r="G124" i="154"/>
  <c r="I124" i="154" s="1"/>
  <c r="I97" i="154"/>
  <c r="I159" i="154"/>
  <c r="G160" i="154"/>
  <c r="G171" i="154"/>
  <c r="G195" i="154" l="1"/>
  <c r="I195" i="154" s="1"/>
  <c r="D29" i="148"/>
  <c r="C30" i="148" s="1"/>
  <c r="D30" i="148" s="1"/>
  <c r="D31" i="148" s="1"/>
  <c r="C15" i="148" s="1"/>
  <c r="I23" i="154" s="1"/>
  <c r="G161" i="154"/>
  <c r="I161" i="154" s="1"/>
  <c r="I160" i="154"/>
  <c r="I165" i="154" s="1"/>
  <c r="I122" i="154" s="1"/>
  <c r="I125" i="154" s="1"/>
  <c r="G177" i="154"/>
  <c r="I171" i="154"/>
  <c r="I173" i="154" s="1"/>
  <c r="I180" i="154"/>
  <c r="G183" i="154"/>
  <c r="I183" i="154" s="1"/>
  <c r="G182" i="154"/>
  <c r="I182" i="154" s="1"/>
  <c r="G112" i="154"/>
  <c r="I111" i="154"/>
  <c r="G113" i="154" l="1"/>
  <c r="I113" i="154" s="1"/>
  <c r="G114" i="154"/>
  <c r="I114" i="154" s="1"/>
  <c r="I112" i="154"/>
  <c r="I177" i="154"/>
  <c r="G178" i="154"/>
  <c r="I178" i="154" s="1"/>
  <c r="I117" i="154" l="1"/>
  <c r="I127" i="154" s="1"/>
  <c r="I198" i="154" s="1"/>
  <c r="I194" i="154" s="1"/>
  <c r="I196" i="154" s="1"/>
  <c r="I201" i="154" s="1"/>
  <c r="I210" i="154" s="1"/>
  <c r="I10" i="154" s="1"/>
  <c r="I25" i="154" s="1"/>
  <c r="I184" i="154"/>
  <c r="D10" i="156" l="1"/>
  <c r="O34" i="154"/>
  <c r="R34" i="154"/>
  <c r="D37" i="154"/>
  <c r="R32" i="154"/>
  <c r="O32" i="154"/>
  <c r="R33" i="154" l="1"/>
  <c r="I42" i="154"/>
  <c r="D41" i="154"/>
  <c r="I41" i="154"/>
  <c r="D38" i="154"/>
  <c r="D43" i="154"/>
  <c r="I43" i="154"/>
  <c r="D42" i="154"/>
  <c r="O33" i="154"/>
  <c r="D17" i="156"/>
  <c r="H17" i="156" s="1"/>
  <c r="H30" i="156" s="1"/>
  <c r="H10" i="156"/>
  <c r="H28" i="156" s="1"/>
  <c r="H32" i="156" l="1"/>
</calcChain>
</file>

<file path=xl/comments1.xml><?xml version="1.0" encoding="utf-8"?>
<comments xmlns="http://schemas.openxmlformats.org/spreadsheetml/2006/main">
  <authors>
    <author>Thomas Kramer</author>
  </authors>
  <commentList>
    <comment ref="D46" authorId="0">
      <text>
        <r>
          <rPr>
            <b/>
            <sz val="8"/>
            <color indexed="81"/>
            <rFont val="Tahoma"/>
            <family val="2"/>
          </rPr>
          <t>Thomas Kramer:</t>
        </r>
        <r>
          <rPr>
            <sz val="8"/>
            <color indexed="81"/>
            <rFont val="Tahoma"/>
            <family val="2"/>
          </rPr>
          <t xml:space="preserve">
Excludes ARO</t>
        </r>
      </text>
    </comment>
    <comment ref="H46" authorId="0">
      <text>
        <r>
          <rPr>
            <b/>
            <sz val="8"/>
            <color indexed="81"/>
            <rFont val="Tahoma"/>
            <family val="2"/>
          </rPr>
          <t>Thomas Kramer:</t>
        </r>
        <r>
          <rPr>
            <sz val="8"/>
            <color indexed="81"/>
            <rFont val="Tahoma"/>
            <family val="2"/>
          </rPr>
          <t xml:space="preserve">
Excludes ARO
</t>
        </r>
      </text>
    </comment>
  </commentList>
</comments>
</file>

<file path=xl/comments2.xml><?xml version="1.0" encoding="utf-8"?>
<comments xmlns="http://schemas.openxmlformats.org/spreadsheetml/2006/main">
  <authors>
    <author>Thomas Kramer</author>
    <author>TEKramer</author>
  </authors>
  <commentList>
    <comment ref="D48" authorId="0">
      <text>
        <r>
          <rPr>
            <b/>
            <sz val="8"/>
            <color indexed="81"/>
            <rFont val="Tahoma"/>
            <family val="2"/>
          </rPr>
          <t>Thomas Kramer:</t>
        </r>
        <r>
          <rPr>
            <sz val="8"/>
            <color indexed="81"/>
            <rFont val="Tahoma"/>
            <family val="2"/>
          </rPr>
          <t xml:space="preserve">
Excludes ARC balances</t>
        </r>
      </text>
    </comment>
    <comment ref="H48" authorId="0">
      <text>
        <r>
          <rPr>
            <b/>
            <sz val="8"/>
            <color indexed="81"/>
            <rFont val="Tahoma"/>
            <family val="2"/>
          </rPr>
          <t>Thomas Kramer:</t>
        </r>
        <r>
          <rPr>
            <sz val="8"/>
            <color indexed="81"/>
            <rFont val="Tahoma"/>
            <family val="2"/>
          </rPr>
          <t xml:space="preserve">
Excludes ARC balances</t>
        </r>
      </text>
    </comment>
    <comment ref="D50" authorId="1">
      <text>
        <r>
          <rPr>
            <b/>
            <sz val="8"/>
            <color indexed="81"/>
            <rFont val="Tahoma"/>
            <family val="2"/>
          </rPr>
          <t>TEKramer:</t>
        </r>
        <r>
          <rPr>
            <sz val="8"/>
            <color indexed="81"/>
            <rFont val="Tahoma"/>
            <family val="2"/>
          </rPr>
          <t xml:space="preserve">
YE Balance from 2012 included ARC of 18,165
</t>
        </r>
      </text>
    </comment>
  </commentList>
</comments>
</file>

<file path=xl/comments3.xml><?xml version="1.0" encoding="utf-8"?>
<comments xmlns="http://schemas.openxmlformats.org/spreadsheetml/2006/main">
  <authors>
    <author>Thomas Kramer</author>
  </authors>
  <commentList>
    <comment ref="L8" authorId="0">
      <text>
        <r>
          <rPr>
            <b/>
            <sz val="8"/>
            <color indexed="81"/>
            <rFont val="Tahoma"/>
            <family val="2"/>
          </rPr>
          <t>Thomas Kramer:</t>
        </r>
        <r>
          <rPr>
            <sz val="8"/>
            <color indexed="81"/>
            <rFont val="Tahoma"/>
            <family val="2"/>
          </rPr>
          <t xml:space="preserve">
Not Applicable to NSP </t>
        </r>
      </text>
    </comment>
    <comment ref="P37" authorId="0">
      <text>
        <r>
          <rPr>
            <b/>
            <sz val="8"/>
            <color indexed="81"/>
            <rFont val="Tahoma"/>
            <family val="2"/>
          </rPr>
          <t>Thomas Kramer:</t>
        </r>
        <r>
          <rPr>
            <sz val="8"/>
            <color indexed="81"/>
            <rFont val="Tahoma"/>
            <family val="2"/>
          </rPr>
          <t xml:space="preserve">
Amounts should be nagative values</t>
        </r>
      </text>
    </comment>
  </commentList>
</comments>
</file>

<file path=xl/comments4.xml><?xml version="1.0" encoding="utf-8"?>
<comments xmlns="http://schemas.openxmlformats.org/spreadsheetml/2006/main">
  <authors>
    <author>Thomas Kramer</author>
  </authors>
  <commentList>
    <comment ref="A4" authorId="0">
      <text>
        <r>
          <rPr>
            <b/>
            <sz val="8"/>
            <color indexed="81"/>
            <rFont val="Tahoma"/>
            <family val="2"/>
          </rPr>
          <t>Thomas Kramer:</t>
        </r>
        <r>
          <rPr>
            <sz val="8"/>
            <color indexed="81"/>
            <rFont val="Tahoma"/>
            <family val="2"/>
          </rPr>
          <t xml:space="preserve">
No change in this information. Same a was calculated in 2013 TY Attachment O</t>
        </r>
      </text>
    </comment>
  </commentList>
</comments>
</file>

<file path=xl/comments5.xml><?xml version="1.0" encoding="utf-8"?>
<comments xmlns="http://schemas.openxmlformats.org/spreadsheetml/2006/main">
  <authors>
    <author>Thomas Kramer</author>
  </authors>
  <commentList>
    <comment ref="A4" authorId="0">
      <text>
        <r>
          <rPr>
            <b/>
            <sz val="8"/>
            <color indexed="81"/>
            <rFont val="Tahoma"/>
            <family val="2"/>
          </rPr>
          <t>Thomas Kramer:</t>
        </r>
        <r>
          <rPr>
            <sz val="8"/>
            <color indexed="81"/>
            <rFont val="Tahoma"/>
            <family val="2"/>
          </rPr>
          <t xml:space="preserve">
No change in this information. Same a was calculated in 2013 TY Attachment O</t>
        </r>
      </text>
    </comment>
  </commentList>
</comments>
</file>

<file path=xl/sharedStrings.xml><?xml version="1.0" encoding="utf-8"?>
<sst xmlns="http://schemas.openxmlformats.org/spreadsheetml/2006/main" count="1770" uniqueCount="944">
  <si>
    <t>Calculate using 13 month average balances for plant related and average of beginning of year and end of year for non-plant related adjustments to rate base, reconciling</t>
  </si>
  <si>
    <t>to FERC Form No. 1 by page, line and column as shown in Column 2.</t>
  </si>
  <si>
    <t>Z</t>
  </si>
  <si>
    <t>Calculation of Prior Year Divisor True-Up:</t>
  </si>
  <si>
    <t>Pg 1, Line 15</t>
  </si>
  <si>
    <t>Pg 1, Line 16</t>
  </si>
  <si>
    <t>AA</t>
  </si>
  <si>
    <t xml:space="preserve">Pursuant to Attachment GG of the Midwest ISO Tariff, removes dollar amount of revenue requirements calculated pursuant to Attachment GG and recovered under </t>
  </si>
  <si>
    <t xml:space="preserve">Schedule 26 of the Midwest ISO Tariff.   </t>
  </si>
  <si>
    <t>BB</t>
  </si>
  <si>
    <t xml:space="preserve">Removes from revenue credits revenues that are distributed pursuant to Schedules 26 and 37 of the Midwest ISO Tariff, since the Transmission Owner's Attachment O </t>
  </si>
  <si>
    <t>revenue requirements have already been reduced by the Attachment GG revenue requirements.</t>
  </si>
  <si>
    <t>CC</t>
  </si>
  <si>
    <t xml:space="preserve">Pursuant to Attachment MM of the Midwest ISO Tariff, removes dollar amount of revenue requirements calculated pursuant to Attachment MM and recovered under </t>
  </si>
  <si>
    <t xml:space="preserve">Schedule 26-A of the Midwest ISO Tariff.   </t>
  </si>
  <si>
    <t>DD</t>
  </si>
  <si>
    <t xml:space="preserve">Removes from revenue credits revenues that are distributed pursuant to Schedule 26-A of the Midwest ISO Tariff, since the Transmission Owner's Attachment O </t>
  </si>
  <si>
    <t>revenue requirements have already been reduced by the Attachment MM revenue requirements.</t>
  </si>
  <si>
    <t>EE</t>
  </si>
  <si>
    <t>Plant in Service, Accumulated Depreciation, and Depreciation Expense amounts exclude Asset Retirement Obligation amounts unless authorized by FERC.</t>
  </si>
  <si>
    <t>FF</t>
  </si>
  <si>
    <t>Schedule 10-FERC charges shoul dnot be included in O&amp;M recovered under this Attachment O.</t>
  </si>
  <si>
    <t>Less Prefunded on CWIP</t>
  </si>
  <si>
    <t>Prefunded included in Attachment O</t>
  </si>
  <si>
    <t>The CWIP cost information included in the Attachment is based upon expenditures and</t>
  </si>
  <si>
    <t xml:space="preserve">Total Amount Booked </t>
  </si>
  <si>
    <t xml:space="preserve">is not included in the Adjustment to Rate Base. </t>
  </si>
  <si>
    <t>Structures</t>
  </si>
  <si>
    <t>Preferred Stock</t>
  </si>
  <si>
    <t>Common Equity</t>
  </si>
  <si>
    <t>Overhead Lines</t>
  </si>
  <si>
    <t>Rents</t>
  </si>
  <si>
    <t>Underground Lines</t>
  </si>
  <si>
    <t>Working Capital</t>
  </si>
  <si>
    <t xml:space="preserve">     TRANSMISSION EXPENSES</t>
  </si>
  <si>
    <t>Plant Related</t>
  </si>
  <si>
    <t>Northern States Power Company</t>
  </si>
  <si>
    <t>Total Northern States Power Company</t>
  </si>
  <si>
    <t>Common</t>
  </si>
  <si>
    <t>Northern States Power Company-MN</t>
  </si>
  <si>
    <t>Northern States Power Company - WI</t>
  </si>
  <si>
    <t>Accumulated Depreciation and Amorization</t>
  </si>
  <si>
    <t>Accumulated</t>
  </si>
  <si>
    <t>Adjustments to Rate Base</t>
  </si>
  <si>
    <t>Accumulated Deferred Income Taxes</t>
  </si>
  <si>
    <t>Other Rate Base Adjustments</t>
  </si>
  <si>
    <t>to Rate Base</t>
  </si>
  <si>
    <t>Unamortized</t>
  </si>
  <si>
    <t>Abandon Plant</t>
  </si>
  <si>
    <t>Account 253</t>
  </si>
  <si>
    <t>Pre-Funded AFUDC</t>
  </si>
  <si>
    <t>Land Held for Future Use - Transmission Only</t>
  </si>
  <si>
    <t>Materials &amp;</t>
  </si>
  <si>
    <t>Supplies</t>
  </si>
  <si>
    <t>Account 165</t>
  </si>
  <si>
    <t>Less:  SFAS 106 Deferred Taxes</t>
  </si>
  <si>
    <t>Less:  SFAS 109 Deferred Taxes</t>
  </si>
  <si>
    <t>NSP-MN</t>
  </si>
  <si>
    <t>NSP-WI</t>
  </si>
  <si>
    <t>NSP</t>
  </si>
  <si>
    <t>561.0</t>
  </si>
  <si>
    <t>561.1</t>
  </si>
  <si>
    <t>561.2</t>
  </si>
  <si>
    <t>561.3</t>
  </si>
  <si>
    <t>561.5</t>
  </si>
  <si>
    <t>561.6</t>
  </si>
  <si>
    <t>561.8</t>
  </si>
  <si>
    <t>Load Dispatching - Reliability</t>
  </si>
  <si>
    <t>Load Dispatching - Monitor &amp; Operate Transmission System</t>
  </si>
  <si>
    <t>Load Dispatching - Transmission Service &amp; Scheduling</t>
  </si>
  <si>
    <t>Scheduling, System Control &amp; Dispatch Services</t>
  </si>
  <si>
    <t>561.4</t>
  </si>
  <si>
    <t>Reliability, Planning and Standards Development</t>
  </si>
  <si>
    <t>Transmission Service Studies</t>
  </si>
  <si>
    <t>Generation Interconnection Studies</t>
  </si>
  <si>
    <t>Reliability, Planning &amp; Standards Development Services</t>
  </si>
  <si>
    <t>564</t>
  </si>
  <si>
    <t>Underground Lines Expense</t>
  </si>
  <si>
    <t>569.1</t>
  </si>
  <si>
    <t>Computer Hardware</t>
  </si>
  <si>
    <t>569.2</t>
  </si>
  <si>
    <t>569.3</t>
  </si>
  <si>
    <t>569.4</t>
  </si>
  <si>
    <t>Miscellaneous Regional Transmission Plant</t>
  </si>
  <si>
    <t>Less:  Account 565 - Transmission of Electricity by Others</t>
  </si>
  <si>
    <t xml:space="preserve">          TOTAL NET TRANSMISSION EXPENSE</t>
  </si>
  <si>
    <t>Regulatory Commission Expenses -  Retail Related</t>
  </si>
  <si>
    <t>Regulatory Commission Expenses -  Transmission Related</t>
  </si>
  <si>
    <t>General Advertising Expenses</t>
  </si>
  <si>
    <t>Miscellaneous General Expense - Other</t>
  </si>
  <si>
    <t xml:space="preserve">          NET ADMINISTRATIVE AND GENERAL EXPENSE</t>
  </si>
  <si>
    <t xml:space="preserve">         TOTAL O&amp;M EXPENSE</t>
  </si>
  <si>
    <t>Payroll Taxes</t>
  </si>
  <si>
    <t>Highway and Vehicle</t>
  </si>
  <si>
    <t>Property Taxes</t>
  </si>
  <si>
    <t>Gross Receipts</t>
  </si>
  <si>
    <t>Payments in Lieu of Taxes</t>
  </si>
  <si>
    <t>Taxes Other Than Income Taxes and Investment Tax Credit</t>
  </si>
  <si>
    <t>Investment Tax Credit Amortized</t>
  </si>
  <si>
    <t>Supporting Calculations for Allocation Factors</t>
  </si>
  <si>
    <t>Transmission Plant Included in OATT Ancillary Services</t>
  </si>
  <si>
    <t>Transmission Plant Excluded from ISO Rates</t>
  </si>
  <si>
    <t>Transmission Plant Allocation Factor (TP)</t>
  </si>
  <si>
    <t>Transmission Expenses included in OATT Ancillary Services</t>
  </si>
  <si>
    <t xml:space="preserve">     Account 561.1 - Load Dispatch-Reliability</t>
  </si>
  <si>
    <t xml:space="preserve">     Account 561.2 - Load Dispatch-Monitor &amp; Operate Transmission System</t>
  </si>
  <si>
    <t xml:space="preserve">     Account 561.3 - Load Dispatch-Transmission Service &amp; Scheduling</t>
  </si>
  <si>
    <t>Total Transmission Expenses included in OATT Ancillary Services</t>
  </si>
  <si>
    <t>Transmission Expense Allocation Factor (TE)</t>
  </si>
  <si>
    <t>Wages &amp; Salaries Allocation Factor (W/S)</t>
  </si>
  <si>
    <t>Total Wages &amp; Salaries</t>
  </si>
  <si>
    <t>Common Plant Allocation Factor (CE)</t>
  </si>
  <si>
    <t>Water</t>
  </si>
  <si>
    <t>Total Plant</t>
  </si>
  <si>
    <t>Long-Term Debt</t>
  </si>
  <si>
    <t>Long-Term Debt Balance</t>
  </si>
  <si>
    <t>Long-Term Debt Interest</t>
  </si>
  <si>
    <t>Cost of Long-Term Debt</t>
  </si>
  <si>
    <t>Proprietary Capital</t>
  </si>
  <si>
    <t>Less:  Preferred Stock</t>
  </si>
  <si>
    <t>Less:  Account 216.1 - Unappropriated Undistribution Subs Earnings</t>
  </si>
  <si>
    <t>Total Common Stock</t>
  </si>
  <si>
    <t>Capital Structure</t>
  </si>
  <si>
    <t>Common Stock</t>
  </si>
  <si>
    <t>TOTAL</t>
  </si>
  <si>
    <t>Gas</t>
  </si>
  <si>
    <t>Computer Software</t>
  </si>
  <si>
    <t>Miscellaneous Transmission Expenses</t>
  </si>
  <si>
    <t>Miscellaneous Transmission Plant</t>
  </si>
  <si>
    <t>Operation and Maintenance Expenses</t>
  </si>
  <si>
    <t>Property Insurance</t>
  </si>
  <si>
    <t>Communication Equipment</t>
  </si>
  <si>
    <t>Production</t>
  </si>
  <si>
    <t xml:space="preserve"> </t>
  </si>
  <si>
    <t>Depreciation &amp;</t>
  </si>
  <si>
    <t>Amortization</t>
  </si>
  <si>
    <t>Electric</t>
  </si>
  <si>
    <t>Total Taxes Other Than Income</t>
  </si>
  <si>
    <t>Load Dispatching</t>
  </si>
  <si>
    <t>Station Expenses</t>
  </si>
  <si>
    <t>Overhead Line Expenses</t>
  </si>
  <si>
    <t xml:space="preserve">     Total Operation</t>
  </si>
  <si>
    <t>MAINTENANCE</t>
  </si>
  <si>
    <t xml:space="preserve">     Total Maintenance</t>
  </si>
  <si>
    <t>Percentage</t>
  </si>
  <si>
    <t>Administration and General Salaries</t>
  </si>
  <si>
    <t>Office Supplies and Expense</t>
  </si>
  <si>
    <t>Administrative Expense Transferred</t>
  </si>
  <si>
    <t>Outside Service Employed</t>
  </si>
  <si>
    <t>May</t>
  </si>
  <si>
    <t>No.</t>
  </si>
  <si>
    <t>Total</t>
  </si>
  <si>
    <t>Transmission</t>
  </si>
  <si>
    <t>Distribution</t>
  </si>
  <si>
    <t>1</t>
  </si>
  <si>
    <t>Gross Plant in Service</t>
  </si>
  <si>
    <t>13 Month Average</t>
  </si>
  <si>
    <t>Total Average</t>
  </si>
  <si>
    <t xml:space="preserve">Plant in </t>
  </si>
  <si>
    <t>Service</t>
  </si>
  <si>
    <t>Description</t>
  </si>
  <si>
    <t xml:space="preserve">     ADMINISTRATION AND GENERAL</t>
  </si>
  <si>
    <t>Station Equipment</t>
  </si>
  <si>
    <t>Total Depreciation and Amortization Expense</t>
  </si>
  <si>
    <t>FERC Annual Charges</t>
  </si>
  <si>
    <t>Weighted</t>
  </si>
  <si>
    <t>Cost</t>
  </si>
  <si>
    <t>Supervision and Engineering</t>
  </si>
  <si>
    <t>Labor Related</t>
  </si>
  <si>
    <t>Adjustments</t>
  </si>
  <si>
    <t xml:space="preserve">  </t>
  </si>
  <si>
    <t>OPERATION</t>
  </si>
  <si>
    <t>Other</t>
  </si>
  <si>
    <t>Prepayments</t>
  </si>
  <si>
    <t>Line</t>
  </si>
  <si>
    <t>February</t>
  </si>
  <si>
    <t>March</t>
  </si>
  <si>
    <t>April</t>
  </si>
  <si>
    <t>June</t>
  </si>
  <si>
    <t>July</t>
  </si>
  <si>
    <t>August</t>
  </si>
  <si>
    <t>September</t>
  </si>
  <si>
    <t>October</t>
  </si>
  <si>
    <t>November</t>
  </si>
  <si>
    <t>Account</t>
  </si>
  <si>
    <t>Intangible</t>
  </si>
  <si>
    <t>Injury and Damages</t>
  </si>
  <si>
    <t>Employee Pensions and Benefits</t>
  </si>
  <si>
    <t>Duplicate Charges</t>
  </si>
  <si>
    <t>Maintenance General Plant</t>
  </si>
  <si>
    <t>See individual items identified above for explanation of individual impact.</t>
  </si>
  <si>
    <t>NSP Companies 2013 True-Up Compliance Matrix</t>
  </si>
  <si>
    <t xml:space="preserve">          TOTAL ADMINISTRATIVE AND GENERAL</t>
  </si>
  <si>
    <t>Transmission of Electricity by Others</t>
  </si>
  <si>
    <t>Depreciation and Amortization Expense</t>
  </si>
  <si>
    <t xml:space="preserve">Account </t>
  </si>
  <si>
    <t>Balance</t>
  </si>
  <si>
    <t>Taxes Other Than Income Taxes</t>
  </si>
  <si>
    <t>Less Exsclusions</t>
  </si>
  <si>
    <t>Construction Work in Progress</t>
  </si>
  <si>
    <t>CapX 2020</t>
  </si>
  <si>
    <t>Key Assumptions:</t>
  </si>
  <si>
    <t>For each project, where CWIP is to be recovered in rate base, CWIP will be estimated and the totals reported below.</t>
  </si>
  <si>
    <t>AFUDC will be capitalized for projects where CWIP is included in rate base and will be reported in the FERC Form No. 1.</t>
  </si>
  <si>
    <t>Pre-Funded AFUDC will be recorded and included in the formula as an offset to rate base for those projects recovered in rate base, to ensure no double recovery.</t>
  </si>
  <si>
    <t>State Commission Approved Certificate of Need Date</t>
  </si>
  <si>
    <t>Estimated In-Service Date</t>
  </si>
  <si>
    <t>December 2012</t>
  </si>
  <si>
    <t>Construction Work in Progress Balances in Formula</t>
  </si>
  <si>
    <t>CWIP</t>
  </si>
  <si>
    <t>SubTotal</t>
  </si>
  <si>
    <t>General &amp;</t>
  </si>
  <si>
    <t xml:space="preserve">General &amp; </t>
  </si>
  <si>
    <t>BOY/EOY Average</t>
  </si>
  <si>
    <t>Net BOY/EOY Average</t>
  </si>
  <si>
    <t>Net Plant</t>
  </si>
  <si>
    <t>Revenue Credits</t>
  </si>
  <si>
    <t>a.</t>
  </si>
  <si>
    <t>Bundled Non-RQ Sales for Resale</t>
  </si>
  <si>
    <t>b.</t>
  </si>
  <si>
    <t>Bundled Sales for Resale included in the Divisor</t>
  </si>
  <si>
    <t>Total Account 447</t>
  </si>
  <si>
    <t>Account 454 - Rent From Electric Property</t>
  </si>
  <si>
    <t>Transmission charges for all transmission transactions</t>
  </si>
  <si>
    <t>Total Account 456</t>
  </si>
  <si>
    <t>Divisor (kW)</t>
  </si>
  <si>
    <t>Plus:</t>
  </si>
  <si>
    <t>System Peak</t>
  </si>
  <si>
    <t>Network</t>
  </si>
  <si>
    <t>Load</t>
  </si>
  <si>
    <t>Divisor</t>
  </si>
  <si>
    <t>12 Month Average</t>
  </si>
  <si>
    <t>Abandon Plant Amortization</t>
  </si>
  <si>
    <t xml:space="preserve">     Account 561.0 - Load Dispatching</t>
  </si>
  <si>
    <t>Accum Def ITC</t>
  </si>
  <si>
    <t xml:space="preserve">Less: </t>
  </si>
  <si>
    <t>Account 447 - Sales for Resale (Note Q)</t>
  </si>
  <si>
    <t>Note Q:</t>
  </si>
  <si>
    <t>c.</t>
  </si>
  <si>
    <t>Transmission charges associated with Schedule 26</t>
  </si>
  <si>
    <t>The State Commission Approved Certificate of Need Date will be the first month that the CWIP project will be included in the formula and used to calculate the 13 mo average.</t>
  </si>
  <si>
    <t>May 2009</t>
  </si>
  <si>
    <t xml:space="preserve">Allocated to Transmission based on </t>
  </si>
  <si>
    <t>NSP-MN Net Plant in Service</t>
  </si>
  <si>
    <t>NSP-Wi Net Plant in Service</t>
  </si>
  <si>
    <t>FERC Form 1 Pg 200, ln 15-c</t>
  </si>
  <si>
    <t>FERC Form 1 Pg 201, ln 15-d</t>
  </si>
  <si>
    <t>GRE Load</t>
  </si>
  <si>
    <t>Pg 400 (e)</t>
  </si>
  <si>
    <t>Footnote for (e)</t>
  </si>
  <si>
    <t>RQ Load</t>
  </si>
  <si>
    <t>Pg 400 (f)</t>
  </si>
  <si>
    <t>Northern States Power Companies</t>
  </si>
  <si>
    <t xml:space="preserve">Plus Transmission Related Reg. Comm.  Exp. </t>
  </si>
  <si>
    <t>*</t>
  </si>
  <si>
    <t>Transmission Prefunded Amortization FERC 405 (*)</t>
  </si>
  <si>
    <t>Pre-Funded AFUDC (*)</t>
  </si>
  <si>
    <t>(*) Un-jurisdictionalized Pre-funded data for total company reported in NSP Mn figures.</t>
  </si>
  <si>
    <t>(*) Un-jurisdictionalized Prefunded Amortization for total company reported in NSP Mn only.</t>
  </si>
  <si>
    <t>Calculation and True-Up Procedures</t>
  </si>
  <si>
    <t>NET REVENUE REQUIREMENT</t>
  </si>
  <si>
    <t xml:space="preserve">  Average of 12 coincident system peaks for requirements (RQ) service       </t>
  </si>
  <si>
    <t xml:space="preserve">  Plus 12 CP of Network Load not in line 8</t>
  </si>
  <si>
    <t xml:space="preserve">  Plus Contract Demand of firm P-T-P over one year</t>
  </si>
  <si>
    <t>Divisor (sum lines 8-14)</t>
  </si>
  <si>
    <t>Annual Cost ($/kW/Yr)</t>
  </si>
  <si>
    <t>Historic Year Actual Divisor</t>
  </si>
  <si>
    <t>Projected Year Divisor</t>
  </si>
  <si>
    <t>Difference between Historic &amp; Projected Year Divisor</t>
  </si>
  <si>
    <t>Prior Year Projected Annual Cost ($ per kw per yr.)</t>
  </si>
  <si>
    <t>Projected Year Divisor True-up (Difference * Prior Year Projected Annual Cost)</t>
  </si>
  <si>
    <t>Total True Level</t>
  </si>
  <si>
    <t>Proof (Annual Cost Difference x Actual Volumes)</t>
  </si>
  <si>
    <t>Immaterial diff</t>
  </si>
  <si>
    <t>To Attachment O line items 6a, 6b, 6c and 6d</t>
  </si>
  <si>
    <t>Net Revenue Requirement Over Recovery</t>
  </si>
  <si>
    <t>Net Volume Change Under Recovery</t>
  </si>
  <si>
    <t>Interest Calculation With Quarterly Compounding</t>
  </si>
  <si>
    <t>Principal</t>
  </si>
  <si>
    <t>Interest</t>
  </si>
  <si>
    <t>Cumulative Interest</t>
  </si>
  <si>
    <t>To Attachment O line items 6e</t>
  </si>
  <si>
    <t>December 2011</t>
  </si>
  <si>
    <t>Done</t>
  </si>
  <si>
    <t xml:space="preserve">          TOTAL TRANSMISSION EXPENSE</t>
  </si>
  <si>
    <t xml:space="preserve">February </t>
  </si>
  <si>
    <t xml:space="preserve">March </t>
  </si>
  <si>
    <t xml:space="preserve">May </t>
  </si>
  <si>
    <t xml:space="preserve">June </t>
  </si>
  <si>
    <t xml:space="preserve">August </t>
  </si>
  <si>
    <t xml:space="preserve">September </t>
  </si>
  <si>
    <t xml:space="preserve">October </t>
  </si>
  <si>
    <t xml:space="preserve">November </t>
  </si>
  <si>
    <t>1st Qtr 2010</t>
  </si>
  <si>
    <t>2nd Qtr 2010</t>
  </si>
  <si>
    <t>3rd Qtr 2010</t>
  </si>
  <si>
    <t>4th Qtr 2010</t>
  </si>
  <si>
    <t>Feb</t>
  </si>
  <si>
    <t>Mar</t>
  </si>
  <si>
    <t>Apr</t>
  </si>
  <si>
    <t>Jun</t>
  </si>
  <si>
    <t>Jul</t>
  </si>
  <si>
    <t>Aug</t>
  </si>
  <si>
    <t>Sep</t>
  </si>
  <si>
    <t>Oct</t>
  </si>
  <si>
    <t>Nov</t>
  </si>
  <si>
    <t xml:space="preserve">          EOM Balance</t>
  </si>
  <si>
    <t>Dec</t>
  </si>
  <si>
    <t>Cum Expend  Only</t>
  </si>
  <si>
    <t>Report Amouts</t>
  </si>
  <si>
    <t>CAPX2020 - Bemidji Subs</t>
  </si>
  <si>
    <t>CAPX2020 - Bemidji Lines</t>
  </si>
  <si>
    <t>CAPX2020 - Bemidji Land</t>
  </si>
  <si>
    <t>Total Bemidji</t>
  </si>
  <si>
    <t>CON: 7/14/2009</t>
  </si>
  <si>
    <t>CAPX2020- Brookings - Subs</t>
  </si>
  <si>
    <t>CAPX2020 - Brookings - Lines</t>
  </si>
  <si>
    <t>CAPX2020 - Brookings - Land</t>
  </si>
  <si>
    <t>Total Brookings</t>
  </si>
  <si>
    <t>CON:5/22/2009</t>
  </si>
  <si>
    <t>CAPX2020- Lacrosse - Subs</t>
  </si>
  <si>
    <t>CAPX2020 - Lacrosse - Lines</t>
  </si>
  <si>
    <t>CAPX2020 - Lacrosse - Land</t>
  </si>
  <si>
    <t>CON: 5/22/2009</t>
  </si>
  <si>
    <t>CAPX2020- Fargo - Subs</t>
  </si>
  <si>
    <t>CAPX2020 - Fargo - Lines</t>
  </si>
  <si>
    <t>CAPX2020 - Fargo - Land</t>
  </si>
  <si>
    <t>Total Fargo</t>
  </si>
  <si>
    <t>Mn Combined CAPX2020</t>
  </si>
  <si>
    <t>CAPX2020 - Lacrosse - Lines Wis Portion</t>
  </si>
  <si>
    <t>Prior Year True Up Calculation</t>
  </si>
  <si>
    <t>Prior Year True Up Interest Calculation</t>
  </si>
  <si>
    <t>January 2012</t>
  </si>
  <si>
    <t>1st Qtr 2011</t>
  </si>
  <si>
    <t>2nd Qtr 2011</t>
  </si>
  <si>
    <t>3rd Qtr 2011</t>
  </si>
  <si>
    <t>4th Qtr 2011</t>
  </si>
  <si>
    <t xml:space="preserve">   Included in the Divisor </t>
  </si>
  <si>
    <t>Attachment GG Revenue Requirement</t>
  </si>
  <si>
    <t>Attachment MM Revenue Requirement</t>
  </si>
  <si>
    <t>Line 33 must equal zero since all short-term power sales must be unbundled and the transmission component reflected</t>
  </si>
  <si>
    <t>in Account No. 456.1 and all other uses are to be included in the divisor.</t>
  </si>
  <si>
    <t>Transmission charges associated with Schedule 26a</t>
  </si>
  <si>
    <t>Dec 2012</t>
  </si>
  <si>
    <t>CAPX2020 - Lacrosse - Land Wis Portion</t>
  </si>
  <si>
    <t>CAPX2020 - Lacrosse - Subs Wis Portion</t>
  </si>
  <si>
    <t>CAPX2020 - Lacrosse - Total Lax Wis Portion</t>
  </si>
  <si>
    <t>Less: FERC Annual Charges</t>
  </si>
  <si>
    <t xml:space="preserve">Less: EPRI Dues Charged to A&amp;G </t>
  </si>
  <si>
    <t>Less: Regulatory Commission Expense (excluding FERC Annual)</t>
  </si>
  <si>
    <t>Less: Non-Safety Advertising Expense</t>
  </si>
  <si>
    <t xml:space="preserve">         Account 561.4 - Scheduling, system Control &amp; Dispatch</t>
  </si>
  <si>
    <t xml:space="preserve">         Account 561.8 - Reliability, Planning &amp; Standards Dev</t>
  </si>
  <si>
    <t>Less: Load Serving Entity Expenses Incl. In Transmission O&amp;M</t>
  </si>
  <si>
    <t xml:space="preserve">         InterChange</t>
  </si>
  <si>
    <t>Acct</t>
  </si>
  <si>
    <t xml:space="preserve">   A</t>
  </si>
  <si>
    <t>Sum A</t>
  </si>
  <si>
    <t>Various</t>
  </si>
  <si>
    <t>2013 Workpapers Pursuant to the Annual Rate</t>
  </si>
  <si>
    <t>2013 Actual Workpaper</t>
  </si>
  <si>
    <t>Actual 12 Months Ended December 31, 2013</t>
  </si>
  <si>
    <t>January 2013</t>
  </si>
  <si>
    <t>December 2013</t>
  </si>
  <si>
    <t>historic 2013 FF1 Net Plant</t>
  </si>
  <si>
    <t>Actual 2011</t>
  </si>
  <si>
    <t>Budget 2011</t>
  </si>
  <si>
    <t>Interest form Jan 1, 2011 the Dec 31, 2012</t>
  </si>
  <si>
    <t>Interest Rate (@ Company ST Rate)</t>
  </si>
  <si>
    <t>Jan 2013</t>
  </si>
  <si>
    <t>Dec 2013</t>
  </si>
  <si>
    <t>December 2012 Per FERC Form 1</t>
  </si>
  <si>
    <t>December 2012 Attachment O</t>
  </si>
  <si>
    <t>December 2013 Per FERC Form 1</t>
  </si>
  <si>
    <t>December 2013 Attachment O</t>
  </si>
  <si>
    <t>Northern States Power Company-WI</t>
  </si>
  <si>
    <t>Less ARO Per FERC Form 1</t>
  </si>
  <si>
    <t>Less ARC</t>
  </si>
  <si>
    <t>Transmission-Related Rent (JDE 814998.517910)</t>
  </si>
  <si>
    <t>Attachment GG Actual Revenue Requirement 2013</t>
  </si>
  <si>
    <t>Attachment MM Actual Revenue Requirement 2013</t>
  </si>
  <si>
    <t>Check</t>
  </si>
  <si>
    <t>.35-(.35x+x)</t>
  </si>
  <si>
    <t>=</t>
  </si>
  <si>
    <t>.35+.65x</t>
  </si>
  <si>
    <t>-.35+.35+.65x</t>
  </si>
  <si>
    <t>0.65x</t>
  </si>
  <si>
    <t>0.65x/.65</t>
  </si>
  <si>
    <t>x</t>
  </si>
  <si>
    <t>SIT Composite</t>
  </si>
  <si>
    <t>To footnote K</t>
  </si>
  <si>
    <t>COMPOSITE TAX RATE RECAP</t>
  </si>
  <si>
    <t>0.408661-.35</t>
  </si>
  <si>
    <t>0.05866/.65</t>
  </si>
  <si>
    <t>=(1-0.0902477)*0.35+0.0902477</t>
  </si>
  <si>
    <t>Fed Rate</t>
  </si>
  <si>
    <t>Transmission (336.7b)</t>
  </si>
  <si>
    <t>General &amp; Intangible (336.10f &amp; 336.1f)</t>
  </si>
  <si>
    <t>Total Common (336.11b &amp; d)</t>
  </si>
  <si>
    <t>Federal &amp; State Composite Rate</t>
  </si>
  <si>
    <t xml:space="preserve">Wi Cum Expend  Only </t>
  </si>
  <si>
    <t>Total Lacrosse MN</t>
  </si>
  <si>
    <t>Actual 2013</t>
  </si>
  <si>
    <t>Budget 2013</t>
  </si>
  <si>
    <t>Item II.E. Number</t>
  </si>
  <si>
    <t>Information Required by Tariff Protocol</t>
  </si>
  <si>
    <t>Compliance Information or Reference</t>
  </si>
  <si>
    <t>1.</t>
  </si>
  <si>
    <t>2.</t>
  </si>
  <si>
    <t xml:space="preserve">Be based on NSP Companies’ FERC Form No. 1 reports for the prior calendar year; </t>
  </si>
  <si>
    <t xml:space="preserve">NSPM and NSPW FERC Form No. 1 reports were used for the calendar year 2013 </t>
  </si>
  <si>
    <t>3.</t>
  </si>
  <si>
    <t>4.</t>
  </si>
  <si>
    <t>Provide sufficient information to enable Interested Parties (as that term is defined in Section II.G of these protocols) to replicate the calculation of the Annual True-Up results from the FERC Form No. 1 reports;</t>
  </si>
  <si>
    <t>5.</t>
  </si>
  <si>
    <t>Identify any changes in the formula references (page and line numbers) to the FERC Form No. 1 reports;</t>
  </si>
  <si>
    <t>6.</t>
  </si>
  <si>
    <t>Identify all material adjustments made to the FERC Form No. 1 report data in determining formula inputs, including relevant footnotes to the FERC Form No. 1 reports and any adjustments not shown in the FERC Form No. 1 reports;</t>
  </si>
  <si>
    <t>7.</t>
  </si>
  <si>
    <t>This Revision 1 replaces the original submitted file titled "NSP MISO Attachment O 2013 Actuals and Supporting Work Papers" posted on May 29, 2014.</t>
  </si>
  <si>
    <t xml:space="preserve">The impact of this update is a reduction of the original estimated Attachment O annual true-up from $24.5M to $23.1M. All effected work papers/tabs have been updated accordingly in this submission and are identified with a "-Rev1" suffix. </t>
  </si>
  <si>
    <t>Provide underlying data for formula rate inputs that provide greater granularity than is required for the FERC Form No. 1 reports;</t>
  </si>
  <si>
    <t>8.</t>
  </si>
  <si>
    <t>With respect to any change in accounting that affects inputs to the formula rate or the resulting charges billed under the formula rate (“Accounting Change”):</t>
  </si>
  <si>
    <t>8. a.</t>
  </si>
  <si>
    <t>Identify any Accounting Changes, including</t>
  </si>
  <si>
    <t>8. a. i.</t>
  </si>
  <si>
    <t>The initial implementation of an accounting standard or policy;</t>
  </si>
  <si>
    <t>8. a. ii.</t>
  </si>
  <si>
    <t>the initial implementation of accounting practices for unusual or unconventional items where FERC has not provided specific accounting direction;</t>
  </si>
  <si>
    <t>8. a. iii.</t>
  </si>
  <si>
    <t>correction of errors and prior period adjustments that impact the True-Up Adjustment calculation;</t>
  </si>
  <si>
    <t>8. a. iv.</t>
  </si>
  <si>
    <t>the implementation of new estimation methods or policies that change prior estimates; and</t>
  </si>
  <si>
    <t>changes to income tax elections;</t>
  </si>
  <si>
    <t>8. b.</t>
  </si>
  <si>
    <t>Identify items included in the Annual True-Up at an amount other than on a historic cost basis (e.g., fair value adjustments);</t>
  </si>
  <si>
    <t>8. c.</t>
  </si>
  <si>
    <t>Identify any reorganization or merger transaction during the previous year and explain the effect of the accounting for such transaction(s) on inputs to the Annual True-Up;</t>
  </si>
  <si>
    <t>No reorganization or merger transaction took place during the previous year.</t>
  </si>
  <si>
    <t>8. d.</t>
  </si>
  <si>
    <t>Provide, for each item identified pursuant to items II.E.8.a - II.E.8.c of these protocols, a narrative explanation of the individual impact of such changes on the True-Up Adjustment.</t>
  </si>
  <si>
    <t>Page 1 of 5</t>
  </si>
  <si>
    <t xml:space="preserve">Formula Rate - Non-Levelized </t>
  </si>
  <si>
    <t xml:space="preserve">     Rate Formula Template</t>
  </si>
  <si>
    <t>For the 12 months ended 12/31/13</t>
  </si>
  <si>
    <t xml:space="preserve"> Utilizing FERC Form 1 Data</t>
  </si>
  <si>
    <t>Allocated</t>
  </si>
  <si>
    <t>Amount</t>
  </si>
  <si>
    <t>GROSS REVENUE REQUIREMENT  (page 3, line 31)</t>
  </si>
  <si>
    <t xml:space="preserve">REVENUE CREDITS </t>
  </si>
  <si>
    <t>(Note T)</t>
  </si>
  <si>
    <t>Allocator</t>
  </si>
  <si>
    <t xml:space="preserve">  Account No. 454</t>
  </si>
  <si>
    <t>(page 4, line 34)</t>
  </si>
  <si>
    <t>TP</t>
  </si>
  <si>
    <t xml:space="preserve">  Account No. 456.1</t>
  </si>
  <si>
    <t>(page 4, line 37)</t>
  </si>
  <si>
    <t xml:space="preserve">  Revenues from Grandfathered Interzonal Transactions</t>
  </si>
  <si>
    <t xml:space="preserve">  Revenues from service provided by the ISO at a discount</t>
  </si>
  <si>
    <t>TOTAL REVENUE CREDITS  (sum lines 2-5)</t>
  </si>
  <si>
    <t>Control Area</t>
  </si>
  <si>
    <t>Gross Plant</t>
  </si>
  <si>
    <t>6a</t>
  </si>
  <si>
    <t>Historic Year Actual ATRR</t>
  </si>
  <si>
    <t>GRE-NSP</t>
  </si>
  <si>
    <t>6b</t>
  </si>
  <si>
    <t>Projected ATRR from Prior Year</t>
  </si>
  <si>
    <t>Input from Prior Year</t>
  </si>
  <si>
    <t>NSP-NSP</t>
  </si>
  <si>
    <t>6c</t>
  </si>
  <si>
    <t>Prior Year ATRR True-Up</t>
  </si>
  <si>
    <t>(line 6a - line 6b)</t>
  </si>
  <si>
    <t>6d</t>
  </si>
  <si>
    <t>Prior Year Divisor True-Up</t>
  </si>
  <si>
    <t>(Note Z)</t>
  </si>
  <si>
    <t>6e</t>
  </si>
  <si>
    <t>Interest on Prior Year True-Up</t>
  </si>
  <si>
    <t>(line 1 - line 6 + line 6c through 6e)</t>
  </si>
  <si>
    <t xml:space="preserve">DIVISOR </t>
  </si>
  <si>
    <t xml:space="preserve">  Average of 12 coincident system peaks for requirements (RQ) service</t>
  </si>
  <si>
    <t>(Note A)</t>
  </si>
  <si>
    <t>Net plant in GRE</t>
  </si>
  <si>
    <t>gross plant in GRE</t>
  </si>
  <si>
    <t xml:space="preserve">  Plus 12 CP of firm bundled sales over one year not in line 8</t>
  </si>
  <si>
    <t>(Note B)</t>
  </si>
  <si>
    <t>% of net plant in GRE 2005</t>
  </si>
  <si>
    <t>% of gross plant in GRE</t>
  </si>
  <si>
    <t>(Note C)</t>
  </si>
  <si>
    <t>GRE load in Divisor</t>
  </si>
  <si>
    <t xml:space="preserve">  Less 12 CP of firm P-T-P over one year (enter negative)</t>
  </si>
  <si>
    <t>(Note D)</t>
  </si>
  <si>
    <t>RR</t>
  </si>
  <si>
    <t xml:space="preserve">  Less Contract Demand from Grandfathered Interzonal Transactions over one year (enter negative)  (Note S)</t>
  </si>
  <si>
    <t xml:space="preserve">  Less Contract Demands from service over one year provided by ISO at a discount (enter negative)</t>
  </si>
  <si>
    <t>(line 7 / line 15)</t>
  </si>
  <si>
    <t xml:space="preserve">Network &amp; P-to-P Rate ($/kW/Mo) </t>
  </si>
  <si>
    <t>(line 16 / 12)</t>
  </si>
  <si>
    <t>Peak Rate</t>
  </si>
  <si>
    <t>Off-Peak Rate</t>
  </si>
  <si>
    <t>Point-To-Point Rate ($/kW/Wk)</t>
  </si>
  <si>
    <t>(line 16 / 52; line 16 / 52)</t>
  </si>
  <si>
    <t>Point-To-Point Rate ($/kW/Day)</t>
  </si>
  <si>
    <t>(line 16 / 260; line 16 / 365)</t>
  </si>
  <si>
    <t>Capped at weekly rate</t>
  </si>
  <si>
    <t>Point-To-Point Rate ($/MWh)</t>
  </si>
  <si>
    <t>(line 16 / 4,160; line 16 / 8,760</t>
  </si>
  <si>
    <t>Capped at weekly</t>
  </si>
  <si>
    <t xml:space="preserve"> times 1,000)</t>
  </si>
  <si>
    <t xml:space="preserve"> and daily rates</t>
  </si>
  <si>
    <t>FERC Annual Charge ($/MWh)</t>
  </si>
  <si>
    <t>(Note E)</t>
  </si>
  <si>
    <t>Short Term</t>
  </si>
  <si>
    <t>Long Term</t>
  </si>
  <si>
    <t>Page 2 of 5</t>
  </si>
  <si>
    <t>(1)</t>
  </si>
  <si>
    <t>(2)</t>
  </si>
  <si>
    <t>(3)</t>
  </si>
  <si>
    <t>(4)</t>
  </si>
  <si>
    <t>(5)</t>
  </si>
  <si>
    <t>Form No. 1</t>
  </si>
  <si>
    <t>Minnesota</t>
  </si>
  <si>
    <t>Wisconsin</t>
  </si>
  <si>
    <t>Page, Line, Col.</t>
  </si>
  <si>
    <t>Company Total</t>
  </si>
  <si>
    <t xml:space="preserve">                  Allocator</t>
  </si>
  <si>
    <t>(Col 3 times Col 4)</t>
  </si>
  <si>
    <t>RATE BASE:</t>
  </si>
  <si>
    <t>GROSS PLANT IN SERVICE  (Note X, Note EE)</t>
  </si>
  <si>
    <t xml:space="preserve">  Production</t>
  </si>
  <si>
    <t>205.46.g</t>
  </si>
  <si>
    <t>NA</t>
  </si>
  <si>
    <t xml:space="preserve">  Transmission</t>
  </si>
  <si>
    <t>207.58.g</t>
  </si>
  <si>
    <t xml:space="preserve">  Distribution</t>
  </si>
  <si>
    <t>207.75.g</t>
  </si>
  <si>
    <t xml:space="preserve">  General &amp; Intangible</t>
  </si>
  <si>
    <t>205.5.g &amp; 207.99.g</t>
  </si>
  <si>
    <t>W/S</t>
  </si>
  <si>
    <t xml:space="preserve">  Common</t>
  </si>
  <si>
    <t>356.1</t>
  </si>
  <si>
    <t>CE</t>
  </si>
  <si>
    <t>TOTAL GROSS PLANT  (sum lines 1-5)</t>
  </si>
  <si>
    <t>GP=</t>
  </si>
  <si>
    <t>ACCUMULATED DEPRECIATION  (Note X, Note EE)</t>
  </si>
  <si>
    <t>219.20-24.c</t>
  </si>
  <si>
    <t>219.25.c</t>
  </si>
  <si>
    <t>219.26.c</t>
  </si>
  <si>
    <t>219.28.c &amp; 200.21.c</t>
  </si>
  <si>
    <t>TOTAL ACCUM. DEPRECIATION  (sum lines 7-11)</t>
  </si>
  <si>
    <t>NET PLANT IN SERVICE  (Note X)</t>
  </si>
  <si>
    <t>(line 1- line 7)</t>
  </si>
  <si>
    <t>(line 2 - line 8)</t>
  </si>
  <si>
    <t>(line 3 - line 9)</t>
  </si>
  <si>
    <t>(line 4 - line 10)</t>
  </si>
  <si>
    <t>(line 5 - line 11)</t>
  </si>
  <si>
    <t>TOTAL NET PLANT  (sum lines 13-17)</t>
  </si>
  <si>
    <t>NP=</t>
  </si>
  <si>
    <t>18a</t>
  </si>
  <si>
    <t>CWIP for Certificate of Need Projects   (Note X)</t>
  </si>
  <si>
    <t>216.b</t>
  </si>
  <si>
    <t xml:space="preserve">ADJUSTMENTS TO RATE BASE       </t>
  </si>
  <si>
    <t xml:space="preserve">  Account No. 281 (enter negative)  (Note F,  Note Y)</t>
  </si>
  <si>
    <t>273.8.k</t>
  </si>
  <si>
    <t>zero</t>
  </si>
  <si>
    <t xml:space="preserve">  Account No. 282 (enter negative)  (Note F,  Note Y)</t>
  </si>
  <si>
    <t>275.2.k</t>
  </si>
  <si>
    <t>NP</t>
  </si>
  <si>
    <t xml:space="preserve">  Account No. 283 (enter negative)  (Note F,  Note Y)</t>
  </si>
  <si>
    <t>277.9.k</t>
  </si>
  <si>
    <t xml:space="preserve">  Account No. 190                            (Note F,  Note Y) </t>
  </si>
  <si>
    <t>234.8.c</t>
  </si>
  <si>
    <t xml:space="preserve">  Account No. 255 (enter negative)  (Note F,  Note Y)</t>
  </si>
  <si>
    <t>267.8.h</t>
  </si>
  <si>
    <t>23a</t>
  </si>
  <si>
    <t xml:space="preserve">  Net Prefunded AFUDC on CWIP Included in Rate Base</t>
  </si>
  <si>
    <t>(Note W, Note X)</t>
  </si>
  <si>
    <t>23b</t>
  </si>
  <si>
    <t xml:space="preserve">  Unamortized Balance of Abandoned Plant</t>
  </si>
  <si>
    <t>TOTAL ADJUSTMENTS  (sum lines 19- 23b)</t>
  </si>
  <si>
    <t xml:space="preserve">LAND HELD FOR FUTURE USE  (Note Y)         </t>
  </si>
  <si>
    <t>214.x.d  (Note G)</t>
  </si>
  <si>
    <t xml:space="preserve">The lower overall return requirement ($5.7M) is the combination of lower actual rate base and a decrease in the overall weighted cost of capital. The lower actual rate base ($33.2M) lowered the return requirement approximately ($3.0M) while the decrease in the weighted cost of capital for 2013 (discussed below) lowered the return requirement by ($2.7M).  </t>
  </si>
  <si>
    <t>The decrease in the weighted cost of capital for 2013 of (0.15%) [8.88% actual compared to the budget level of 9.03%] was primarily associated with of a lower overall cost of debt (4.81% actual compared to 5.15% budget). The 2013 actual equity percentage increase over the budgeted level (53.79% actual compared to 53.69% budget).</t>
  </si>
  <si>
    <t>does not include AFUDC or Prefunded AFUDC. Therefor the CWIP related Pre-funded AFUDC</t>
  </si>
  <si>
    <r>
      <t xml:space="preserve">b.   </t>
    </r>
    <r>
      <rPr>
        <b/>
        <i/>
        <sz val="10"/>
        <rFont val="Arial"/>
        <family val="2"/>
      </rPr>
      <t xml:space="preserve">Prior Period Adjustments and Subsequent Events </t>
    </r>
    <r>
      <rPr>
        <sz val="10"/>
        <rFont val="Arial"/>
        <family val="2"/>
      </rPr>
      <t xml:space="preserve">– As part of its normal reconciliation, reporting and audit processes, NSPM and NSPW may identify reconciling items and subsequent events following the completion of the annual close process. In aggregate, NSPM and NSPW are not aware of any transactions that had a material impact on the formula rate.  </t>
    </r>
  </si>
  <si>
    <r>
      <t xml:space="preserve">a. </t>
    </r>
    <r>
      <rPr>
        <b/>
        <i/>
        <sz val="10"/>
        <rFont val="Arial"/>
        <family val="2"/>
      </rPr>
      <t>Asset Retirement Obligations Reporting</t>
    </r>
    <r>
      <rPr>
        <sz val="10"/>
        <rFont val="Arial"/>
        <family val="2"/>
      </rPr>
      <t xml:space="preserve"> – During 2013, NSPM and NSPW reclassified amounts from its distribution asset retirement obligation (ARO) and related asset retirement cost (ARC) into other functional classes including production, transmission, and general based on the underlying obligation.  The reclassification occurred in 2013 in order to maintain compliance with the FERC Uniform System of Accounts and is the result of an audit by the FERC at another utility subsidiary of Xcel Energy Inc.  This reclassification had an immaterial impact on the formula rate.  </t>
    </r>
  </si>
  <si>
    <t>None</t>
  </si>
  <si>
    <t>8. a.v.</t>
  </si>
  <si>
    <r>
      <t xml:space="preserve">c.  </t>
    </r>
    <r>
      <rPr>
        <b/>
        <i/>
        <sz val="10"/>
        <rFont val="Arial"/>
        <family val="2"/>
      </rPr>
      <t>General Asset Accounting (GAA) Election –</t>
    </r>
    <r>
      <rPr>
        <b/>
        <sz val="10"/>
        <rFont val="Arial"/>
        <family val="2"/>
      </rPr>
      <t xml:space="preserve"> </t>
    </r>
    <r>
      <rPr>
        <sz val="10"/>
        <rFont val="Arial"/>
        <family val="2"/>
      </rPr>
      <t>In December 2013, the Company filed a tax accounting method change to make a late general asset account (GAA) election under section 168(i)(4) and Treas. Reg. § 1.168(i)-1 and Treas. Reg. § 1.168(i)-1T, and to make a late election to recognize gain or loss on the disposition of assets that are the subject of the late GAA election in accordance with Treas. Reg. § 1.168(i)-1T(e)(3)(ii) for the taxable year beginning January 1, 2013 and ending December 31, 2013.</t>
    </r>
  </si>
  <si>
    <r>
      <t xml:space="preserve">a.  </t>
    </r>
    <r>
      <rPr>
        <b/>
        <i/>
        <sz val="10"/>
        <rFont val="Arial"/>
        <family val="2"/>
      </rPr>
      <t>Repair &amp; Maintenance</t>
    </r>
    <r>
      <rPr>
        <sz val="10"/>
        <rFont val="Arial"/>
        <family val="2"/>
      </rPr>
      <t xml:space="preserve"> – The Internal Revenue Service (IRS) issued guidance on Aug. 19, 2011 for calculating repairs to electric transmission and distribution (T&amp;D) assets and on April 30, 2013 for calculating repairs to electric generation assets. The electric T&amp;D guidance was issued with Revenue Procedure 2011-43 and the electric generation guidance was issued with Revenue Procedure 2013-24.  As a result of this guidance, the Company changed its tax method of accounting for electric T&amp;D assets with its 2011 federal income tax return and for generation assets with its 2012 federal income tax return.  The Revenue Procedures allow the Company to claim repair deduction for certain expenditures that were capitalized for book purposes.  The Company previously claimed similar deductions for tax purposes and has now modified its calculation process to be consistent with the Revenue Procedures.</t>
    </r>
  </si>
  <si>
    <t>No items in the Annual True-up were included at an amount other than on a historic cost basis.</t>
  </si>
  <si>
    <t>The election provides a safeguard against the potential permanent loss of deductions if the IRS asserts casualty loss deductions are mandatory, not elective, and that related section 1016 basis reductions for casualty losses must be made even if the Section 165 casualty loss deduction was not originally claimed. These elections should not impact the income tax calculation in the formula rate.</t>
  </si>
  <si>
    <t>These tax elections are not expected to have an impact on the income tax calculation in the formula rate.</t>
  </si>
  <si>
    <t xml:space="preserve">See Tabs: "2013 True Up Calculation"; "2013 Attachment O" and tabs beginning with "WP" </t>
  </si>
  <si>
    <t>Include a workable data-populated Formula Rate Template and underlying work papers in native format with all formulas and links intact;</t>
  </si>
  <si>
    <t>Provide the formula rate calculations and all inputs thereto, as well as supporting documentation and work papers for data that are used in the Annual True-Up that are not otherwise available in the FERC Form No. 1 reports;</t>
  </si>
  <si>
    <t>See Items Identified below.</t>
  </si>
  <si>
    <r>
      <t xml:space="preserve">b.  </t>
    </r>
    <r>
      <rPr>
        <b/>
        <i/>
        <sz val="10"/>
        <rFont val="Arial"/>
        <family val="2"/>
      </rPr>
      <t>Dispositions of Tangible Depreciable Assets</t>
    </r>
    <r>
      <rPr>
        <sz val="10"/>
        <rFont val="Arial"/>
        <family val="2"/>
      </rPr>
      <t xml:space="preserve"> – With its 2011 and 2012 federal income tax return, the Company changed its tax method of accounting for retirements of electric T&amp;D and generation property, respectively, in order to be consistent with recently issued tangible property regulations. Previously, when an asset was retired for book purposes the Company claimed a tax deduction for any remaining tax basis.  Under the new method, if a capital work order is determined to represent a repair for tax purposes, any remaining basis of the asset that was retired has to continue depreciating for tax purposes.</t>
    </r>
  </si>
  <si>
    <t>Account 456 - Other Electric Revenue (1)</t>
  </si>
  <si>
    <t>Balance per above</t>
  </si>
  <si>
    <t xml:space="preserve">     Total as reported on Form 1 Page 330</t>
  </si>
  <si>
    <t>Plus: Actual Att GG Revenues Booked in 2013</t>
  </si>
  <si>
    <t>Plus: Actual Att MM Revenues Booked in 2013</t>
  </si>
  <si>
    <t>Prefunded Balance</t>
  </si>
  <si>
    <r>
      <t xml:space="preserve">a.       </t>
    </r>
    <r>
      <rPr>
        <b/>
        <i/>
        <sz val="10"/>
        <rFont val="Arial"/>
        <family val="2"/>
      </rPr>
      <t>Outside Services Employed / Regulatory Commission Expenses</t>
    </r>
    <r>
      <rPr>
        <sz val="10"/>
        <rFont val="Arial"/>
        <family val="2"/>
      </rPr>
      <t xml:space="preserve"> – In 2013, NSPM and NSPW reviewed outside legal costs charged to various FERC accounts but primarily to Account 923 Outside Services Employed and Account 928 Regulatory Commission Expenses.  As a result of this review, NSPM and NSPW reclassified certain outside legal costs for regulatory matters to Account 928.  Internal reference sheets were updated for the business areas to utilize in their accounting practices going forward.  This review and resulting reclassification decreased the overall revenue requirement in the formula rate.  </t>
    </r>
  </si>
  <si>
    <t>NSP Companies MISO Attachment O - NSP</t>
  </si>
  <si>
    <t>Annual True-up</t>
  </si>
  <si>
    <t xml:space="preserve">Comparison of 2013 Actuals to 2013 Budget </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</si>
  <si>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</si>
  <si>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</si>
  <si>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</si>
  <si>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</si>
  <si>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</si>
  <si>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</si>
  <si>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</si>
  <si>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</si>
  <si>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</si>
  <si>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</si>
  <si>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</si>
  <si>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</si>
  <si>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</si>
  <si>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</si>
  <si>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</si>
  <si>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</si>
  <si>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</si>
  <si>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</si>
  <si>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</si>
  <si>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</si>
  <si>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</si>
  <si>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</si>
  <si>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</si>
  <si>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</si>
  <si>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</si>
  <si>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</si>
  <si>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</si>
  <si>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</si>
  <si>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</si>
  <si>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</si>
  <si>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</si>
  <si>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</si>
  <si>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</si>
  <si>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</si>
  <si>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</si>
  <si>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</si>
  <si>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</si>
  <si>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</si>
  <si>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</si>
  <si>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</si>
  <si>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</si>
  <si>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</si>
  <si>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</si>
  <si>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</si>
  <si>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</si>
  <si>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</si>
  <si>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</si>
  <si>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</si>
  <si>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</si>
  <si>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</si>
  <si>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13 Mo Ave</t>
  </si>
  <si>
    <t>Construction Work In Progress Detail</t>
  </si>
  <si>
    <t>Less:  Att GG 2013 True Up Revenue Requirement</t>
  </si>
  <si>
    <t>Revision 1</t>
  </si>
  <si>
    <t>8-29-14</t>
  </si>
  <si>
    <t>Updated Tabs:</t>
  </si>
  <si>
    <t xml:space="preserve">     Comparison-Rev1</t>
  </si>
  <si>
    <t xml:space="preserve">     2013 Attachment O-Rev 1</t>
  </si>
  <si>
    <t xml:space="preserve">     WP Revenue Credits-Rev 1</t>
  </si>
  <si>
    <t xml:space="preserve">     2013 True Up Calculation-Rev 1</t>
  </si>
  <si>
    <t>Date</t>
  </si>
  <si>
    <t>Version</t>
  </si>
  <si>
    <t>Explanation</t>
  </si>
  <si>
    <t>The original filed true-up on the Attachment O, Page 3, Line 30 inadvertently included the Attachment GG true-up amount which resulted in an overstatement of the Attachment GG deduction from the Attachment O revenue requirement calculation.</t>
  </si>
  <si>
    <t>Less:  Att MM 2013 True Up Revenue Requirement</t>
  </si>
  <si>
    <t xml:space="preserve">2013 True Up Calculation </t>
  </si>
  <si>
    <t>A-B</t>
  </si>
  <si>
    <t>To 2015 Attachment O line items 6a, 6b, 6c and 6d</t>
  </si>
  <si>
    <t>The lower operating costs ($17.3) was associated with lower actual depreciation costs of  ($6.6M), lower net A&amp;G costs ($4.9M), lower transmission operating costs ($2.2M), lower taxes other than income ($2.9M), and slightly lower income taxes ($0.7M).</t>
  </si>
  <si>
    <t>The decrease in rate base ($33.2M) was due to lower net plant ($21.1M), lower CWIP associated with the CapX2020 projects (16.4M). Offsetting these rate base increases were increased working capital (primarily Prepayments) $6.2M and a higher level of adjustments to rate base $1.9M, which is a credit to rate base.</t>
  </si>
  <si>
    <t xml:space="preserve">The favorable deviation in the actual transmission usage 171,583 is due primarily to  higher RQ service volumes 142k and slightly higher than planned Network loads of 29k.   </t>
  </si>
  <si>
    <t>WORKING CAPITAL  (Note H)</t>
  </si>
  <si>
    <t xml:space="preserve">  CWC  </t>
  </si>
  <si>
    <t>calculated</t>
  </si>
  <si>
    <t xml:space="preserve">  Materials &amp; Supplies  (Note G, Note Y)               </t>
  </si>
  <si>
    <t>227.8.c &amp; .16.c</t>
  </si>
  <si>
    <t>TE</t>
  </si>
  <si>
    <t xml:space="preserve">  Prepayments  (Account 165, Note Y)                  </t>
  </si>
  <si>
    <t>111.57.c</t>
  </si>
  <si>
    <t>GP</t>
  </si>
  <si>
    <t>TOTAL WORKING CAPITAL  (sum lines 26 - 28)</t>
  </si>
  <si>
    <t>RATE BASE  (sum lines 18, 18a, 24, 25, &amp; 29)</t>
  </si>
  <si>
    <t>Page 3 of 5</t>
  </si>
  <si>
    <t>O&amp;M  (Note FF)</t>
  </si>
  <si>
    <t xml:space="preserve">  Transmission </t>
  </si>
  <si>
    <t>321.112.b</t>
  </si>
  <si>
    <t>1a</t>
  </si>
  <si>
    <t xml:space="preserve">     Less LSE Expenses included in Transmission O&amp;M Accounts  (Note V)</t>
  </si>
  <si>
    <t xml:space="preserve">     Less Account 565</t>
  </si>
  <si>
    <t>321.96.b</t>
  </si>
  <si>
    <t xml:space="preserve">  A&amp;G</t>
  </si>
  <si>
    <t>323.197.b</t>
  </si>
  <si>
    <t xml:space="preserve">     Less FERC Annual Fees</t>
  </si>
  <si>
    <t xml:space="preserve">     Less EPRI &amp; Reg. Comm. Exp. &amp; Non-safety  Ad.  (Note I)</t>
  </si>
  <si>
    <t>5a</t>
  </si>
  <si>
    <t xml:space="preserve">     Plus Transmission Related Reg. Comm.  Exp.  (Note I)</t>
  </si>
  <si>
    <t xml:space="preserve">  Transmission Lease Payments</t>
  </si>
  <si>
    <t>TOTAL O&amp;M  (sum lines 1, 3, 5a, 6, 7 less lines 1a, 2, 4, 5)</t>
  </si>
  <si>
    <t>DEPRECIATION AND AMORTIZATION EXPENSE (Note EE)</t>
  </si>
  <si>
    <t>336.7.b</t>
  </si>
  <si>
    <t>9a</t>
  </si>
  <si>
    <t xml:space="preserve">  Prefunded AFUDC Amortization</t>
  </si>
  <si>
    <t>(Note W)</t>
  </si>
  <si>
    <t>9b</t>
  </si>
  <si>
    <t xml:space="preserve">  Abandoned Plant Amortization</t>
  </si>
  <si>
    <t>336.10.f &amp; 336.1.f</t>
  </si>
  <si>
    <t xml:space="preserve">  Common &amp; Intangible</t>
  </si>
  <si>
    <t>336.11.b &amp; d</t>
  </si>
  <si>
    <t>TOTAL DEPRECIATION  (sum lines 9 - 11)</t>
  </si>
  <si>
    <t>TAXES OTHER THAN INCOME TAXES  (Note J)</t>
  </si>
  <si>
    <t xml:space="preserve">  LABOR RELATED</t>
  </si>
  <si>
    <t xml:space="preserve">          Payroll</t>
  </si>
  <si>
    <t>263.i</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</si>
  <si>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</si>
  <si>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</si>
  <si>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</si>
  <si>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</si>
  <si>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</si>
  <si>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</si>
  <si>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</si>
  <si>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</si>
  <si>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(Note K)</t>
  </si>
  <si>
    <t xml:space="preserve">     T=1 - {[(1 - SIT) * (1 - FIT)] / (1 - SIT * FIT * p)} =</t>
  </si>
  <si>
    <t xml:space="preserve">     CIT=(T/1-T) * (1-(WCLTD/R)) =</t>
  </si>
  <si>
    <t xml:space="preserve">       where WCLTD=(page 4, line 27) and R= (page 4, line 30)</t>
  </si>
  <si>
    <t xml:space="preserve">       and FIT, SIT &amp; p are as given in footnote K.</t>
  </si>
  <si>
    <t xml:space="preserve">      1 / (1 - T)  = (from line 21)</t>
  </si>
  <si>
    <t>Amortized Investment Tax Credit (266.8f) (enter negative)</t>
  </si>
  <si>
    <t>Income Tax Calculation = line 22 * line 28</t>
  </si>
  <si>
    <t>ITC adjustment  (line 23 * line 24)</t>
  </si>
  <si>
    <t>Total Income Taxes</t>
  </si>
  <si>
    <t>(line 25 plus line 26)</t>
  </si>
  <si>
    <t xml:space="preserve">RETURN </t>
  </si>
  <si>
    <t xml:space="preserve">  [Rate Base (page 2, line 30) * Rate of Return (page 4, line 30)]</t>
  </si>
  <si>
    <t>REV. REQUIREMENT  (sum lines 8, 12, 20, 27, 28)</t>
  </si>
  <si>
    <t>LESS ATTACHMENT GG ADJUSTMENT [Attachment GG, page 2, line 3, column 10]  (Note AA)</t>
  </si>
  <si>
    <t xml:space="preserve">[revenue requirement for facilities included on page 2, line 2, and also included </t>
  </si>
  <si>
    <t>in Attachment GG]</t>
  </si>
  <si>
    <t>30a</t>
  </si>
  <si>
    <t>LESS ATTACHMENT MM ADJUSTMENT [Attachment MM, page 2, line 3, column 10]  (Note CC)</t>
  </si>
  <si>
    <t>in Attachment MM]</t>
  </si>
  <si>
    <t>REV. REQUIREMENT TO BE COLLECTED UNDER ATTACHMENT O</t>
  </si>
  <si>
    <t>(line 29 - line 30 - line 30a)</t>
  </si>
  <si>
    <t>Page 4 of 5</t>
  </si>
  <si>
    <t xml:space="preserve">                SUPPORTING CALCULATIONS AND NOTES</t>
  </si>
  <si>
    <t>TRANSMISSION PLANT INCLUDED IN ISO RATES</t>
  </si>
  <si>
    <t>Total transmission plant  (page 2, line 2 - line 2a, column 3)</t>
  </si>
  <si>
    <t>Less transmission plant excluded from ISO rates  (Note M)</t>
  </si>
  <si>
    <t>Less transmission plant included in OATT Ancillary Services  (Note N )</t>
  </si>
  <si>
    <t>Transmission plant included in ISO rates  (line 1 less lines 2 &amp; 3)</t>
  </si>
  <si>
    <t>Percentage of transmission plant included in ISO Rates  (line 4 divided by line 1)</t>
  </si>
  <si>
    <t>TP=</t>
  </si>
  <si>
    <t xml:space="preserve">TRANSMISSION EXPENSES </t>
  </si>
  <si>
    <t>Schedule 1 Recoverable Expenses</t>
  </si>
  <si>
    <t>Total transmission expenses  (page 3, line 1, column 3)</t>
  </si>
  <si>
    <t>Less transmission expenses included in OATT Ancillary Services  (Note L)</t>
  </si>
  <si>
    <t>Acct 561 included in Line 7</t>
  </si>
  <si>
    <t>Included transmission expenses  (line 6 less line 7)</t>
  </si>
  <si>
    <t>Acct 561.BA for Schedule 24</t>
  </si>
  <si>
    <t>Acct 561 available for Schedule 1</t>
  </si>
  <si>
    <t>Percentage of transmission expenses after adjustment  (line 8 divided by line 6)</t>
  </si>
  <si>
    <t>Revenue Credits for Sched 1/Acct 561</t>
  </si>
  <si>
    <t>Percentage of transmission plant included in ISO Rates  (line 5)</t>
  </si>
  <si>
    <t>transactions &lt;1 yr</t>
  </si>
  <si>
    <t>Percentage of transmission expenses included in ISO Rates  (line 9 times line 10)</t>
  </si>
  <si>
    <t>TE=</t>
  </si>
  <si>
    <t>non-firm</t>
  </si>
  <si>
    <t>transactions w/ load not in divisor</t>
  </si>
  <si>
    <t>WAGES &amp; SALARY ALLOCATOR   (W&amp;S)</t>
  </si>
  <si>
    <t>total Revenue Credits</t>
  </si>
  <si>
    <t>Form 1 Reference</t>
  </si>
  <si>
    <t>$</t>
  </si>
  <si>
    <t>Allocation</t>
  </si>
  <si>
    <t>Net Schedule 1 Expenses (Acct 561 minus Credits)</t>
  </si>
  <si>
    <t>354.20.b</t>
  </si>
  <si>
    <t>354.21.b</t>
  </si>
  <si>
    <t>354.23.b</t>
  </si>
  <si>
    <t>W&amp;S Allocator</t>
  </si>
  <si>
    <t xml:space="preserve">  Other</t>
  </si>
  <si>
    <t>354.24, 25, 26.b</t>
  </si>
  <si>
    <t>($ / Allocation)</t>
  </si>
  <si>
    <t xml:space="preserve">  Total  (sum lines 12-15)</t>
  </si>
  <si>
    <t>=WS</t>
  </si>
  <si>
    <t>COMMON PLANT ALLOCATOR  (CE)  (Note O)</t>
  </si>
  <si>
    <t>% Electric</t>
  </si>
  <si>
    <t xml:space="preserve">  Electric</t>
  </si>
  <si>
    <t>200.3.c</t>
  </si>
  <si>
    <t>(line 17 / line 20)</t>
  </si>
  <si>
    <t>(line 16)</t>
  </si>
  <si>
    <t xml:space="preserve">  Gas</t>
  </si>
  <si>
    <t>201.3.d</t>
  </si>
  <si>
    <t xml:space="preserve">  Water</t>
  </si>
  <si>
    <t>201.3.e</t>
  </si>
  <si>
    <t xml:space="preserve">  Total (sum lines 17 - 19)</t>
  </si>
  <si>
    <t>RETURN (R)</t>
  </si>
  <si>
    <t>Long Term Interest  (117, sum of 62.c through 67.c)</t>
  </si>
  <si>
    <t>Preferred Dividends (118.29c) (positive number)</t>
  </si>
  <si>
    <t xml:space="preserve">                                          Development of Common Stock:</t>
  </si>
  <si>
    <t>Proprietary Capital  (112.16.c)</t>
  </si>
  <si>
    <t xml:space="preserve">Less Preferred Stock (line 28) </t>
  </si>
  <si>
    <t>Less Account 216.1 (112.12.c)  (enter negative)</t>
  </si>
  <si>
    <t>(sum lines 23-25)</t>
  </si>
  <si>
    <t>%</t>
  </si>
  <si>
    <t>(Note P)</t>
  </si>
  <si>
    <t xml:space="preserve">  Long Term Debt  (112, sum of  18.c through 21.c)</t>
  </si>
  <si>
    <t>=WCLTD</t>
  </si>
  <si>
    <t xml:space="preserve">  Preferred Stock  (112.3.c)</t>
  </si>
  <si>
    <t xml:space="preserve">  Common Stock  (line 26)</t>
  </si>
  <si>
    <t>Total  (sum lines 27-29)</t>
  </si>
  <si>
    <t>=R</t>
  </si>
  <si>
    <t>REVENUE CREDITS</t>
  </si>
  <si>
    <t>ACCOUNT 447 (SALES FOR RESALE)</t>
  </si>
  <si>
    <t>(310-311)</t>
  </si>
  <si>
    <t>(Note Q)</t>
  </si>
  <si>
    <t xml:space="preserve">  a. Bundled Non-RQ Sales for Resale  (311.x.h)</t>
  </si>
  <si>
    <t xml:space="preserve">  b. Bundled Sales for Resale  included in Divisor on page 1</t>
  </si>
  <si>
    <t xml:space="preserve">  Total of (a)-(b)</t>
  </si>
  <si>
    <t>ACCOUNT 454 (RENT FROM ELECTRIC PROPERTY)  (Note R)</t>
  </si>
  <si>
    <t>ACCOUNT 456.1 (OTHER ELECTRIC REVENUES)  (Note U)</t>
  </si>
  <si>
    <t>(330.x.n)</t>
  </si>
  <si>
    <t xml:space="preserve">  a. Transmission charges for all transmission transactions </t>
  </si>
  <si>
    <t xml:space="preserve">  b. Transmission charges for all transmission transactions included in Divisor on Page 1</t>
  </si>
  <si>
    <t>36a</t>
  </si>
  <si>
    <t xml:space="preserve">  c. Transmission charges associated with Schedules 26 and 37  (Note BB)</t>
  </si>
  <si>
    <t>36b</t>
  </si>
  <si>
    <t xml:space="preserve">  d. Transmission charges associated with Schedule 26-A  (Note DD)</t>
  </si>
  <si>
    <t>Total of (a)-(b)-(c)-(d)</t>
  </si>
  <si>
    <t>Page 5 of 5</t>
  </si>
  <si>
    <t>For the 12 months ended 12/31/__</t>
  </si>
  <si>
    <t>General Note:  References to pages in this formulary rate are indicated as:  (page#, line#, col.#)</t>
  </si>
  <si>
    <t>References to data from FERC Form 1 are indicated as:   #.y.x  (page, line, column)</t>
  </si>
  <si>
    <t>Note</t>
  </si>
  <si>
    <t>Letter</t>
  </si>
  <si>
    <t>A</t>
  </si>
  <si>
    <t>As reported on page 400, column e of Form 1.</t>
  </si>
  <si>
    <t>B</t>
  </si>
  <si>
    <t>Labeled LF, LU, IF, IU on pages 310-311 of Form 1.</t>
  </si>
  <si>
    <t>C</t>
  </si>
  <si>
    <t>As reported on page 400, column f of Form 1.</t>
  </si>
  <si>
    <t>D</t>
  </si>
  <si>
    <t>Labeled LF on page 328 of Form 1.</t>
  </si>
  <si>
    <t>E</t>
  </si>
  <si>
    <t xml:space="preserve">The FERC's annual charges for the year assessed the Transmission Owner for service under this tariff. </t>
  </si>
  <si>
    <t>F</t>
  </si>
  <si>
    <t xml:space="preserve">The balances in Accounts 190, 281, 282 and 283, as adjusted by any amounts in contra accounts identified as regulatory assets or liabilities related to FASB 106 or 109.  </t>
  </si>
  <si>
    <t xml:space="preserve">Balance of Account 255 is reduced by prior flow throughs and excluded if the utility chose to utilize amortization of tax credits against taxable income as discussed in Note K. </t>
  </si>
  <si>
    <t>Account 281 is not allocated.</t>
  </si>
  <si>
    <t>G</t>
  </si>
  <si>
    <t>Identified in Form 1 as being only transmission related.</t>
  </si>
  <si>
    <t>H</t>
  </si>
  <si>
    <t xml:space="preserve">Cash Working Capital assigned to transmission is one-eighth of O&amp;M allocated to transmission at page 3, line 8, column 5.  Prepayments are the electric related </t>
  </si>
  <si>
    <t>prepayments booked to Account No. 165 and reported on Page 111, line 57 in the Form 1.</t>
  </si>
  <si>
    <t>I</t>
  </si>
  <si>
    <t xml:space="preserve">See Tabs: "2013 Attachment O" and tabs beginning with "WP" </t>
  </si>
  <si>
    <t>No Changes for the 2013 Actual Costs formula template</t>
  </si>
  <si>
    <t>No material adjustments were made to the FERC Form No. 1 report data.</t>
  </si>
  <si>
    <r>
      <t xml:space="preserve">a.       </t>
    </r>
    <r>
      <rPr>
        <b/>
        <i/>
        <sz val="10"/>
        <rFont val="Arial"/>
        <family val="2"/>
      </rPr>
      <t xml:space="preserve">Balance Sheet Offsetting </t>
    </r>
    <r>
      <rPr>
        <sz val="10"/>
        <rFont val="Arial"/>
        <family val="2"/>
      </rPr>
      <t xml:space="preserve">— In December 2011, the FASB issued </t>
    </r>
    <r>
      <rPr>
        <i/>
        <sz val="10"/>
        <rFont val="Arial"/>
        <family val="2"/>
      </rPr>
      <t>Balance Sheet (Topic 210) — Disclosures about Offsetting Assets and Liabilities (ASU No. 2011-11)</t>
    </r>
    <r>
      <rPr>
        <sz val="10"/>
        <rFont val="Arial"/>
        <family val="2"/>
      </rPr>
      <t xml:space="preserve">, which requires disclosures regarding netting arrangements in agreements underlying derivatives, certain financial instruments and related collateral amounts, and the extent to which an entity’s financial statement presentation policies related to netting arrangements impact amounts recorded to the financial statements. In January 2013, the FASB issued </t>
    </r>
    <r>
      <rPr>
        <i/>
        <sz val="10"/>
        <rFont val="Arial"/>
        <family val="2"/>
      </rPr>
      <t xml:space="preserve">Balance Sheet (Topic 210) – Clarifying the Scope of Disclosures about Offsetting Assets and Liabilities (ASU No. 2013-01) </t>
    </r>
    <r>
      <rPr>
        <sz val="10"/>
        <rFont val="Arial"/>
        <family val="2"/>
      </rPr>
      <t xml:space="preserve">to clarify the specific instruments that should be considered in these disclosures. These disclosure requirements do not affect the presentation of amounts in the consolidated balance sheets, and were effective for annual reporting periods beginning on or after Jan. 1, 2013, and interim periods within those annual reporting periods. NSPM and NSPW implemented the disclosure guidance effective Jan. 1, 2013, and the implementation did not have a material impact on its consolidated financial statements.   </t>
    </r>
  </si>
  <si>
    <r>
      <t xml:space="preserve">b.       </t>
    </r>
    <r>
      <rPr>
        <b/>
        <i/>
        <sz val="10"/>
        <rFont val="Arial"/>
        <family val="2"/>
      </rPr>
      <t xml:space="preserve">Comprehensive Income Disclosures </t>
    </r>
    <r>
      <rPr>
        <sz val="10"/>
        <rFont val="Arial"/>
        <family val="2"/>
      </rPr>
      <t xml:space="preserve">— In February 2013, the FASB issued </t>
    </r>
    <r>
      <rPr>
        <i/>
        <sz val="10"/>
        <rFont val="Arial"/>
        <family val="2"/>
      </rPr>
      <t xml:space="preserve">Comprehensive Income (Topic 220) — Reporting of Amounts Reclassified Out of Accumulated Other Comprehensive Income (“OCI”) (ASU No. 2013-02), </t>
    </r>
    <r>
      <rPr>
        <sz val="10"/>
        <rFont val="Arial"/>
        <family val="2"/>
      </rPr>
      <t xml:space="preserve">which requires detailed disclosures regarding changes in components of accumulated OCI and amounts reclassified out of accumulated OCI. These disclosure requirements do not change how net income or comprehensive income is presented in the consolidated financial statements. These disclosure requirements were effective for annual reporting periods beginning on or after Dec. 15, 2012, and interim periods within those annual reporting periods. NSPM and NSPW implemented the disclosure guidance effective Jan. 1, 2013, and the implementation did not have a material impact on it consolidated financial statements.  </t>
    </r>
  </si>
  <si>
    <r>
      <t xml:space="preserve">c.       </t>
    </r>
    <r>
      <rPr>
        <b/>
        <i/>
        <sz val="10"/>
        <rFont val="Arial"/>
        <family val="2"/>
      </rPr>
      <t xml:space="preserve">FERC Order No. 784 </t>
    </r>
    <r>
      <rPr>
        <sz val="10"/>
        <rFont val="Arial"/>
        <family val="2"/>
      </rPr>
      <t xml:space="preserve">— In July 2013, the FERC issued a Final Rule in Docket No. RM11-24-000, </t>
    </r>
    <r>
      <rPr>
        <i/>
        <sz val="10"/>
        <rFont val="Arial"/>
        <family val="2"/>
      </rPr>
      <t>Order No. 784 (144 FERC ¶ 61,056) —</t>
    </r>
    <r>
      <rPr>
        <b/>
        <i/>
        <sz val="10"/>
        <rFont val="Arial"/>
        <family val="2"/>
      </rPr>
      <t xml:space="preserve"> </t>
    </r>
    <r>
      <rPr>
        <i/>
        <sz val="10"/>
        <rFont val="Arial"/>
        <family val="2"/>
      </rPr>
      <t>Third-Party Provision of Ancillary Services; Accounting and Financial Reporting for New Electric Storage Technologies</t>
    </r>
    <r>
      <rPr>
        <sz val="10"/>
        <rFont val="Arial"/>
        <family val="2"/>
      </rPr>
      <t xml:space="preserve"> which revised certain aspects of its current market-based rate regulations, ancillary service requirements under the </t>
    </r>
    <r>
      <rPr>
        <i/>
        <sz val="10"/>
        <rFont val="Arial"/>
        <family val="2"/>
      </rPr>
      <t>pro forma</t>
    </r>
    <r>
      <rPr>
        <sz val="10"/>
        <rFont val="Arial"/>
        <family val="2"/>
      </rPr>
      <t xml:space="preserve"> open-access transmission tariff (OATT), and the accounting and reporting requirements for new electric storage technologies.  The accounting and reporting revisions in the Final Rule adopted new and revised existing electric plant accounts and associated Operation and Maintenance (O&amp;M) expense accounts, including a purchased power account, for new electric storage technologies.  In addition, the Commission adopted new schedules in the Form Nos. 1 and 1-F and revised existing schedules in the FERC Forms.  In February 2014, the FERC issued </t>
    </r>
    <r>
      <rPr>
        <i/>
        <sz val="10"/>
        <rFont val="Arial"/>
        <family val="2"/>
      </rPr>
      <t xml:space="preserve">Order No. 784-A </t>
    </r>
    <r>
      <rPr>
        <sz val="10"/>
        <rFont val="Arial"/>
        <family val="2"/>
      </rPr>
      <t xml:space="preserve">granting clarification in part and denying clarification in part (146 FERC ¶ 61,114).  </t>
    </r>
  </si>
  <si>
    <t>Att GG Col 10</t>
  </si>
  <si>
    <t>Att MM Col 14</t>
  </si>
  <si>
    <t xml:space="preserve">NSPM and NSPW implemented the new requirements as of Jan. 1, 2013.  Due to software limitations which prevented the new and revised schedules from being incorporated in the FERC Forms, the Chief Accountant issued interim guidance in February 2014 for the financial accounting and reporting of new electric storage technologies.  NSPM and NSPW followed this interim guidance in its 2013 Form 1s filed April 11, 2014 with the FERC.  </t>
  </si>
  <si>
    <r>
      <t xml:space="preserve">b.       </t>
    </r>
    <r>
      <rPr>
        <b/>
        <i/>
        <sz val="10"/>
        <rFont val="Arial"/>
        <family val="2"/>
      </rPr>
      <t xml:space="preserve">Qualified Pension Costs – </t>
    </r>
    <r>
      <rPr>
        <sz val="10"/>
        <rFont val="Arial"/>
        <family val="2"/>
      </rPr>
      <t xml:space="preserve">In the final order in the 2013 Minnesota Electric Retail Rate Case (Docket No. 12-961) issued Sept. 3, 2013, the Minnesota Public Utilities Commission adopted two methods to smooth recovery of NSPM’s qualified pension costs and mitigate the impact on retail rates.  As a result, NSPM extended the amortization period from 10 to 20 years for all market gains/losses on the NSPM Plan and capped the Xcel Energy Services (XES) pension expense at the 2011 level.  (The difference between actual XES pension expense and the 2011 cap amount will be deferred into future years.)  In total, this order resulted in the deferral to a regulatory asset of $8.4 million qualified pension costs on an unjurisdictionalized basis.  This deferral decreased the overall revenue requirement in the formula rate.      </t>
    </r>
  </si>
  <si>
    <t xml:space="preserve">Line 5 - EPRI Annual Membership Dues listed in Form 1 at 353.f, all Regulatory Commission Expenses itemized at 351.h, and non-safety related advertising included in </t>
  </si>
  <si>
    <t xml:space="preserve">Account 930.1.  Line 5a - Regulatory Commission Expenses directly related to transmission service, ISO filings, or transmission siting itemized at 351.h. </t>
  </si>
  <si>
    <t>J</t>
  </si>
  <si>
    <t>Includes only FICA, unemployment, highway, property, gross receipts, and other assessments charged in the current year.  Taxes related to income are excluded.  Gross</t>
  </si>
  <si>
    <t>receipts taxes are not included in transmission revenue requirement in the Rate Formula Template, since they are recovered elsewhere.</t>
  </si>
  <si>
    <t>K</t>
  </si>
  <si>
    <t xml:space="preserve">The currently effective income tax rate,  where FIT is the Federal income tax rate; SIT is the State income tax rate, and p = "the percentage of federal income tax </t>
  </si>
  <si>
    <t xml:space="preserve">deductible for state income taxes".  If the utility is taxed in more than one state it must attach a work paper showing the name of each state and how the blended or </t>
  </si>
  <si>
    <t xml:space="preserve">composite SIT was developed.  Furthermore, a utility that elected to utilize amortization of tax credits against taxable income, rather than book tax credits to Account No. 255 </t>
  </si>
  <si>
    <t>and reduce rate base, must reduce its income tax expense by the amount of the Amortized Investment Tax Credit (Form 1, 266.8.f) multiplied by (1/1-T) (page 3, line 26).</t>
  </si>
  <si>
    <t xml:space="preserve">         Inputs Required:</t>
  </si>
  <si>
    <t>FIT =</t>
  </si>
  <si>
    <t>SIT=</t>
  </si>
  <si>
    <t xml:space="preserve">  (State Income Tax Rate or Composite SIT)</t>
  </si>
  <si>
    <t>p =</t>
  </si>
  <si>
    <t xml:space="preserve">  (percent of federal income tax deductible for state purposes)</t>
  </si>
  <si>
    <t>L</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</si>
  <si>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</si>
  <si>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M</t>
  </si>
  <si>
    <t>Removes transmission plant determined by Commission order to be state-jurisdictional according to the seven-factor test (until Form 1 balances are adjusted to reflect</t>
  </si>
  <si>
    <t>application of seven-factor test).</t>
  </si>
  <si>
    <t>N</t>
  </si>
  <si>
    <r>
      <t xml:space="preserve">Removes dollar amount of transmission plant included in the development of OATT ancillary services rates and generation step-up facilities, which are deemed </t>
    </r>
    <r>
      <rPr>
        <sz val="12"/>
        <rFont val="Times New Roman"/>
        <family val="1"/>
      </rPr>
      <t>included</t>
    </r>
  </si>
  <si>
    <t xml:space="preserve">in OATT ancillary services.  For these purposes, generation step-up facilities are those facilities at a generator substation on which there is no through-flow when the </t>
  </si>
  <si>
    <t>generator is shut down.</t>
  </si>
  <si>
    <t>O</t>
  </si>
  <si>
    <t>Enter dollar amounts</t>
  </si>
  <si>
    <t>P</t>
  </si>
  <si>
    <t xml:space="preserve">Debt cost rate = long-term interest (line 21) / long term debt (line 27).  Preferred cost rate = preferred dividends (line 22) / preferred outstanding (line 28).  ROE will </t>
  </si>
  <si>
    <t>be supported in the original filing and no change in ROE may be made absent a filing with FERC.</t>
  </si>
  <si>
    <t>Q</t>
  </si>
  <si>
    <t>Line 33 must equal zero since all short-term power sales must be unbundled and the transmission component reflected in Account No. 456.1 and all other uses are to be</t>
  </si>
  <si>
    <t>included in the divisor.</t>
  </si>
  <si>
    <t>R</t>
  </si>
  <si>
    <t>Includes income related only to transmission facilities, such as pole attachments, rentals and special use.</t>
  </si>
  <si>
    <t>S</t>
  </si>
  <si>
    <r>
      <t>Grandfathered agreements whose rates have been changed to eliminate or mitigate pancaking - the revenues are included in line 4</t>
    </r>
    <r>
      <rPr>
        <sz val="12"/>
        <color indexed="10"/>
        <rFont val="Times New Roman"/>
        <family val="1"/>
      </rPr>
      <t>,</t>
    </r>
    <r>
      <rPr>
        <sz val="12"/>
        <rFont val="Times New Roman"/>
        <family val="1"/>
      </rPr>
      <t xml:space="preserve"> page 1 and the loads are included </t>
    </r>
  </si>
  <si>
    <r>
      <t xml:space="preserve">in line 13, page 1.  Grandfathered agreements whose rates have </t>
    </r>
    <r>
      <rPr>
        <u/>
        <sz val="12"/>
        <rFont val="Times New Roman"/>
        <family val="1"/>
      </rPr>
      <t>not</t>
    </r>
    <r>
      <rPr>
        <sz val="12"/>
        <rFont val="Times New Roman"/>
        <family val="1"/>
      </rPr>
      <t xml:space="preserve"> been changed to eliminate or mitigate pancaking - the revenues are not included in line 4, page 1 nor</t>
    </r>
  </si>
  <si>
    <t>are the loads included in line 13, page 1.</t>
  </si>
  <si>
    <t>T</t>
  </si>
  <si>
    <r>
      <t>The revenues credited on page 1</t>
    </r>
    <r>
      <rPr>
        <sz val="12"/>
        <color indexed="10"/>
        <rFont val="Times New Roman"/>
        <family val="1"/>
      </rPr>
      <t>,</t>
    </r>
    <r>
      <rPr>
        <sz val="12"/>
        <rFont val="Times New Roman"/>
        <family val="1"/>
      </rPr>
      <t xml:space="preserve"> lines 2-5 shall include only the amounts received directly (in the case of grandfathered agreements) or from the ISO (for service </t>
    </r>
  </si>
  <si>
    <t>under this tariff) reflecting the Transmission Owner's integrated transmission facilities.  They do not include revenues associated with FERC annual charges, gross receipts</t>
  </si>
  <si>
    <t>taxes, ancillary services, facilities not included in this template (e.g., direct assignment facilities and GSUs) which are not recovered under this Rate Formula Template.</t>
  </si>
  <si>
    <t>U</t>
  </si>
  <si>
    <t>Account 456.1 entry shall be the annual total of the quarterly values reported at Form 1, 330.x.n.</t>
  </si>
  <si>
    <t>V</t>
  </si>
  <si>
    <t>Account Nos. 561.4 and 561.8 consist of RTO expenses billed to load-serving entities and are not included in Transmission Owner revenue requirements.</t>
  </si>
  <si>
    <t>W</t>
  </si>
  <si>
    <t>Page 2, Line 23a includes the net pre-funded AFUDC amount associated with the CWIP projects included in rate base. The net pre-funded AFUDC amount is a total</t>
  </si>
  <si>
    <t xml:space="preserve">NSP System number (not jurisdictionalized), and is a reduction to rate base.  Page 3, line 9a includes that annual ammortization of the pre-funded AFUDC amounts for  </t>
  </si>
  <si>
    <t>the total NSP System (also not jurisdictionalized) and is a reduction to standard depreciation.</t>
  </si>
  <si>
    <t>Page 2, line 23b incudes any unamortized balances related to the recovery of abandoned plant costs approved by FERC under a separate docket.</t>
  </si>
  <si>
    <t>Page 3, line 9b includes the amoritization expense of abandonment costs included in transmission depreciation expense.</t>
  </si>
  <si>
    <t>These amounts are shown in the workpapers required pursuant to the Annual Rate Calculation and True-Up Procedures.</t>
  </si>
  <si>
    <t>X</t>
  </si>
  <si>
    <t>Calculate using 13 month average balance, reconciling to FERC Form No. 1 by page, line and column as shown in Column 2.</t>
  </si>
  <si>
    <t>Y</t>
  </si>
  <si>
    <t>Revision 2</t>
  </si>
  <si>
    <t>This Revision 2 replaces the Revision 1 submitted file titled "NSP MISO Attachment O 2013 Actuals and Supporting Work Papers Rev 1" posted on August 29, 2014.</t>
  </si>
  <si>
    <t>In the NSP Companies Attachment GG and Attachment MM 2013 true-up calculations, the prefunded cost removal had not been made prior to submission to MISO.</t>
  </si>
  <si>
    <t>The impact of this update reduced the Attachment GG and MM revenue credit included in the Attachment O. This results in a higher Net Revenue Requirement for Attachment O then previously calculated.</t>
  </si>
  <si>
    <t xml:space="preserve">     Comparison-Rev2</t>
  </si>
  <si>
    <t xml:space="preserve">     2013 Attachment O-Rev 2</t>
  </si>
  <si>
    <t xml:space="preserve">     WP Revenue Credits-Rev 2</t>
  </si>
  <si>
    <t xml:space="preserve">     2013 True Up Calculation-Rev 2</t>
  </si>
  <si>
    <t>9-29-14</t>
  </si>
  <si>
    <t xml:space="preserve">The impact of this update is a reduction of the revised estimated Attachment O annual true-up from $23.1M to $22.5M. All effected work papers/tabs have been updated accordingly in this submission and are identified with a "-Rev2" suffix. </t>
  </si>
  <si>
    <t>The actual Annual Cost ($/kw/yr) was $41.792 which was ($3.054), or 6.8% lower than the budgeted cost of $44.846. The lower actual cost was driven by lower net revenue requirements of $14.8M offset by higher than anticipated system transmission usage (actual demands were 171,583 KW higher than budget).</t>
  </si>
  <si>
    <t xml:space="preserve">The lower net revenue requirements were a function of lower gross revenue requirements of ($14.4M) and actual revenue credits being higher than budget by ($0.4M).  </t>
  </si>
  <si>
    <t>The lower gross revenue requirement was due to overall lower operating costs ($17.3M), and lower return requirement ($5.7M), partially offset by lower Attachment GG and MM revenue requirements which are a deduction in the Attachment O calculation $8.6M.</t>
  </si>
  <si>
    <t>9/30/2014 Rev 2</t>
  </si>
  <si>
    <t xml:space="preserve">     WP Cover </t>
  </si>
</sst>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General_)"/>
    <numFmt numFmtId="165" formatCode="0.00_)"/>
    <numFmt numFmtId="166" formatCode="#,##0.00&quot; $&quot;;\-#,##0.00&quot; $&quot;"/>
    <numFmt numFmtId="167" formatCode="_-* #,##0.0_-;\-* #,##0.0_-;_-* &quot;-&quot;??_-;_-@_-"/>
    <numFmt numFmtId="168" formatCode="m\-d\-yy"/>
    <numFmt numFmtId="169" formatCode="0.0000%"/>
    <numFmt numFmtId="170" formatCode="_(* #,##0_);_(* \(#,##0\);_(* &quot;-&quot;??_);_(@_)"/>
    <numFmt numFmtId="171" formatCode="0.0000"/>
    <numFmt numFmtId="172" formatCode="mmmm\ d\ yyyy"/>
    <numFmt numFmtId="173" formatCode="0.000%"/>
    <numFmt numFmtId="174" formatCode="#,##0.000_);\(#,##0.000\)"/>
    <numFmt numFmtId="175" formatCode="_(&quot;$&quot;* #,##0_);_(&quot;$&quot;* \(#,##0\);_(&quot;$&quot;* &quot;-&quot;??_);_(@_)"/>
    <numFmt numFmtId="176" formatCode="_(&quot;$&quot;* #,##0.00_);_(&quot;$&quot;* \(#,##0.00\);_(&quot;$&quot;* &quot;-&quot;_);_(@_)"/>
    <numFmt numFmtId="177" formatCode="#,##0.0"/>
    <numFmt numFmtId="178" formatCode="#,##0.000"/>
    <numFmt numFmtId="179" formatCode="_(&quot;$&quot;* #,##0.000_);_(&quot;$&quot;* \(#,##0.000\);_(&quot;$&quot;* &quot;-&quot;_);_(@_)"/>
    <numFmt numFmtId="180" formatCode="0.000000"/>
    <numFmt numFmtId="181" formatCode="0.00000"/>
    <numFmt numFmtId="182" formatCode="0.00000%"/>
    <numFmt numFmtId="183" formatCode="&quot;$&quot;#,##0.00"/>
    <numFmt numFmtId="184" formatCode="&quot;$&quot;#,##0"/>
    <numFmt numFmtId="185" formatCode="&quot;$&quot;#,##0.000"/>
    <numFmt numFmtId="186" formatCode="#,##0.00000"/>
    <numFmt numFmtId="187" formatCode="#,##0.0000"/>
  </numFmts>
  <fonts count="57">
    <font>
      <sz val="12"/>
      <name val="Arial"/>
    </font>
    <font>
      <sz val="12"/>
      <name val="Arial"/>
      <family val="2"/>
    </font>
    <font>
      <b/>
      <sz val="10"/>
      <name val="Arial"/>
      <family val="2"/>
    </font>
    <font>
      <sz val="11"/>
      <name val="??"/>
      <family val="3"/>
      <charset val="129"/>
    </font>
    <font>
      <sz val="10"/>
      <name val="Arial"/>
      <family val="2"/>
    </font>
    <font>
      <sz val="8"/>
      <name val="Arial"/>
      <family val="2"/>
    </font>
    <font>
      <b/>
      <u/>
      <sz val="11"/>
      <color indexed="37"/>
      <name val="Arial"/>
      <family val="2"/>
    </font>
    <font>
      <sz val="10"/>
      <color indexed="12"/>
      <name val="Arial"/>
      <family val="2"/>
    </font>
    <font>
      <sz val="7"/>
      <name val="Small Fonts"/>
      <family val="2"/>
    </font>
    <font>
      <b/>
      <i/>
      <sz val="16"/>
      <name val="Helv"/>
    </font>
    <font>
      <sz val="12"/>
      <name val="Arial"/>
      <family val="2"/>
    </font>
    <font>
      <sz val="10"/>
      <color indexed="12"/>
      <name val="MS Sans Serif"/>
      <family val="2"/>
    </font>
    <font>
      <b/>
      <sz val="10"/>
      <color indexed="12"/>
      <name val="MS Sans Serif"/>
      <family val="2"/>
    </font>
    <font>
      <sz val="8"/>
      <name val="Arial"/>
      <family val="2"/>
    </font>
    <font>
      <sz val="8"/>
      <color indexed="12"/>
      <name val="Arial"/>
      <family val="2"/>
    </font>
    <font>
      <b/>
      <sz val="12"/>
      <name val="Arial"/>
      <family val="2"/>
    </font>
    <font>
      <sz val="12"/>
      <name val="Garamond"/>
      <family val="1"/>
    </font>
    <font>
      <b/>
      <sz val="10"/>
      <color indexed="8"/>
      <name val="Arial"/>
      <family val="2"/>
    </font>
    <font>
      <sz val="10"/>
      <color indexed="8"/>
      <name val="Arial"/>
      <family val="2"/>
    </font>
    <font>
      <b/>
      <sz val="10"/>
      <name val="Arial"/>
      <family val="2"/>
    </font>
    <font>
      <sz val="10"/>
      <name val="Arial"/>
      <family val="2"/>
    </font>
    <font>
      <b/>
      <sz val="18"/>
      <name val="Arial"/>
      <family val="2"/>
    </font>
    <font>
      <sz val="12"/>
      <name val="Times New Roman"/>
      <family val="1"/>
    </font>
    <font>
      <sz val="8"/>
      <color indexed="81"/>
      <name val="Tahoma"/>
      <family val="2"/>
    </font>
    <font>
      <b/>
      <sz val="8"/>
      <color indexed="81"/>
      <name val="Tahoma"/>
      <family val="2"/>
    </font>
    <font>
      <b/>
      <sz val="9"/>
      <name val="Arial"/>
      <family val="2"/>
    </font>
    <font>
      <b/>
      <sz val="12"/>
      <name val="Times New Roman"/>
      <family val="1"/>
    </font>
    <font>
      <sz val="10"/>
      <name val="Times New Roman"/>
      <family val="1"/>
    </font>
    <font>
      <sz val="10"/>
      <color indexed="8"/>
      <name val="Arial"/>
      <family val="2"/>
    </font>
    <font>
      <sz val="12"/>
      <color indexed="9"/>
      <name val="Times New Roman"/>
      <family val="1"/>
    </font>
    <font>
      <sz val="18"/>
      <name val="Arial"/>
      <family val="2"/>
    </font>
    <font>
      <sz val="12"/>
      <name val="Arial"/>
      <family val="2"/>
    </font>
    <font>
      <b/>
      <i/>
      <sz val="10"/>
      <name val="Arial"/>
      <family val="2"/>
    </font>
    <font>
      <i/>
      <sz val="10"/>
      <name val="Arial"/>
      <family val="2"/>
    </font>
    <font>
      <b/>
      <u/>
      <sz val="10"/>
      <name val="Arial"/>
      <family val="2"/>
    </font>
    <font>
      <b/>
      <i/>
      <sz val="10"/>
      <color indexed="8"/>
      <name val="Arial"/>
      <family val="2"/>
    </font>
    <font>
      <sz val="11"/>
      <name val="Times New Roman"/>
      <family val="1"/>
    </font>
    <font>
      <b/>
      <sz val="8"/>
      <name val="Arial"/>
      <family val="2"/>
    </font>
    <font>
      <b/>
      <i/>
      <u/>
      <sz val="10"/>
      <name val="Arial"/>
      <family val="2"/>
    </font>
    <font>
      <b/>
      <sz val="12"/>
      <color indexed="10"/>
      <name val="Times New Roman"/>
      <family val="1"/>
    </font>
    <font>
      <sz val="12"/>
      <color indexed="12"/>
      <name val="Times New Roman"/>
      <family val="1"/>
    </font>
    <font>
      <strike/>
      <sz val="12"/>
      <color indexed="10"/>
      <name val="Times New Roman"/>
      <family val="1"/>
    </font>
    <font>
      <sz val="12"/>
      <color indexed="17"/>
      <name val="Times New Roman"/>
      <family val="1"/>
    </font>
    <font>
      <strike/>
      <sz val="12"/>
      <name val="Times New Roman"/>
      <family val="1"/>
    </font>
    <font>
      <sz val="12"/>
      <color indexed="10"/>
      <name val="Times New Roman"/>
      <family val="1"/>
    </font>
    <font>
      <sz val="12"/>
      <color indexed="8"/>
      <name val="Times New Roman"/>
      <family val="1"/>
    </font>
    <font>
      <u/>
      <sz val="12"/>
      <name val="Times New Roman"/>
      <family val="1"/>
    </font>
    <font>
      <u/>
      <sz val="10"/>
      <color indexed="8"/>
      <name val="Arial"/>
      <family val="2"/>
    </font>
    <font>
      <b/>
      <sz val="12"/>
      <color indexed="9"/>
      <name val="Times New Roman"/>
      <family val="1"/>
    </font>
    <font>
      <sz val="10"/>
      <color indexed="9"/>
      <name val="Arial"/>
      <family val="2"/>
    </font>
    <font>
      <sz val="12"/>
      <color indexed="9"/>
      <name val="Arial"/>
      <family val="2"/>
    </font>
    <font>
      <sz val="12"/>
      <color indexed="9"/>
      <name val="Arial MT"/>
    </font>
    <font>
      <u/>
      <sz val="12"/>
      <color indexed="9"/>
      <name val="Times New Roman"/>
      <family val="1"/>
    </font>
    <font>
      <u/>
      <sz val="10"/>
      <name val="Arial"/>
      <family val="2"/>
    </font>
    <font>
      <sz val="14"/>
      <color indexed="8"/>
      <name val="Arial"/>
      <family val="2"/>
    </font>
    <font>
      <sz val="12"/>
      <color indexed="10"/>
      <name val="Arial"/>
      <family val="2"/>
    </font>
    <font>
      <sz val="12"/>
      <color indexed="10"/>
      <name val="Arial"/>
      <family val="2"/>
    </font>
  </fonts>
  <fills count="13">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55"/>
        <bgColor indexed="64"/>
      </patternFill>
    </fill>
    <fill>
      <patternFill patternType="solid">
        <fgColor indexed="9"/>
        <bgColor indexed="64"/>
      </patternFill>
    </fill>
    <fill>
      <patternFill patternType="solid">
        <fgColor indexed="41"/>
        <bgColor indexed="64"/>
      </patternFill>
    </fill>
    <fill>
      <patternFill patternType="solid">
        <fgColor indexed="11"/>
        <bgColor indexed="64"/>
      </patternFill>
    </fill>
    <fill>
      <patternFill patternType="solid">
        <fgColor rgb="FFFFFF8B"/>
        <bgColor indexed="64"/>
      </patternFill>
    </fill>
  </fills>
  <borders count="29">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double">
        <color indexed="12"/>
      </left>
      <right style="double">
        <color indexed="12"/>
      </right>
      <top style="double">
        <color indexed="12"/>
      </top>
      <bottom style="dotted">
        <color indexed="12"/>
      </bottom>
      <diagonal/>
    </border>
    <border>
      <left style="thick">
        <color indexed="12"/>
      </left>
      <right style="thick">
        <color indexed="12"/>
      </right>
      <top style="thick">
        <color indexed="12"/>
      </top>
      <bottom/>
      <diagonal/>
    </border>
    <border>
      <left/>
      <right/>
      <top style="thin">
        <color indexed="64"/>
      </top>
      <bottom style="double">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bottom style="double">
        <color indexed="64"/>
      </bottom>
      <diagonal/>
    </border>
    <border>
      <left/>
      <right/>
      <top/>
      <bottom style="thin">
        <color indexed="8"/>
      </bottom>
      <diagonal/>
    </border>
    <border>
      <left/>
      <right/>
      <top/>
      <bottom style="double">
        <color indexed="8"/>
      </bottom>
      <diagonal/>
    </border>
    <border>
      <left/>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2">
    <xf numFmtId="0" fontId="0" fillId="0" borderId="0">
      <alignment vertical="top"/>
    </xf>
    <xf numFmtId="168" fontId="2" fillId="2" borderId="1">
      <alignment horizontal="center" vertical="center"/>
    </xf>
    <xf numFmtId="43" fontId="1"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6" fontId="3" fillId="0" borderId="0">
      <protection locked="0"/>
    </xf>
    <xf numFmtId="167" fontId="4" fillId="0" borderId="0">
      <protection locked="0"/>
    </xf>
    <xf numFmtId="38" fontId="5" fillId="3" borderId="0" applyNumberFormat="0" applyBorder="0" applyAlignment="0" applyProtection="0"/>
    <xf numFmtId="0" fontId="6" fillId="0" borderId="0" applyNumberFormat="0" applyFill="0" applyBorder="0" applyAlignment="0" applyProtection="0"/>
    <xf numFmtId="166" fontId="4" fillId="0" borderId="0">
      <protection locked="0"/>
    </xf>
    <xf numFmtId="166" fontId="4" fillId="0" borderId="0">
      <protection locked="0"/>
    </xf>
    <xf numFmtId="0" fontId="7" fillId="0" borderId="2" applyNumberFormat="0" applyFill="0" applyAlignment="0" applyProtection="0"/>
    <xf numFmtId="10" fontId="5" fillId="4" borderId="3" applyNumberFormat="0" applyBorder="0" applyAlignment="0" applyProtection="0"/>
    <xf numFmtId="37" fontId="8" fillId="0" borderId="0"/>
    <xf numFmtId="165" fontId="9" fillId="0" borderId="0"/>
    <xf numFmtId="0" fontId="16" fillId="0" borderId="0"/>
    <xf numFmtId="38" fontId="10" fillId="0" borderId="0"/>
    <xf numFmtId="0" fontId="20" fillId="0" borderId="0"/>
    <xf numFmtId="38" fontId="10" fillId="0" borderId="0"/>
    <xf numFmtId="0" fontId="1" fillId="0" borderId="0"/>
    <xf numFmtId="38" fontId="10" fillId="0" borderId="0"/>
    <xf numFmtId="38" fontId="10" fillId="0" borderId="0"/>
    <xf numFmtId="0" fontId="4" fillId="0" borderId="0"/>
    <xf numFmtId="9" fontId="1" fillId="0" borderId="0" applyFont="0" applyFill="0" applyBorder="0" applyAlignment="0" applyProtection="0"/>
    <xf numFmtId="10" fontId="4" fillId="0" borderId="0" applyFont="0" applyFill="0" applyBorder="0" applyAlignment="0" applyProtection="0"/>
    <xf numFmtId="0" fontId="11" fillId="0" borderId="4"/>
    <xf numFmtId="0" fontId="12" fillId="0" borderId="5"/>
    <xf numFmtId="0" fontId="4" fillId="0" borderId="0"/>
    <xf numFmtId="166" fontId="4" fillId="0" borderId="6">
      <protection locked="0"/>
    </xf>
    <xf numFmtId="37" fontId="5" fillId="5" borderId="0" applyNumberFormat="0" applyBorder="0" applyAlignment="0" applyProtection="0"/>
    <xf numFmtId="37" fontId="13" fillId="0" borderId="0"/>
    <xf numFmtId="3" fontId="14" fillId="0" borderId="2" applyProtection="0"/>
  </cellStyleXfs>
  <cellXfs count="549">
    <xf numFmtId="0" fontId="0" fillId="0" borderId="0" xfId="0" applyAlignment="1"/>
    <xf numFmtId="0" fontId="20" fillId="0" borderId="0" xfId="0" applyFont="1" applyAlignment="1"/>
    <xf numFmtId="0" fontId="15" fillId="0" borderId="0" xfId="0" applyFont="1" applyAlignment="1">
      <alignment horizontal="center"/>
    </xf>
    <xf numFmtId="170" fontId="22" fillId="0" borderId="0" xfId="2" applyNumberFormat="1" applyFont="1"/>
    <xf numFmtId="38" fontId="20" fillId="0" borderId="0" xfId="20" applyFont="1" applyFill="1"/>
    <xf numFmtId="0" fontId="27" fillId="0" borderId="0" xfId="0" applyNumberFormat="1" applyFont="1" applyFill="1" applyAlignment="1"/>
    <xf numFmtId="0" fontId="27" fillId="0" borderId="0" xfId="0" applyNumberFormat="1" applyFont="1" applyFill="1" applyAlignment="1">
      <alignment horizontal="center"/>
    </xf>
    <xf numFmtId="0" fontId="20" fillId="0" borderId="0" xfId="0" applyFont="1" applyFill="1" applyAlignment="1"/>
    <xf numFmtId="0" fontId="19" fillId="0" borderId="0" xfId="0" applyFont="1" applyFill="1" applyAlignment="1"/>
    <xf numFmtId="5" fontId="20" fillId="0" borderId="0" xfId="15" applyNumberFormat="1" applyFont="1" applyFill="1" applyAlignment="1">
      <alignment horizontal="right"/>
    </xf>
    <xf numFmtId="0" fontId="20" fillId="0" borderId="0" xfId="0" applyNumberFormat="1" applyFont="1" applyFill="1" applyAlignment="1"/>
    <xf numFmtId="3" fontId="20" fillId="0" borderId="0" xfId="0" applyNumberFormat="1" applyFont="1" applyFill="1" applyAlignment="1"/>
    <xf numFmtId="170" fontId="20" fillId="0" borderId="0" xfId="2" applyNumberFormat="1" applyFont="1" applyFill="1"/>
    <xf numFmtId="3" fontId="20" fillId="0" borderId="0" xfId="0" applyNumberFormat="1" applyFont="1" applyFill="1" applyBorder="1" applyAlignment="1"/>
    <xf numFmtId="3" fontId="20" fillId="0" borderId="7" xfId="0" applyNumberFormat="1" applyFont="1" applyFill="1" applyBorder="1" applyAlignment="1"/>
    <xf numFmtId="170" fontId="20" fillId="0" borderId="7" xfId="2" applyNumberFormat="1" applyFont="1" applyFill="1" applyBorder="1"/>
    <xf numFmtId="42" fontId="20" fillId="0" borderId="0" xfId="0" applyNumberFormat="1" applyFont="1" applyFill="1" applyAlignment="1"/>
    <xf numFmtId="0" fontId="20" fillId="0" borderId="0" xfId="0" applyFont="1" applyFill="1" applyAlignment="1">
      <alignment horizontal="right"/>
    </xf>
    <xf numFmtId="37" fontId="20" fillId="0" borderId="0" xfId="20" applyNumberFormat="1" applyFont="1" applyFill="1" applyProtection="1"/>
    <xf numFmtId="37" fontId="20" fillId="0" borderId="0" xfId="15" applyNumberFormat="1" applyFont="1" applyFill="1"/>
    <xf numFmtId="37" fontId="20" fillId="0" borderId="0" xfId="15" applyNumberFormat="1" applyFont="1" applyFill="1" applyAlignment="1">
      <alignment horizontal="right"/>
    </xf>
    <xf numFmtId="5" fontId="20" fillId="0" borderId="0" xfId="15" applyNumberFormat="1" applyFont="1" applyFill="1"/>
    <xf numFmtId="37" fontId="20" fillId="0" borderId="8" xfId="15" applyNumberFormat="1" applyFont="1" applyFill="1" applyBorder="1" applyAlignment="1">
      <alignment horizontal="right"/>
    </xf>
    <xf numFmtId="10" fontId="20" fillId="0" borderId="0" xfId="23" applyNumberFormat="1" applyFont="1" applyFill="1"/>
    <xf numFmtId="5" fontId="20" fillId="0" borderId="0" xfId="15" applyNumberFormat="1" applyFont="1" applyFill="1" applyBorder="1" applyProtection="1"/>
    <xf numFmtId="5" fontId="20" fillId="0" borderId="0" xfId="20" applyNumberFormat="1" applyFont="1" applyFill="1" applyProtection="1"/>
    <xf numFmtId="38" fontId="20" fillId="0" borderId="0" xfId="20" applyFont="1" applyFill="1" applyBorder="1"/>
    <xf numFmtId="0" fontId="20" fillId="0" borderId="0" xfId="0" applyFont="1">
      <alignment vertical="top"/>
    </xf>
    <xf numFmtId="170" fontId="22" fillId="0" borderId="0" xfId="2" applyNumberFormat="1" applyFont="1" applyFill="1"/>
    <xf numFmtId="170" fontId="22" fillId="6" borderId="0" xfId="2" applyNumberFormat="1" applyFont="1" applyFill="1"/>
    <xf numFmtId="170" fontId="29" fillId="0" borderId="0" xfId="2" applyNumberFormat="1" applyFont="1" applyFill="1" applyAlignment="1">
      <alignment horizontal="right"/>
    </xf>
    <xf numFmtId="170" fontId="22" fillId="7" borderId="0" xfId="2" applyNumberFormat="1" applyFont="1" applyFill="1"/>
    <xf numFmtId="170" fontId="22" fillId="8" borderId="0" xfId="2" applyNumberFormat="1" applyFont="1" applyFill="1"/>
    <xf numFmtId="170" fontId="29" fillId="0" borderId="0" xfId="2" applyNumberFormat="1" applyFont="1" applyAlignment="1">
      <alignment horizontal="right"/>
    </xf>
    <xf numFmtId="37" fontId="20" fillId="0" borderId="10" xfId="20" applyNumberFormat="1" applyFont="1" applyFill="1" applyBorder="1" applyProtection="1"/>
    <xf numFmtId="38" fontId="20" fillId="0" borderId="10" xfId="20" applyFont="1" applyFill="1" applyBorder="1"/>
    <xf numFmtId="5" fontId="19" fillId="0" borderId="11" xfId="20" applyNumberFormat="1" applyFont="1" applyFill="1" applyBorder="1" applyProtection="1"/>
    <xf numFmtId="5" fontId="20" fillId="0" borderId="0" xfId="0" applyNumberFormat="1" applyFont="1" applyFill="1" applyAlignment="1"/>
    <xf numFmtId="37" fontId="20" fillId="0" borderId="0" xfId="20" applyNumberFormat="1" applyFont="1" applyFill="1" applyBorder="1"/>
    <xf numFmtId="0" fontId="19" fillId="0" borderId="8" xfId="0" applyFont="1" applyFill="1" applyBorder="1" applyAlignment="1">
      <alignment horizontal="center"/>
    </xf>
    <xf numFmtId="5" fontId="19" fillId="0" borderId="0" xfId="20" applyNumberFormat="1" applyFont="1" applyFill="1" applyBorder="1" applyProtection="1"/>
    <xf numFmtId="38" fontId="20" fillId="0" borderId="8" xfId="20" applyFont="1" applyFill="1" applyBorder="1"/>
    <xf numFmtId="37" fontId="20" fillId="0" borderId="8" xfId="20" applyNumberFormat="1" applyFont="1" applyFill="1" applyBorder="1"/>
    <xf numFmtId="7" fontId="19" fillId="0" borderId="0" xfId="20" applyNumberFormat="1" applyFont="1" applyFill="1" applyBorder="1" applyProtection="1"/>
    <xf numFmtId="7" fontId="20" fillId="0" borderId="0" xfId="0" applyNumberFormat="1" applyFont="1" applyFill="1" applyAlignment="1"/>
    <xf numFmtId="5" fontId="20" fillId="0" borderId="8" xfId="20" applyNumberFormat="1" applyFont="1" applyFill="1" applyBorder="1" applyProtection="1"/>
    <xf numFmtId="0" fontId="19" fillId="0" borderId="0" xfId="0" applyFont="1" applyFill="1" applyAlignment="1">
      <alignment horizontal="center"/>
    </xf>
    <xf numFmtId="171" fontId="20" fillId="0" borderId="0" xfId="0" applyNumberFormat="1" applyFont="1" applyFill="1" applyAlignment="1"/>
    <xf numFmtId="173" fontId="20" fillId="0" borderId="0" xfId="23" applyNumberFormat="1" applyFont="1" applyFill="1"/>
    <xf numFmtId="0" fontId="20" fillId="0" borderId="8" xfId="22" applyFont="1" applyFill="1" applyBorder="1"/>
    <xf numFmtId="0" fontId="20" fillId="0" borderId="0" xfId="22" applyFont="1" applyFill="1"/>
    <xf numFmtId="170" fontId="20" fillId="0" borderId="6" xfId="3" applyNumberFormat="1" applyFont="1" applyFill="1" applyBorder="1"/>
    <xf numFmtId="10" fontId="20" fillId="0" borderId="6" xfId="23" applyNumberFormat="1" applyFont="1" applyFill="1" applyBorder="1"/>
    <xf numFmtId="37" fontId="20" fillId="0" borderId="0" xfId="0" applyNumberFormat="1" applyFont="1" applyFill="1" applyAlignment="1"/>
    <xf numFmtId="37" fontId="20" fillId="0" borderId="8" xfId="0" applyNumberFormat="1" applyFont="1" applyFill="1" applyBorder="1" applyAlignment="1"/>
    <xf numFmtId="37" fontId="20" fillId="0" borderId="0" xfId="0" applyNumberFormat="1" applyFont="1" applyFill="1" applyBorder="1" applyAlignment="1"/>
    <xf numFmtId="0" fontId="19" fillId="0" borderId="0" xfId="19" applyFont="1" applyFill="1" applyAlignment="1">
      <alignment horizontal="left" vertical="center"/>
    </xf>
    <xf numFmtId="37" fontId="20" fillId="0" borderId="0" xfId="15" applyNumberFormat="1" applyFont="1" applyFill="1" applyAlignment="1" applyProtection="1">
      <alignment horizontal="right"/>
    </xf>
    <xf numFmtId="37" fontId="20" fillId="0" borderId="10" xfId="15" applyNumberFormat="1" applyFont="1" applyFill="1" applyBorder="1" applyAlignment="1">
      <alignment horizontal="right"/>
    </xf>
    <xf numFmtId="5" fontId="20" fillId="0" borderId="11" xfId="15" applyNumberFormat="1" applyFont="1" applyFill="1" applyBorder="1" applyAlignment="1">
      <alignment horizontal="right"/>
    </xf>
    <xf numFmtId="5" fontId="20" fillId="0" borderId="11" xfId="0" applyNumberFormat="1" applyFont="1" applyFill="1" applyBorder="1" applyAlignment="1"/>
    <xf numFmtId="0" fontId="19" fillId="0" borderId="8" xfId="0" applyFont="1" applyFill="1" applyBorder="1" applyAlignment="1"/>
    <xf numFmtId="9" fontId="20" fillId="0" borderId="0" xfId="0" applyNumberFormat="1" applyFont="1" applyFill="1" applyAlignment="1"/>
    <xf numFmtId="10" fontId="20" fillId="0" borderId="0" xfId="0" applyNumberFormat="1" applyFont="1" applyFill="1" applyAlignment="1"/>
    <xf numFmtId="169" fontId="20" fillId="0" borderId="0" xfId="0" applyNumberFormat="1" applyFont="1" applyFill="1" applyAlignment="1"/>
    <xf numFmtId="9" fontId="20" fillId="0" borderId="8" xfId="0" applyNumberFormat="1" applyFont="1" applyFill="1" applyBorder="1" applyAlignment="1"/>
    <xf numFmtId="37" fontId="19" fillId="0" borderId="0" xfId="0" applyNumberFormat="1" applyFont="1" applyFill="1" applyAlignment="1">
      <alignment horizontal="center"/>
    </xf>
    <xf numFmtId="37" fontId="20" fillId="0" borderId="0" xfId="20" applyNumberFormat="1" applyFont="1" applyFill="1"/>
    <xf numFmtId="175" fontId="20" fillId="0" borderId="6" xfId="0" applyNumberFormat="1" applyFont="1" applyFill="1" applyBorder="1" applyAlignment="1"/>
    <xf numFmtId="0" fontId="20" fillId="0" borderId="0" xfId="0" applyFont="1" applyFill="1" applyAlignment="1">
      <alignment horizontal="center"/>
    </xf>
    <xf numFmtId="170" fontId="20" fillId="0" borderId="0" xfId="0" applyNumberFormat="1" applyFont="1" applyFill="1" applyAlignment="1"/>
    <xf numFmtId="42" fontId="20" fillId="0" borderId="11" xfId="0" applyNumberFormat="1" applyFont="1" applyFill="1" applyBorder="1" applyAlignment="1">
      <alignment horizontal="right"/>
    </xf>
    <xf numFmtId="164" fontId="19" fillId="0" borderId="0" xfId="20" applyNumberFormat="1" applyFont="1" applyFill="1" applyAlignment="1" applyProtection="1"/>
    <xf numFmtId="38" fontId="19" fillId="0" borderId="0" xfId="20" applyFont="1" applyFill="1"/>
    <xf numFmtId="164" fontId="19" fillId="0" borderId="0" xfId="20" applyNumberFormat="1" applyFont="1" applyFill="1" applyAlignment="1" applyProtection="1">
      <alignment horizontal="right"/>
      <protection locked="0"/>
    </xf>
    <xf numFmtId="38" fontId="20" fillId="0" borderId="0" xfId="20" applyFont="1" applyFill="1" applyAlignment="1"/>
    <xf numFmtId="38" fontId="20" fillId="0" borderId="0" xfId="21" applyFont="1" applyFill="1"/>
    <xf numFmtId="164" fontId="19" fillId="0" borderId="0" xfId="20" applyNumberFormat="1" applyFont="1" applyFill="1" applyAlignment="1" applyProtection="1">
      <alignment horizontal="center"/>
    </xf>
    <xf numFmtId="164" fontId="19" fillId="0" borderId="0" xfId="20" applyNumberFormat="1" applyFont="1" applyFill="1" applyBorder="1" applyAlignment="1" applyProtection="1">
      <alignment horizontal="center"/>
    </xf>
    <xf numFmtId="38" fontId="19" fillId="0" borderId="0" xfId="20" applyFont="1" applyFill="1" applyAlignment="1">
      <alignment horizontal="center"/>
    </xf>
    <xf numFmtId="38" fontId="20" fillId="0" borderId="12" xfId="20" applyFont="1" applyFill="1" applyBorder="1" applyAlignment="1"/>
    <xf numFmtId="38" fontId="20" fillId="0" borderId="0" xfId="20" quotePrefix="1" applyFont="1" applyFill="1" applyAlignment="1"/>
    <xf numFmtId="164" fontId="19" fillId="0" borderId="8" xfId="20" applyNumberFormat="1" applyFont="1" applyFill="1" applyBorder="1" applyAlignment="1" applyProtection="1">
      <alignment horizontal="left"/>
    </xf>
    <xf numFmtId="38" fontId="19" fillId="0" borderId="8" xfId="20" applyFont="1" applyFill="1" applyBorder="1"/>
    <xf numFmtId="38" fontId="20" fillId="0" borderId="0" xfId="20" quotePrefix="1" applyFont="1" applyFill="1" applyAlignment="1">
      <alignment horizontal="left"/>
    </xf>
    <xf numFmtId="49" fontId="20" fillId="0" borderId="0" xfId="20" applyNumberFormat="1" applyFont="1" applyFill="1" applyAlignment="1" applyProtection="1">
      <alignment horizontal="left"/>
    </xf>
    <xf numFmtId="164" fontId="19" fillId="0" borderId="0" xfId="20" applyNumberFormat="1" applyFont="1" applyFill="1" applyAlignment="1" applyProtection="1">
      <alignment horizontal="left"/>
    </xf>
    <xf numFmtId="37" fontId="19" fillId="0" borderId="0" xfId="20" applyNumberFormat="1" applyFont="1" applyFill="1" applyAlignment="1" applyProtection="1"/>
    <xf numFmtId="37" fontId="19" fillId="0" borderId="0" xfId="20" applyNumberFormat="1" applyFont="1" applyFill="1"/>
    <xf numFmtId="37" fontId="19" fillId="0" borderId="0" xfId="20" applyNumberFormat="1" applyFont="1" applyFill="1" applyAlignment="1" applyProtection="1">
      <alignment horizontal="right"/>
      <protection locked="0"/>
    </xf>
    <xf numFmtId="0" fontId="31" fillId="0" borderId="0" xfId="0" applyFont="1" applyFill="1" applyAlignment="1"/>
    <xf numFmtId="37" fontId="20" fillId="0" borderId="0" xfId="20" applyNumberFormat="1" applyFont="1" applyFill="1" applyAlignment="1"/>
    <xf numFmtId="37" fontId="20" fillId="0" borderId="0" xfId="21" applyNumberFormat="1" applyFont="1" applyFill="1"/>
    <xf numFmtId="37" fontId="19" fillId="0" borderId="0" xfId="20" applyNumberFormat="1" applyFont="1" applyFill="1" applyAlignment="1" applyProtection="1">
      <alignment horizontal="center"/>
    </xf>
    <xf numFmtId="37" fontId="19" fillId="0" borderId="0" xfId="20" applyNumberFormat="1" applyFont="1" applyFill="1" applyBorder="1" applyAlignment="1" applyProtection="1">
      <alignment horizontal="center"/>
    </xf>
    <xf numFmtId="37" fontId="19" fillId="0" borderId="0" xfId="20" applyNumberFormat="1" applyFont="1" applyFill="1" applyAlignment="1">
      <alignment horizontal="center"/>
    </xf>
    <xf numFmtId="37" fontId="20" fillId="0" borderId="12" xfId="20" applyNumberFormat="1" applyFont="1" applyFill="1" applyBorder="1" applyAlignment="1"/>
    <xf numFmtId="37" fontId="20" fillId="0" borderId="8" xfId="20" applyNumberFormat="1" applyFont="1" applyFill="1" applyBorder="1" applyAlignment="1">
      <alignment horizontal="center"/>
    </xf>
    <xf numFmtId="37" fontId="20" fillId="0" borderId="0" xfId="20" applyNumberFormat="1" applyFont="1" applyFill="1" applyAlignment="1">
      <alignment horizontal="center"/>
    </xf>
    <xf numFmtId="37" fontId="19" fillId="0" borderId="12" xfId="20" applyNumberFormat="1" applyFont="1" applyFill="1" applyBorder="1" applyAlignment="1" applyProtection="1">
      <alignment horizontal="center"/>
    </xf>
    <xf numFmtId="37" fontId="20" fillId="0" borderId="0" xfId="20" quotePrefix="1" applyNumberFormat="1" applyFont="1" applyFill="1" applyAlignment="1"/>
    <xf numFmtId="37" fontId="19" fillId="0" borderId="8" xfId="20" applyNumberFormat="1" applyFont="1" applyFill="1" applyBorder="1" applyAlignment="1" applyProtection="1">
      <alignment horizontal="left"/>
    </xf>
    <xf numFmtId="37" fontId="19" fillId="0" borderId="8" xfId="20" applyNumberFormat="1" applyFont="1" applyFill="1" applyBorder="1"/>
    <xf numFmtId="37" fontId="20" fillId="0" borderId="10" xfId="20" applyNumberFormat="1" applyFont="1" applyFill="1" applyBorder="1"/>
    <xf numFmtId="37" fontId="20" fillId="0" borderId="0" xfId="20" quotePrefix="1" applyNumberFormat="1" applyFont="1" applyFill="1" applyAlignment="1">
      <alignment horizontal="left"/>
    </xf>
    <xf numFmtId="37" fontId="20" fillId="0" borderId="0" xfId="20" quotePrefix="1" applyNumberFormat="1" applyFont="1" applyFill="1" applyAlignment="1" applyProtection="1">
      <alignment horizontal="left"/>
    </xf>
    <xf numFmtId="37" fontId="20" fillId="0" borderId="0" xfId="20" applyNumberFormat="1" applyFont="1" applyFill="1" applyAlignment="1" applyProtection="1">
      <alignment horizontal="left"/>
    </xf>
    <xf numFmtId="37" fontId="20" fillId="0" borderId="0" xfId="20" applyNumberFormat="1" applyFont="1" applyFill="1" applyBorder="1" applyAlignment="1">
      <alignment horizontal="right"/>
    </xf>
    <xf numFmtId="37" fontId="19" fillId="0" borderId="0" xfId="20" quotePrefix="1" applyNumberFormat="1" applyFont="1" applyFill="1" applyAlignment="1" applyProtection="1">
      <alignment horizontal="left"/>
    </xf>
    <xf numFmtId="37" fontId="19" fillId="0" borderId="11" xfId="20" applyNumberFormat="1" applyFont="1" applyFill="1" applyBorder="1" applyProtection="1"/>
    <xf numFmtId="37" fontId="19" fillId="0" borderId="0" xfId="20" applyNumberFormat="1" applyFont="1" applyFill="1" applyBorder="1" applyAlignment="1">
      <alignment horizontal="right"/>
    </xf>
    <xf numFmtId="37" fontId="20" fillId="0" borderId="0" xfId="20" applyNumberFormat="1" applyFont="1" applyFill="1" applyAlignment="1">
      <alignment horizontal="right"/>
    </xf>
    <xf numFmtId="174" fontId="20" fillId="0" borderId="0" xfId="20" applyNumberFormat="1" applyFont="1" applyFill="1"/>
    <xf numFmtId="0" fontId="20" fillId="0" borderId="0" xfId="15" applyFont="1" applyFill="1"/>
    <xf numFmtId="0" fontId="20" fillId="0" borderId="0" xfId="15" applyFont="1" applyFill="1" applyAlignment="1">
      <alignment horizontal="right"/>
    </xf>
    <xf numFmtId="0" fontId="19" fillId="0" borderId="0" xfId="15" applyFont="1" applyFill="1" applyAlignment="1">
      <alignment horizontal="left"/>
    </xf>
    <xf numFmtId="0" fontId="19" fillId="0" borderId="0" xfId="15" applyFont="1" applyFill="1" applyAlignment="1">
      <alignment horizontal="right"/>
    </xf>
    <xf numFmtId="0" fontId="19" fillId="0" borderId="0" xfId="15" applyFont="1" applyFill="1" applyAlignment="1" applyProtection="1">
      <alignment horizontal="right"/>
      <protection locked="0"/>
    </xf>
    <xf numFmtId="0" fontId="20" fillId="0" borderId="0" xfId="15" applyFont="1" applyFill="1" applyAlignment="1">
      <alignment horizontal="left"/>
    </xf>
    <xf numFmtId="0" fontId="32" fillId="0" borderId="0" xfId="15" applyFont="1" applyFill="1"/>
    <xf numFmtId="0" fontId="19" fillId="0" borderId="0" xfId="15" applyFont="1" applyFill="1" applyAlignment="1">
      <alignment horizontal="center"/>
    </xf>
    <xf numFmtId="0" fontId="19" fillId="0" borderId="0" xfId="15" applyFont="1" applyFill="1" applyBorder="1" applyAlignment="1">
      <alignment horizontal="center"/>
    </xf>
    <xf numFmtId="0" fontId="19" fillId="0" borderId="12" xfId="15" applyFont="1" applyFill="1" applyBorder="1" applyAlignment="1">
      <alignment horizontal="left"/>
    </xf>
    <xf numFmtId="0" fontId="20" fillId="0" borderId="12" xfId="15" applyFont="1" applyFill="1" applyBorder="1"/>
    <xf numFmtId="0" fontId="19" fillId="0" borderId="12" xfId="15" applyFont="1" applyFill="1" applyBorder="1" applyAlignment="1">
      <alignment horizontal="center"/>
    </xf>
    <xf numFmtId="0" fontId="19" fillId="0" borderId="8" xfId="15" applyFont="1" applyFill="1" applyBorder="1" applyAlignment="1">
      <alignment horizontal="center"/>
    </xf>
    <xf numFmtId="0" fontId="20" fillId="0" borderId="10" xfId="15" applyFont="1" applyFill="1" applyBorder="1" applyAlignment="1">
      <alignment horizontal="right"/>
    </xf>
    <xf numFmtId="0" fontId="19" fillId="0" borderId="8" xfId="15" applyFont="1" applyFill="1" applyBorder="1"/>
    <xf numFmtId="0" fontId="20" fillId="0" borderId="8" xfId="15" applyFont="1" applyFill="1" applyBorder="1"/>
    <xf numFmtId="0" fontId="20" fillId="0" borderId="0" xfId="15" applyFont="1" applyFill="1" applyBorder="1" applyAlignment="1">
      <alignment horizontal="right"/>
    </xf>
    <xf numFmtId="38" fontId="20" fillId="0" borderId="0" xfId="16" applyFont="1" applyFill="1"/>
    <xf numFmtId="0" fontId="20" fillId="0" borderId="0" xfId="15" quotePrefix="1" applyFont="1" applyFill="1"/>
    <xf numFmtId="37" fontId="20" fillId="0" borderId="0" xfId="15" applyNumberFormat="1" applyFont="1" applyFill="1" applyBorder="1"/>
    <xf numFmtId="5" fontId="20" fillId="0" borderId="11" xfId="15" applyNumberFormat="1" applyFont="1" applyFill="1" applyBorder="1"/>
    <xf numFmtId="169" fontId="20" fillId="0" borderId="0" xfId="15" applyNumberFormat="1" applyFont="1" applyFill="1"/>
    <xf numFmtId="10" fontId="20" fillId="0" borderId="0" xfId="15" applyNumberFormat="1" applyFont="1" applyFill="1"/>
    <xf numFmtId="10" fontId="20" fillId="0" borderId="8" xfId="15" applyNumberFormat="1" applyFont="1" applyFill="1" applyBorder="1"/>
    <xf numFmtId="10" fontId="20" fillId="0" borderId="11" xfId="15" applyNumberFormat="1" applyFont="1" applyFill="1" applyBorder="1"/>
    <xf numFmtId="0" fontId="33" fillId="0" borderId="0" xfId="15" applyFont="1" applyFill="1" applyAlignment="1">
      <alignment horizontal="left"/>
    </xf>
    <xf numFmtId="0" fontId="19" fillId="0" borderId="0" xfId="15" applyFont="1" applyFill="1"/>
    <xf numFmtId="0" fontId="19" fillId="0" borderId="8" xfId="15" applyFont="1" applyFill="1" applyBorder="1" applyAlignment="1">
      <alignment horizontal="left"/>
    </xf>
    <xf numFmtId="0" fontId="33" fillId="0" borderId="0" xfId="15" applyFont="1" applyFill="1"/>
    <xf numFmtId="5" fontId="20" fillId="0" borderId="13" xfId="15" applyNumberFormat="1" applyFont="1" applyFill="1" applyBorder="1" applyAlignment="1" applyProtection="1">
      <alignment horizontal="right"/>
    </xf>
    <xf numFmtId="0" fontId="20" fillId="0" borderId="14" xfId="15" applyFont="1" applyFill="1" applyBorder="1" applyAlignment="1">
      <alignment horizontal="right"/>
    </xf>
    <xf numFmtId="0" fontId="19" fillId="0" borderId="0" xfId="15" applyFont="1" applyFill="1" applyBorder="1"/>
    <xf numFmtId="164" fontId="19" fillId="0" borderId="0" xfId="18" applyNumberFormat="1" applyFont="1" applyFill="1" applyAlignment="1" applyProtection="1">
      <alignment horizontal="left"/>
    </xf>
    <xf numFmtId="0" fontId="20" fillId="0" borderId="0" xfId="15" applyFont="1" applyFill="1" applyBorder="1"/>
    <xf numFmtId="0" fontId="19" fillId="0" borderId="0" xfId="15" applyFont="1" applyFill="1" applyAlignment="1" applyProtection="1">
      <alignment horizontal="left"/>
      <protection locked="0"/>
    </xf>
    <xf numFmtId="0" fontId="20" fillId="0" borderId="0" xfId="15" applyFont="1" applyFill="1" applyAlignment="1">
      <alignment horizontal="center"/>
    </xf>
    <xf numFmtId="0" fontId="20" fillId="0" borderId="0" xfId="15" applyFont="1" applyFill="1" applyBorder="1" applyAlignment="1">
      <alignment horizontal="center"/>
    </xf>
    <xf numFmtId="43" fontId="25" fillId="0" borderId="0" xfId="2" applyFont="1" applyFill="1" applyAlignment="1">
      <alignment horizontal="center"/>
    </xf>
    <xf numFmtId="0" fontId="34" fillId="0" borderId="0" xfId="15" applyFont="1" applyFill="1" applyAlignment="1">
      <alignment horizontal="left"/>
    </xf>
    <xf numFmtId="5" fontId="20" fillId="0" borderId="0" xfId="15" applyNumberFormat="1" applyFont="1" applyFill="1" applyProtection="1"/>
    <xf numFmtId="5" fontId="20" fillId="0" borderId="0" xfId="15" applyNumberFormat="1" applyFont="1" applyFill="1" applyBorder="1"/>
    <xf numFmtId="0" fontId="20" fillId="0" borderId="0" xfId="15" quotePrefix="1" applyFont="1" applyFill="1" applyAlignment="1">
      <alignment horizontal="left"/>
    </xf>
    <xf numFmtId="37" fontId="20" fillId="0" borderId="0" xfId="15" applyNumberFormat="1" applyFont="1" applyFill="1" applyProtection="1"/>
    <xf numFmtId="5" fontId="20" fillId="0" borderId="10" xfId="15" applyNumberFormat="1" applyFont="1" applyFill="1" applyBorder="1" applyProtection="1"/>
    <xf numFmtId="37" fontId="20" fillId="0" borderId="8" xfId="15" applyNumberFormat="1" applyFont="1" applyFill="1" applyBorder="1" applyProtection="1"/>
    <xf numFmtId="37" fontId="20" fillId="0" borderId="0" xfId="15" applyNumberFormat="1" applyFont="1" applyFill="1" applyBorder="1" applyProtection="1"/>
    <xf numFmtId="5" fontId="20" fillId="0" borderId="13" xfId="15" applyNumberFormat="1" applyFont="1" applyFill="1" applyBorder="1" applyProtection="1"/>
    <xf numFmtId="5" fontId="20" fillId="0" borderId="11" xfId="15" applyNumberFormat="1" applyFont="1" applyFill="1" applyBorder="1" applyProtection="1"/>
    <xf numFmtId="5" fontId="20" fillId="0" borderId="8" xfId="15" applyNumberFormat="1" applyFont="1" applyFill="1" applyBorder="1" applyProtection="1"/>
    <xf numFmtId="38" fontId="20" fillId="0" borderId="0" xfId="15" applyNumberFormat="1" applyFont="1" applyFill="1" applyProtection="1"/>
    <xf numFmtId="37" fontId="20" fillId="0" borderId="0" xfId="15" applyNumberFormat="1" applyFont="1" applyFill="1" applyAlignment="1">
      <alignment horizontal="left"/>
    </xf>
    <xf numFmtId="37" fontId="20" fillId="0" borderId="8" xfId="20" applyNumberFormat="1" applyFont="1" applyFill="1" applyBorder="1" applyProtection="1"/>
    <xf numFmtId="37" fontId="20" fillId="0" borderId="0" xfId="20" applyNumberFormat="1" applyFont="1" applyFill="1" applyBorder="1" applyProtection="1"/>
    <xf numFmtId="164" fontId="20" fillId="0" borderId="0" xfId="20" applyNumberFormat="1" applyFont="1" applyFill="1" applyAlignment="1" applyProtection="1">
      <alignment horizontal="left"/>
    </xf>
    <xf numFmtId="5" fontId="20" fillId="0" borderId="0" xfId="20" applyNumberFormat="1" applyFont="1" applyFill="1" applyBorder="1" applyProtection="1"/>
    <xf numFmtId="170" fontId="20" fillId="0" borderId="0" xfId="3" applyNumberFormat="1" applyFont="1" applyFill="1"/>
    <xf numFmtId="164" fontId="19" fillId="0" borderId="8" xfId="20" applyNumberFormat="1" applyFont="1" applyFill="1" applyBorder="1" applyAlignment="1" applyProtection="1">
      <alignment horizontal="center"/>
    </xf>
    <xf numFmtId="164" fontId="19" fillId="0" borderId="12" xfId="20" applyNumberFormat="1" applyFont="1" applyFill="1" applyBorder="1" applyAlignment="1" applyProtection="1">
      <alignment horizontal="center"/>
    </xf>
    <xf numFmtId="37" fontId="20" fillId="0" borderId="10" xfId="20" applyNumberFormat="1" applyFont="1" applyFill="1" applyBorder="1" applyAlignment="1">
      <alignment horizontal="right"/>
    </xf>
    <xf numFmtId="38" fontId="19" fillId="0" borderId="0" xfId="20" applyFont="1" applyFill="1" applyBorder="1"/>
    <xf numFmtId="37" fontId="19" fillId="0" borderId="0" xfId="20" applyNumberFormat="1" applyFont="1" applyFill="1" applyBorder="1" applyProtection="1"/>
    <xf numFmtId="37" fontId="19" fillId="0" borderId="0" xfId="20" applyNumberFormat="1" applyFont="1" applyFill="1" applyProtection="1"/>
    <xf numFmtId="5" fontId="20" fillId="0" borderId="0" xfId="20" applyNumberFormat="1" applyFont="1" applyFill="1"/>
    <xf numFmtId="5" fontId="19" fillId="0" borderId="0" xfId="20" applyNumberFormat="1" applyFont="1" applyFill="1"/>
    <xf numFmtId="5" fontId="19" fillId="0" borderId="0" xfId="20" applyNumberFormat="1" applyFont="1" applyFill="1" applyProtection="1"/>
    <xf numFmtId="5" fontId="19" fillId="0" borderId="0" xfId="20" applyNumberFormat="1" applyFont="1" applyFill="1" applyBorder="1" applyAlignment="1">
      <alignment horizontal="right"/>
    </xf>
    <xf numFmtId="164" fontId="19" fillId="0" borderId="0" xfId="20" quotePrefix="1" applyNumberFormat="1" applyFont="1" applyFill="1" applyAlignment="1" applyProtection="1">
      <alignment horizontal="left"/>
    </xf>
    <xf numFmtId="38" fontId="20" fillId="0" borderId="0" xfId="20" applyFont="1" applyFill="1" applyAlignment="1">
      <alignment horizontal="left"/>
    </xf>
    <xf numFmtId="38" fontId="19" fillId="0" borderId="8" xfId="21" applyFont="1" applyFill="1" applyBorder="1"/>
    <xf numFmtId="38" fontId="19" fillId="0" borderId="0" xfId="21" applyFont="1" applyFill="1" applyBorder="1"/>
    <xf numFmtId="0" fontId="20" fillId="0" borderId="0" xfId="20" applyNumberFormat="1" applyFont="1" applyFill="1" applyAlignment="1">
      <alignment horizontal="right"/>
    </xf>
    <xf numFmtId="17" fontId="20" fillId="0" borderId="0" xfId="20" quotePrefix="1" applyNumberFormat="1" applyFont="1" applyFill="1" applyAlignment="1">
      <alignment horizontal="right"/>
    </xf>
    <xf numFmtId="0" fontId="20" fillId="0" borderId="0" xfId="20" quotePrefix="1" applyNumberFormat="1" applyFont="1" applyFill="1" applyAlignment="1">
      <alignment horizontal="right"/>
    </xf>
    <xf numFmtId="164" fontId="20" fillId="0" borderId="0" xfId="20" applyNumberFormat="1" applyFont="1" applyFill="1" applyAlignment="1" applyProtection="1">
      <alignment horizontal="center"/>
    </xf>
    <xf numFmtId="0" fontId="25" fillId="0" borderId="0" xfId="0" applyFont="1" applyFill="1" applyAlignment="1"/>
    <xf numFmtId="0" fontId="18" fillId="0" borderId="0" xfId="15" applyFont="1" applyAlignment="1">
      <alignment horizontal="left"/>
    </xf>
    <xf numFmtId="0" fontId="17" fillId="0" borderId="8" xfId="15" applyFont="1" applyBorder="1"/>
    <xf numFmtId="0" fontId="18" fillId="0" borderId="8" xfId="15" applyFont="1" applyBorder="1"/>
    <xf numFmtId="0" fontId="18" fillId="0" borderId="0" xfId="15" applyFont="1"/>
    <xf numFmtId="0" fontId="18" fillId="0" borderId="0" xfId="15" applyFont="1" applyBorder="1" applyAlignment="1">
      <alignment horizontal="right"/>
    </xf>
    <xf numFmtId="0" fontId="20" fillId="0" borderId="0" xfId="15" applyFont="1"/>
    <xf numFmtId="0" fontId="20" fillId="0" borderId="0" xfId="15" applyFont="1" applyBorder="1"/>
    <xf numFmtId="37" fontId="20" fillId="0" borderId="0" xfId="15" applyNumberFormat="1" applyFont="1" applyBorder="1"/>
    <xf numFmtId="38" fontId="18" fillId="0" borderId="0" xfId="16" applyFont="1"/>
    <xf numFmtId="0" fontId="35" fillId="0" borderId="8" xfId="15" applyFont="1" applyBorder="1"/>
    <xf numFmtId="5" fontId="20" fillId="0" borderId="0" xfId="15" applyNumberFormat="1" applyFont="1" applyBorder="1"/>
    <xf numFmtId="0" fontId="20" fillId="0" borderId="0" xfId="0" applyFont="1" applyFill="1">
      <alignment vertical="top"/>
    </xf>
    <xf numFmtId="0" fontId="20" fillId="0" borderId="0" xfId="0" applyFont="1" applyBorder="1">
      <alignment vertical="top"/>
    </xf>
    <xf numFmtId="0" fontId="20" fillId="0" borderId="0" xfId="15" applyFont="1" applyAlignment="1">
      <alignment horizontal="right"/>
    </xf>
    <xf numFmtId="0" fontId="36" fillId="0" borderId="0" xfId="0" applyNumberFormat="1" applyFont="1" applyFill="1" applyAlignment="1">
      <alignment horizontal="right"/>
    </xf>
    <xf numFmtId="0" fontId="36" fillId="0" borderId="0" xfId="0" applyNumberFormat="1" applyFont="1" applyFill="1">
      <alignment vertical="top"/>
    </xf>
    <xf numFmtId="0" fontId="36" fillId="0" borderId="0" xfId="0" applyNumberFormat="1" applyFont="1" applyFill="1" applyAlignment="1">
      <alignment horizontal="center"/>
    </xf>
    <xf numFmtId="0" fontId="18" fillId="0" borderId="0" xfId="15" applyFont="1" applyAlignment="1">
      <alignment horizontal="right"/>
    </xf>
    <xf numFmtId="176" fontId="20" fillId="0" borderId="0" xfId="0" applyNumberFormat="1" applyFont="1" applyFill="1" applyAlignment="1"/>
    <xf numFmtId="4" fontId="20" fillId="0" borderId="0" xfId="0" applyNumberFormat="1" applyFont="1" applyFill="1" applyAlignment="1"/>
    <xf numFmtId="42" fontId="20" fillId="0" borderId="0" xfId="2" applyNumberFormat="1" applyFont="1" applyFill="1" applyAlignment="1"/>
    <xf numFmtId="42" fontId="20" fillId="0" borderId="8" xfId="2" applyNumberFormat="1" applyFont="1" applyFill="1" applyBorder="1" applyAlignment="1"/>
    <xf numFmtId="42" fontId="20" fillId="0" borderId="0" xfId="2" applyNumberFormat="1" applyFont="1" applyFill="1" applyBorder="1" applyAlignment="1"/>
    <xf numFmtId="42" fontId="20" fillId="0" borderId="11" xfId="4" applyNumberFormat="1" applyFont="1" applyFill="1" applyBorder="1" applyAlignment="1"/>
    <xf numFmtId="38" fontId="7" fillId="9" borderId="0" xfId="20" applyFont="1" applyFill="1" applyBorder="1"/>
    <xf numFmtId="38" fontId="19" fillId="0" borderId="8" xfId="20" applyFont="1" applyFill="1" applyBorder="1" applyAlignment="1">
      <alignment horizontal="center"/>
    </xf>
    <xf numFmtId="5" fontId="20" fillId="9" borderId="0" xfId="15" applyNumberFormat="1" applyFont="1" applyFill="1" applyBorder="1" applyProtection="1"/>
    <xf numFmtId="173" fontId="20" fillId="0" borderId="8" xfId="23" applyNumberFormat="1" applyFont="1" applyFill="1" applyBorder="1"/>
    <xf numFmtId="5" fontId="20" fillId="0" borderId="6" xfId="15" applyNumberFormat="1" applyFont="1" applyFill="1" applyBorder="1" applyAlignment="1">
      <alignment horizontal="right"/>
    </xf>
    <xf numFmtId="3" fontId="22" fillId="0" borderId="0" xfId="0" applyNumberFormat="1" applyFont="1" applyAlignment="1"/>
    <xf numFmtId="5" fontId="20" fillId="9" borderId="0" xfId="15" applyNumberFormat="1" applyFont="1" applyFill="1" applyAlignment="1">
      <alignment horizontal="right"/>
    </xf>
    <xf numFmtId="37" fontId="20" fillId="9" borderId="8" xfId="15" applyNumberFormat="1" applyFont="1" applyFill="1" applyBorder="1" applyAlignment="1">
      <alignment horizontal="right"/>
    </xf>
    <xf numFmtId="37" fontId="20" fillId="0" borderId="0" xfId="15" applyNumberFormat="1" applyFont="1" applyAlignment="1">
      <alignment horizontal="right"/>
    </xf>
    <xf numFmtId="5" fontId="20" fillId="0" borderId="0" xfId="15" applyNumberFormat="1" applyFont="1" applyAlignment="1" applyProtection="1">
      <alignment horizontal="right"/>
    </xf>
    <xf numFmtId="5" fontId="20" fillId="0" borderId="0" xfId="15" applyNumberFormat="1" applyFont="1" applyFill="1" applyAlignment="1" applyProtection="1">
      <alignment horizontal="right"/>
    </xf>
    <xf numFmtId="37" fontId="20" fillId="9" borderId="0" xfId="15" applyNumberFormat="1" applyFont="1" applyFill="1" applyBorder="1" applyAlignment="1">
      <alignment horizontal="right"/>
    </xf>
    <xf numFmtId="0" fontId="20" fillId="9" borderId="0" xfId="15" applyFont="1" applyFill="1"/>
    <xf numFmtId="5" fontId="20" fillId="0" borderId="7" xfId="15" applyNumberFormat="1" applyFont="1" applyBorder="1" applyAlignment="1" applyProtection="1">
      <alignment horizontal="right"/>
    </xf>
    <xf numFmtId="42" fontId="20" fillId="0" borderId="0" xfId="2" applyNumberFormat="1" applyFont="1" applyFill="1"/>
    <xf numFmtId="42" fontId="20" fillId="0" borderId="0" xfId="2" applyNumberFormat="1" applyFont="1" applyFill="1" applyBorder="1"/>
    <xf numFmtId="42" fontId="20" fillId="0" borderId="7" xfId="2" applyNumberFormat="1" applyFont="1" applyFill="1" applyBorder="1"/>
    <xf numFmtId="170" fontId="26" fillId="7" borderId="0" xfId="2" applyNumberFormat="1" applyFont="1" applyFill="1"/>
    <xf numFmtId="170" fontId="22" fillId="0" borderId="0" xfId="2" quotePrefix="1" applyNumberFormat="1" applyFont="1" applyFill="1" applyAlignment="1">
      <alignment horizontal="center"/>
    </xf>
    <xf numFmtId="0" fontId="20" fillId="6" borderId="0" xfId="15" applyFont="1" applyFill="1" applyAlignment="1">
      <alignment horizontal="left"/>
    </xf>
    <xf numFmtId="38" fontId="20" fillId="0" borderId="0" xfId="20" applyFont="1" applyFill="1" applyAlignment="1">
      <alignment horizontal="center"/>
    </xf>
    <xf numFmtId="0" fontId="20" fillId="0" borderId="8" xfId="0" applyFont="1" applyFill="1" applyBorder="1" applyAlignment="1">
      <alignment horizontal="center"/>
    </xf>
    <xf numFmtId="37" fontId="20" fillId="6" borderId="0" xfId="20" applyNumberFormat="1" applyFont="1" applyFill="1"/>
    <xf numFmtId="178" fontId="20" fillId="0" borderId="0" xfId="0" applyNumberFormat="1" applyFont="1" applyFill="1" applyAlignment="1"/>
    <xf numFmtId="178" fontId="20" fillId="0" borderId="0" xfId="2" applyNumberFormat="1" applyFont="1" applyFill="1" applyBorder="1"/>
    <xf numFmtId="179" fontId="20" fillId="0" borderId="0" xfId="0" applyNumberFormat="1" applyFont="1" applyFill="1" applyAlignment="1"/>
    <xf numFmtId="0" fontId="28" fillId="0" borderId="0" xfId="0" applyFont="1">
      <alignment vertical="top"/>
    </xf>
    <xf numFmtId="37" fontId="20" fillId="0" borderId="0" xfId="0" applyNumberFormat="1" applyFont="1" applyAlignment="1"/>
    <xf numFmtId="37" fontId="20" fillId="0" borderId="0" xfId="15" applyNumberFormat="1" applyFont="1" applyFill="1" applyBorder="1" applyAlignment="1">
      <alignment horizontal="right"/>
    </xf>
    <xf numFmtId="170" fontId="22" fillId="0" borderId="0" xfId="2" applyNumberFormat="1" applyFont="1" applyFill="1" applyAlignment="1">
      <alignment horizontal="center"/>
    </xf>
    <xf numFmtId="38" fontId="20" fillId="0" borderId="0" xfId="20" applyNumberFormat="1" applyFont="1" applyFill="1"/>
    <xf numFmtId="37" fontId="20" fillId="0" borderId="7" xfId="0" applyNumberFormat="1" applyFont="1" applyBorder="1" applyAlignment="1"/>
    <xf numFmtId="38" fontId="10" fillId="0" borderId="0" xfId="18" applyAlignment="1">
      <alignment horizontal="left"/>
    </xf>
    <xf numFmtId="38" fontId="10" fillId="0" borderId="0" xfId="18"/>
    <xf numFmtId="38" fontId="10" fillId="0" borderId="0" xfId="18" applyAlignment="1">
      <alignment horizontal="right"/>
    </xf>
    <xf numFmtId="180" fontId="7" fillId="0" borderId="0" xfId="18" applyNumberFormat="1" applyFont="1" applyAlignment="1">
      <alignment horizontal="left"/>
    </xf>
    <xf numFmtId="38" fontId="7" fillId="0" borderId="0" xfId="18" quotePrefix="1" applyFont="1"/>
    <xf numFmtId="180" fontId="7" fillId="0" borderId="0" xfId="18" quotePrefix="1" applyNumberFormat="1" applyFont="1"/>
    <xf numFmtId="38" fontId="10" fillId="0" borderId="0" xfId="18" quotePrefix="1" applyAlignment="1">
      <alignment horizontal="right"/>
    </xf>
    <xf numFmtId="171" fontId="7" fillId="0" borderId="0" xfId="18" quotePrefix="1" applyNumberFormat="1" applyFont="1" applyAlignment="1">
      <alignment horizontal="left"/>
    </xf>
    <xf numFmtId="38" fontId="19" fillId="0" borderId="0" xfId="18" applyFont="1" applyAlignment="1">
      <alignment horizontal="right"/>
    </xf>
    <xf numFmtId="38" fontId="19" fillId="0" borderId="0" xfId="18" applyFont="1"/>
    <xf numFmtId="38" fontId="4" fillId="0" borderId="0" xfId="18" applyFont="1"/>
    <xf numFmtId="164" fontId="5" fillId="0" borderId="0" xfId="0" applyNumberFormat="1" applyFont="1" applyFill="1" applyAlignment="1" applyProtection="1">
      <alignment horizontal="centerContinuous"/>
    </xf>
    <xf numFmtId="0" fontId="37" fillId="0" borderId="0" xfId="0" applyFont="1" applyFill="1" applyBorder="1">
      <alignment vertical="top"/>
    </xf>
    <xf numFmtId="164" fontId="5" fillId="0" borderId="0" xfId="0" applyNumberFormat="1" applyFont="1" applyFill="1" applyAlignment="1" applyProtection="1">
      <alignment horizontal="center"/>
    </xf>
    <xf numFmtId="164" fontId="20" fillId="10" borderId="15" xfId="0" applyNumberFormat="1" applyFont="1" applyFill="1" applyBorder="1" applyAlignment="1" applyProtection="1">
      <alignment horizontal="centerContinuous"/>
    </xf>
    <xf numFmtId="164" fontId="38" fillId="10" borderId="16" xfId="0" quotePrefix="1" applyNumberFormat="1" applyFont="1" applyFill="1" applyBorder="1" applyAlignment="1" applyProtection="1">
      <alignment horizontal="left"/>
    </xf>
    <xf numFmtId="164" fontId="34" fillId="10" borderId="16" xfId="0" quotePrefix="1" applyNumberFormat="1" applyFont="1" applyFill="1" applyBorder="1" applyAlignment="1" applyProtection="1">
      <alignment horizontal="center"/>
    </xf>
    <xf numFmtId="164" fontId="19" fillId="10" borderId="16" xfId="0" applyNumberFormat="1" applyFont="1" applyFill="1" applyBorder="1" applyAlignment="1" applyProtection="1">
      <alignment horizontal="centerContinuous"/>
    </xf>
    <xf numFmtId="164" fontId="20" fillId="10" borderId="17" xfId="0" applyNumberFormat="1" applyFont="1" applyFill="1" applyBorder="1" applyAlignment="1" applyProtection="1">
      <alignment horizontal="center"/>
    </xf>
    <xf numFmtId="0" fontId="20" fillId="10" borderId="18" xfId="0" applyFont="1" applyFill="1" applyBorder="1" applyAlignment="1">
      <alignment horizontal="centerContinuous"/>
    </xf>
    <xf numFmtId="0" fontId="20" fillId="10" borderId="19" xfId="0" applyFont="1" applyFill="1" applyBorder="1" applyAlignment="1">
      <alignment horizontal="centerContinuous"/>
    </xf>
    <xf numFmtId="0" fontId="19" fillId="10" borderId="11" xfId="0" applyFont="1" applyFill="1" applyBorder="1" applyAlignment="1"/>
    <xf numFmtId="0" fontId="19" fillId="10" borderId="11" xfId="0" applyFont="1" applyFill="1" applyBorder="1">
      <alignment vertical="top"/>
    </xf>
    <xf numFmtId="169" fontId="19" fillId="10" borderId="11" xfId="23" applyNumberFormat="1" applyFont="1" applyFill="1" applyBorder="1" applyAlignment="1">
      <alignment horizontal="right"/>
    </xf>
    <xf numFmtId="0" fontId="20" fillId="10" borderId="20" xfId="0" applyFont="1" applyFill="1" applyBorder="1" applyAlignment="1">
      <alignment horizontal="centerContinuous"/>
    </xf>
    <xf numFmtId="0" fontId="19" fillId="10" borderId="21" xfId="0" applyFont="1" applyFill="1" applyBorder="1" applyAlignment="1">
      <alignment horizontal="center"/>
    </xf>
    <xf numFmtId="0" fontId="20" fillId="10" borderId="22" xfId="0" applyFont="1" applyFill="1" applyBorder="1" applyAlignment="1">
      <alignment horizontal="centerContinuous"/>
    </xf>
    <xf numFmtId="182" fontId="19" fillId="0" borderId="0" xfId="23" applyNumberFormat="1" applyFont="1" applyAlignment="1">
      <alignment horizontal="left"/>
    </xf>
    <xf numFmtId="38" fontId="4" fillId="0" borderId="0" xfId="18" applyFont="1" applyAlignment="1">
      <alignment horizontal="right"/>
    </xf>
    <xf numFmtId="38" fontId="10" fillId="0" borderId="0" xfId="18" applyFont="1" applyAlignment="1">
      <alignment horizontal="left"/>
    </xf>
    <xf numFmtId="0" fontId="1" fillId="0" borderId="0" xfId="0" applyFont="1" applyFill="1">
      <alignment vertical="top"/>
    </xf>
    <xf numFmtId="0" fontId="20" fillId="0" borderId="0" xfId="0" applyNumberFormat="1" applyFont="1" applyFill="1">
      <alignment vertical="top"/>
    </xf>
    <xf numFmtId="3" fontId="20" fillId="0" borderId="0" xfId="0" applyNumberFormat="1" applyFont="1" applyFill="1">
      <alignment vertical="top"/>
    </xf>
    <xf numFmtId="3" fontId="20" fillId="0" borderId="0" xfId="0" applyNumberFormat="1" applyFont="1" applyFill="1" applyBorder="1">
      <alignment vertical="top"/>
    </xf>
    <xf numFmtId="3" fontId="20" fillId="0" borderId="7" xfId="0" applyNumberFormat="1" applyFont="1" applyFill="1" applyBorder="1">
      <alignment vertical="top"/>
    </xf>
    <xf numFmtId="178" fontId="20" fillId="0" borderId="0" xfId="0" applyNumberFormat="1" applyFont="1" applyFill="1">
      <alignment vertical="top"/>
    </xf>
    <xf numFmtId="0" fontId="22" fillId="0" borderId="0" xfId="0" applyFont="1" applyAlignment="1"/>
    <xf numFmtId="0" fontId="22" fillId="0" borderId="0" xfId="0" applyNumberFormat="1" applyFont="1" applyAlignment="1" applyProtection="1">
      <protection locked="0"/>
    </xf>
    <xf numFmtId="0" fontId="22" fillId="0" borderId="0" xfId="0" applyNumberFormat="1" applyFont="1" applyAlignment="1" applyProtection="1">
      <alignment horizontal="left"/>
      <protection locked="0"/>
    </xf>
    <xf numFmtId="0" fontId="22" fillId="0" borderId="0" xfId="0" applyNumberFormat="1" applyFont="1" applyProtection="1">
      <alignment vertical="top"/>
      <protection locked="0"/>
    </xf>
    <xf numFmtId="0" fontId="22" fillId="0" borderId="0" xfId="0" applyNumberFormat="1" applyFont="1" applyAlignment="1" applyProtection="1">
      <alignment horizontal="right"/>
      <protection locked="0"/>
    </xf>
    <xf numFmtId="0" fontId="22" fillId="0" borderId="0" xfId="0" applyNumberFormat="1" applyFont="1" applyFill="1" applyAlignment="1" applyProtection="1">
      <alignment horizontal="right"/>
      <protection locked="0"/>
    </xf>
    <xf numFmtId="0" fontId="22" fillId="0" borderId="0" xfId="0" applyNumberFormat="1" applyFont="1" applyFill="1">
      <alignment vertical="top"/>
    </xf>
    <xf numFmtId="0" fontId="22" fillId="0" borderId="0" xfId="0" applyFont="1" applyFill="1" applyAlignment="1"/>
    <xf numFmtId="0" fontId="22" fillId="0" borderId="0" xfId="0" applyNumberFormat="1" applyFont="1">
      <alignment vertical="top"/>
    </xf>
    <xf numFmtId="49" fontId="22" fillId="0" borderId="0" xfId="0" applyNumberFormat="1" applyFont="1" applyFill="1" applyAlignment="1">
      <alignment horizontal="center"/>
    </xf>
    <xf numFmtId="0" fontId="22" fillId="0" borderId="0" xfId="0" applyNumberFormat="1" applyFont="1" applyAlignment="1" applyProtection="1">
      <alignment horizontal="center"/>
      <protection locked="0"/>
    </xf>
    <xf numFmtId="49" fontId="22" fillId="0" borderId="0" xfId="0" applyNumberFormat="1" applyFont="1">
      <alignment vertical="top"/>
    </xf>
    <xf numFmtId="0" fontId="22" fillId="0" borderId="21" xfId="0" applyNumberFormat="1" applyFont="1" applyBorder="1" applyAlignment="1" applyProtection="1">
      <alignment horizontal="center"/>
      <protection locked="0"/>
    </xf>
    <xf numFmtId="0" fontId="22" fillId="0" borderId="0" xfId="0" applyNumberFormat="1" applyFont="1" applyBorder="1" applyAlignment="1" applyProtection="1">
      <alignment horizontal="center"/>
      <protection locked="0"/>
    </xf>
    <xf numFmtId="3" fontId="22" fillId="0" borderId="0" xfId="0" applyNumberFormat="1" applyFont="1">
      <alignment vertical="top"/>
    </xf>
    <xf numFmtId="42" fontId="22" fillId="0" borderId="0" xfId="0" applyNumberFormat="1" applyFont="1">
      <alignment vertical="top"/>
    </xf>
    <xf numFmtId="0" fontId="22" fillId="0" borderId="0" xfId="0" applyNumberFormat="1" applyFont="1" applyAlignment="1"/>
    <xf numFmtId="3" fontId="22" fillId="0" borderId="0" xfId="0" applyNumberFormat="1" applyFont="1" applyFill="1" applyAlignment="1"/>
    <xf numFmtId="0" fontId="22" fillId="0" borderId="21" xfId="0" applyNumberFormat="1" applyFont="1" applyBorder="1" applyAlignment="1" applyProtection="1">
      <alignment horizontal="centerContinuous"/>
      <protection locked="0"/>
    </xf>
    <xf numFmtId="181" fontId="22" fillId="0" borderId="0" xfId="0" applyNumberFormat="1" applyFont="1" applyAlignment="1"/>
    <xf numFmtId="3" fontId="22" fillId="0" borderId="0" xfId="0" applyNumberFormat="1" applyFont="1" applyFill="1" applyBorder="1">
      <alignment vertical="top"/>
    </xf>
    <xf numFmtId="3" fontId="22" fillId="5" borderId="0" xfId="0" applyNumberFormat="1" applyFont="1" applyFill="1" applyAlignment="1"/>
    <xf numFmtId="3" fontId="22" fillId="0" borderId="21" xfId="0" applyNumberFormat="1" applyFont="1" applyBorder="1" applyAlignment="1"/>
    <xf numFmtId="3" fontId="22" fillId="0" borderId="0" xfId="0" applyNumberFormat="1" applyFont="1" applyBorder="1" applyAlignment="1"/>
    <xf numFmtId="3" fontId="22" fillId="0" borderId="0" xfId="0" applyNumberFormat="1" applyFont="1" applyAlignment="1">
      <alignment horizontal="fill"/>
    </xf>
    <xf numFmtId="0" fontId="22" fillId="0" borderId="0" xfId="0" applyNumberFormat="1" applyFont="1" applyFill="1" applyAlignment="1" applyProtection="1">
      <alignment horizontal="center"/>
      <protection locked="0"/>
    </xf>
    <xf numFmtId="181" fontId="22" fillId="0" borderId="0" xfId="0" applyNumberFormat="1" applyFont="1" applyFill="1" applyAlignment="1"/>
    <xf numFmtId="3" fontId="22" fillId="5" borderId="0" xfId="0" applyNumberFormat="1" applyFont="1" applyFill="1" applyBorder="1" applyAlignment="1"/>
    <xf numFmtId="3" fontId="22" fillId="0" borderId="0" xfId="0" applyNumberFormat="1" applyFont="1" applyFill="1" applyBorder="1" applyAlignment="1"/>
    <xf numFmtId="3" fontId="22" fillId="5" borderId="21" xfId="0" applyNumberFormat="1" applyFont="1" applyFill="1" applyBorder="1" applyAlignment="1"/>
    <xf numFmtId="42" fontId="22" fillId="0" borderId="11" xfId="0" applyNumberFormat="1" applyFont="1" applyFill="1" applyBorder="1" applyAlignment="1" applyProtection="1">
      <alignment horizontal="right"/>
      <protection locked="0"/>
    </xf>
    <xf numFmtId="42" fontId="22" fillId="0" borderId="0" xfId="0" applyNumberFormat="1" applyFont="1" applyFill="1" applyBorder="1" applyAlignment="1" applyProtection="1">
      <alignment horizontal="right"/>
      <protection locked="0"/>
    </xf>
    <xf numFmtId="3" fontId="22" fillId="0" borderId="0" xfId="0" applyNumberFormat="1" applyFont="1" applyFill="1">
      <alignment vertical="top"/>
    </xf>
    <xf numFmtId="0" fontId="22" fillId="0" borderId="0" xfId="0" applyNumberFormat="1" applyFont="1" applyFill="1" applyAlignment="1"/>
    <xf numFmtId="0" fontId="22" fillId="0" borderId="0" xfId="0" applyNumberFormat="1" applyFont="1" applyFill="1" applyProtection="1">
      <alignment vertical="top"/>
      <protection locked="0"/>
    </xf>
    <xf numFmtId="3" fontId="22" fillId="5" borderId="0" xfId="0" applyNumberFormat="1" applyFont="1" applyFill="1">
      <alignment vertical="top"/>
    </xf>
    <xf numFmtId="0" fontId="22" fillId="0" borderId="0" xfId="0" applyFont="1" applyBorder="1" applyAlignment="1"/>
    <xf numFmtId="3" fontId="22" fillId="5" borderId="0" xfId="0" applyNumberFormat="1" applyFont="1" applyFill="1" applyBorder="1">
      <alignment vertical="top"/>
    </xf>
    <xf numFmtId="3" fontId="22" fillId="5" borderId="21" xfId="0" applyNumberFormat="1" applyFont="1" applyFill="1" applyBorder="1">
      <alignment vertical="top"/>
    </xf>
    <xf numFmtId="178" fontId="22" fillId="0" borderId="0" xfId="0" applyNumberFormat="1" applyFont="1" applyFill="1">
      <alignment vertical="top"/>
    </xf>
    <xf numFmtId="178" fontId="22" fillId="0" borderId="0" xfId="0" applyNumberFormat="1" applyFont="1">
      <alignment vertical="top"/>
    </xf>
    <xf numFmtId="178" fontId="22" fillId="0" borderId="0" xfId="0" applyNumberFormat="1" applyFont="1" applyAlignment="1">
      <alignment horizontal="center"/>
    </xf>
    <xf numFmtId="0" fontId="22" fillId="0" borderId="0" xfId="0" applyFont="1" applyAlignment="1">
      <alignment horizontal="center"/>
    </xf>
    <xf numFmtId="0" fontId="22" fillId="0" borderId="0" xfId="0" applyNumberFormat="1" applyFont="1" applyAlignment="1">
      <alignment horizontal="left"/>
    </xf>
    <xf numFmtId="185" fontId="22" fillId="0" borderId="0" xfId="0" applyNumberFormat="1" applyFont="1" applyAlignment="1"/>
    <xf numFmtId="185" fontId="22" fillId="5" borderId="0" xfId="0" applyNumberFormat="1" applyFont="1" applyFill="1" applyProtection="1">
      <alignment vertical="top"/>
      <protection locked="0"/>
    </xf>
    <xf numFmtId="185" fontId="22" fillId="0" borderId="0" xfId="0" applyNumberFormat="1" applyFont="1" applyProtection="1">
      <alignment vertical="top"/>
      <protection locked="0"/>
    </xf>
    <xf numFmtId="185" fontId="22" fillId="0" borderId="0" xfId="0" applyNumberFormat="1" applyFont="1" applyFill="1" applyProtection="1">
      <alignment vertical="top"/>
      <protection locked="0"/>
    </xf>
    <xf numFmtId="0" fontId="22" fillId="0" borderId="0" xfId="0" applyNumberFormat="1" applyFont="1" applyAlignment="1">
      <alignment horizontal="right"/>
    </xf>
    <xf numFmtId="0" fontId="22" fillId="0" borderId="0" xfId="0" applyNumberFormat="1" applyFont="1" applyFill="1" applyAlignment="1">
      <alignment horizontal="right"/>
    </xf>
    <xf numFmtId="3" fontId="22" fillId="0" borderId="0" xfId="0" applyNumberFormat="1" applyFont="1" applyFill="1" applyAlignment="1">
      <alignment horizontal="center"/>
    </xf>
    <xf numFmtId="0" fontId="22" fillId="0" borderId="0" xfId="0" applyNumberFormat="1" applyFont="1" applyAlignment="1">
      <alignment horizontal="center"/>
    </xf>
    <xf numFmtId="49" fontId="22" fillId="0" borderId="0" xfId="0" applyNumberFormat="1" applyFont="1" applyAlignment="1">
      <alignment horizontal="left"/>
    </xf>
    <xf numFmtId="49" fontId="22" fillId="0" borderId="0" xfId="0" applyNumberFormat="1" applyFont="1" applyAlignment="1">
      <alignment horizontal="center"/>
    </xf>
    <xf numFmtId="0" fontId="22" fillId="0" borderId="0" xfId="0" applyNumberFormat="1" applyFont="1" applyFill="1" applyAlignment="1">
      <alignment horizontal="center"/>
    </xf>
    <xf numFmtId="3" fontId="26" fillId="0" borderId="0" xfId="0" applyNumberFormat="1" applyFont="1" applyAlignment="1">
      <alignment horizontal="center"/>
    </xf>
    <xf numFmtId="0" fontId="26" fillId="0" borderId="0" xfId="0" applyNumberFormat="1" applyFont="1" applyAlignment="1" applyProtection="1">
      <alignment horizontal="center"/>
      <protection locked="0"/>
    </xf>
    <xf numFmtId="0" fontId="26" fillId="11" borderId="0" xfId="0" applyFont="1" applyFill="1" applyAlignment="1">
      <alignment horizontal="center"/>
    </xf>
    <xf numFmtId="0" fontId="26" fillId="0" borderId="0" xfId="0" applyFont="1" applyAlignment="1">
      <alignment horizontal="center"/>
    </xf>
    <xf numFmtId="0" fontId="26" fillId="0" borderId="0" xfId="0" applyNumberFormat="1" applyFont="1" applyAlignment="1" applyProtection="1">
      <alignment horizontal="left"/>
      <protection locked="0"/>
    </xf>
    <xf numFmtId="3" fontId="26" fillId="0" borderId="0" xfId="0" applyNumberFormat="1" applyFont="1" applyAlignment="1"/>
    <xf numFmtId="0" fontId="26" fillId="0" borderId="0" xfId="0" applyNumberFormat="1" applyFont="1" applyAlignment="1"/>
    <xf numFmtId="3" fontId="41" fillId="0" borderId="0" xfId="0" applyNumberFormat="1" applyFont="1" applyAlignment="1"/>
    <xf numFmtId="186" fontId="22" fillId="0" borderId="0" xfId="0" applyNumberFormat="1" applyFont="1" applyAlignment="1"/>
    <xf numFmtId="3" fontId="42" fillId="0" borderId="0" xfId="0" applyNumberFormat="1" applyFont="1" applyFill="1" applyAlignment="1"/>
    <xf numFmtId="3" fontId="42" fillId="0" borderId="21" xfId="0" applyNumberFormat="1" applyFont="1" applyFill="1" applyBorder="1" applyAlignment="1"/>
    <xf numFmtId="0" fontId="40" fillId="0" borderId="0" xfId="0" applyNumberFormat="1" applyFont="1" applyAlignment="1">
      <alignment horizontal="left"/>
    </xf>
    <xf numFmtId="173" fontId="22" fillId="0" borderId="0" xfId="0" applyNumberFormat="1" applyFont="1" applyAlignment="1">
      <alignment horizontal="center"/>
    </xf>
    <xf numFmtId="173" fontId="22" fillId="0" borderId="0" xfId="0" applyNumberFormat="1" applyFont="1" applyFill="1" applyAlignment="1">
      <alignment horizontal="center"/>
    </xf>
    <xf numFmtId="184" fontId="40" fillId="0" borderId="0" xfId="0" applyNumberFormat="1" applyFont="1" applyAlignment="1">
      <alignment horizontal="left"/>
    </xf>
    <xf numFmtId="3" fontId="22" fillId="0" borderId="16" xfId="0" applyNumberFormat="1" applyFont="1" applyBorder="1" applyAlignment="1"/>
    <xf numFmtId="3" fontId="22" fillId="0" borderId="0" xfId="0" applyNumberFormat="1" applyFont="1" applyBorder="1" applyAlignment="1">
      <alignment horizontal="fill"/>
    </xf>
    <xf numFmtId="181" fontId="22" fillId="0" borderId="0" xfId="0" applyNumberFormat="1" applyFont="1" applyFill="1" applyAlignment="1">
      <alignment horizontal="center"/>
    </xf>
    <xf numFmtId="186" fontId="22" fillId="0" borderId="0" xfId="0" applyNumberFormat="1" applyFont="1" applyFill="1" applyAlignment="1">
      <alignment horizontal="right"/>
    </xf>
    <xf numFmtId="3" fontId="42" fillId="0" borderId="0" xfId="0" applyNumberFormat="1" applyFont="1" applyFill="1" applyBorder="1" applyAlignment="1"/>
    <xf numFmtId="186" fontId="22" fillId="0" borderId="0" xfId="0" applyNumberFormat="1" applyFont="1" applyFill="1" applyAlignment="1"/>
    <xf numFmtId="0" fontId="22" fillId="0" borderId="0" xfId="0" applyNumberFormat="1" applyFont="1" applyFill="1" applyAlignment="1" applyProtection="1">
      <protection locked="0"/>
    </xf>
    <xf numFmtId="3" fontId="22" fillId="0" borderId="0" xfId="0" applyNumberFormat="1" applyFont="1" applyAlignment="1">
      <alignment horizontal="center"/>
    </xf>
    <xf numFmtId="0" fontId="40" fillId="0" borderId="0" xfId="0" applyNumberFormat="1" applyFont="1" applyAlignment="1"/>
    <xf numFmtId="0" fontId="22" fillId="0" borderId="21" xfId="0" applyFont="1" applyBorder="1" applyAlignment="1"/>
    <xf numFmtId="3" fontId="22" fillId="0" borderId="11" xfId="0" applyNumberFormat="1" applyFont="1" applyBorder="1" applyAlignment="1"/>
    <xf numFmtId="38" fontId="22" fillId="0" borderId="0" xfId="2" applyNumberFormat="1" applyFont="1" applyFill="1" applyAlignment="1">
      <alignment horizontal="center"/>
    </xf>
    <xf numFmtId="0" fontId="22" fillId="0" borderId="0" xfId="0" applyFont="1" applyFill="1" applyAlignment="1">
      <alignment horizontal="center"/>
    </xf>
    <xf numFmtId="0" fontId="26" fillId="0" borderId="0" xfId="0" applyNumberFormat="1" applyFont="1" applyFill="1" applyAlignment="1" applyProtection="1">
      <alignment horizontal="center"/>
      <protection locked="0"/>
    </xf>
    <xf numFmtId="3" fontId="43" fillId="0" borderId="0" xfId="0" applyNumberFormat="1" applyFont="1" applyAlignment="1"/>
    <xf numFmtId="3" fontId="40" fillId="0" borderId="0" xfId="0" applyNumberFormat="1" applyFont="1" applyFill="1" applyAlignment="1"/>
    <xf numFmtId="184" fontId="22" fillId="0" borderId="0" xfId="0" applyNumberFormat="1" applyFont="1" applyAlignment="1"/>
    <xf numFmtId="177" fontId="22" fillId="0" borderId="0" xfId="0" applyNumberFormat="1" applyFont="1" applyFill="1" applyAlignment="1">
      <alignment horizontal="left"/>
    </xf>
    <xf numFmtId="184" fontId="40" fillId="0" borderId="0" xfId="0" applyNumberFormat="1" applyFont="1" applyFill="1" applyAlignment="1"/>
    <xf numFmtId="0" fontId="22" fillId="0" borderId="0" xfId="17" applyNumberFormat="1" applyFont="1" applyAlignment="1"/>
    <xf numFmtId="0" fontId="44" fillId="0" borderId="0" xfId="0" applyFont="1" applyAlignment="1"/>
    <xf numFmtId="181" fontId="22" fillId="0" borderId="0" xfId="0" applyNumberFormat="1" applyFont="1" applyFill="1" applyAlignment="1">
      <alignment horizontal="right"/>
    </xf>
    <xf numFmtId="181" fontId="22" fillId="0" borderId="0" xfId="0" applyNumberFormat="1" applyFont="1" applyAlignment="1">
      <alignment horizontal="center"/>
    </xf>
    <xf numFmtId="173" fontId="22" fillId="0" borderId="0" xfId="0" applyNumberFormat="1" applyFont="1" applyAlignment="1">
      <alignment horizontal="left"/>
    </xf>
    <xf numFmtId="10" fontId="22" fillId="0" borderId="0" xfId="0" applyNumberFormat="1" applyFont="1" applyFill="1" applyAlignment="1">
      <alignment horizontal="right"/>
    </xf>
    <xf numFmtId="171" fontId="22" fillId="0" borderId="0" xfId="0" applyNumberFormat="1" applyFont="1" applyFill="1" applyAlignment="1">
      <alignment horizontal="right"/>
    </xf>
    <xf numFmtId="10" fontId="22" fillId="0" borderId="0" xfId="0" applyNumberFormat="1" applyFont="1" applyAlignment="1">
      <alignment horizontal="left"/>
    </xf>
    <xf numFmtId="3" fontId="22" fillId="0" borderId="0" xfId="0" applyNumberFormat="1" applyFont="1" applyFill="1" applyAlignment="1">
      <alignment horizontal="left"/>
    </xf>
    <xf numFmtId="173" fontId="22" fillId="0" borderId="0" xfId="0" applyNumberFormat="1" applyFont="1" applyAlignment="1" applyProtection="1">
      <alignment horizontal="left"/>
      <protection locked="0"/>
    </xf>
    <xf numFmtId="3" fontId="22" fillId="0" borderId="0" xfId="0" applyNumberFormat="1" applyFont="1" applyFill="1" applyAlignment="1">
      <alignment horizontal="right"/>
    </xf>
    <xf numFmtId="187" fontId="22" fillId="0" borderId="0" xfId="0" applyNumberFormat="1" applyFont="1" applyAlignment="1"/>
    <xf numFmtId="3" fontId="22" fillId="0" borderId="23" xfId="0" applyNumberFormat="1" applyFont="1" applyBorder="1" applyAlignment="1"/>
    <xf numFmtId="0" fontId="22" fillId="0" borderId="0" xfId="0" applyFont="1" applyFill="1" applyBorder="1" applyAlignment="1"/>
    <xf numFmtId="0" fontId="22" fillId="0" borderId="21" xfId="0" applyNumberFormat="1" applyFont="1" applyFill="1" applyBorder="1" applyProtection="1">
      <alignment vertical="top"/>
      <protection locked="0"/>
    </xf>
    <xf numFmtId="0" fontId="22" fillId="0" borderId="21" xfId="0" applyNumberFormat="1" applyFont="1" applyFill="1" applyBorder="1">
      <alignment vertical="top"/>
    </xf>
    <xf numFmtId="3" fontId="22" fillId="0" borderId="16" xfId="0" applyNumberFormat="1" applyFont="1" applyFill="1" applyBorder="1" applyAlignment="1"/>
    <xf numFmtId="49" fontId="22" fillId="0" borderId="0" xfId="0" applyNumberFormat="1" applyFont="1" applyFill="1">
      <alignment vertical="top"/>
    </xf>
    <xf numFmtId="49" fontId="22" fillId="0" borderId="0" xfId="0" applyNumberFormat="1" applyFont="1" applyFill="1" applyBorder="1" applyAlignment="1"/>
    <xf numFmtId="49" fontId="22" fillId="0" borderId="0" xfId="0" applyNumberFormat="1" applyFont="1" applyFill="1" applyAlignment="1"/>
    <xf numFmtId="0" fontId="22" fillId="0" borderId="0" xfId="0" applyNumberFormat="1" applyFont="1" applyFill="1" applyBorder="1">
      <alignment vertical="top"/>
    </xf>
    <xf numFmtId="186" fontId="22" fillId="0" borderId="0" xfId="0" applyNumberFormat="1" applyFont="1" applyFill="1">
      <alignment vertical="top"/>
    </xf>
    <xf numFmtId="181" fontId="22" fillId="0" borderId="0" xfId="0" applyNumberFormat="1" applyFont="1" applyFill="1">
      <alignment vertical="top"/>
    </xf>
    <xf numFmtId="3" fontId="22" fillId="0" borderId="21" xfId="0" applyNumberFormat="1" applyFont="1" applyBorder="1" applyAlignment="1">
      <alignment horizontal="center"/>
    </xf>
    <xf numFmtId="4" fontId="22" fillId="0" borderId="0" xfId="0" applyNumberFormat="1" applyFont="1" applyAlignment="1"/>
    <xf numFmtId="3" fontId="22" fillId="0" borderId="0" xfId="0" applyNumberFormat="1" applyFont="1" applyBorder="1" applyAlignment="1">
      <alignment horizontal="center"/>
    </xf>
    <xf numFmtId="3" fontId="22" fillId="0" borderId="0" xfId="0" quotePrefix="1" applyNumberFormat="1" applyFont="1" applyFill="1" applyAlignment="1"/>
    <xf numFmtId="181" fontId="22" fillId="0" borderId="0" xfId="0" applyNumberFormat="1" applyFont="1" applyAlignment="1" applyProtection="1">
      <alignment horizontal="center"/>
      <protection locked="0"/>
    </xf>
    <xf numFmtId="181" fontId="22" fillId="0" borderId="0" xfId="0" quotePrefix="1" applyNumberFormat="1" applyFont="1" applyAlignment="1"/>
    <xf numFmtId="0" fontId="22" fillId="0" borderId="21" xfId="0" applyNumberFormat="1" applyFont="1" applyBorder="1" applyAlignment="1"/>
    <xf numFmtId="3" fontId="22" fillId="0" borderId="0" xfId="0" quotePrefix="1" applyNumberFormat="1" applyFont="1" applyAlignment="1">
      <alignment horizontal="right"/>
    </xf>
    <xf numFmtId="3" fontId="22" fillId="0" borderId="0" xfId="0" applyNumberFormat="1" applyFont="1" applyFill="1" applyBorder="1" applyAlignment="1">
      <alignment horizontal="center"/>
    </xf>
    <xf numFmtId="38" fontId="42" fillId="0" borderId="0" xfId="2" applyNumberFormat="1" applyFont="1" applyFill="1" applyAlignment="1"/>
    <xf numFmtId="38" fontId="22" fillId="0" borderId="0" xfId="2" applyNumberFormat="1" applyFont="1" applyAlignment="1"/>
    <xf numFmtId="42" fontId="22" fillId="5" borderId="0" xfId="0" applyNumberFormat="1" applyFont="1" applyFill="1" applyAlignment="1"/>
    <xf numFmtId="42" fontId="22" fillId="0" borderId="0" xfId="0" applyNumberFormat="1" applyFont="1" applyFill="1" applyAlignment="1"/>
    <xf numFmtId="3" fontId="22" fillId="0" borderId="0" xfId="0" applyNumberFormat="1" applyFont="1" applyFill="1" applyAlignment="1" applyProtection="1">
      <protection locked="0"/>
    </xf>
    <xf numFmtId="0" fontId="22" fillId="0" borderId="0" xfId="0" applyNumberFormat="1" applyFont="1" applyBorder="1" applyProtection="1">
      <alignment vertical="top"/>
      <protection locked="0"/>
    </xf>
    <xf numFmtId="9" fontId="22" fillId="0" borderId="0" xfId="0" applyNumberFormat="1" applyFont="1" applyAlignment="1"/>
    <xf numFmtId="171" fontId="22" fillId="0" borderId="0" xfId="0" applyNumberFormat="1" applyFont="1" applyAlignment="1"/>
    <xf numFmtId="0" fontId="22" fillId="0" borderId="0" xfId="0" quotePrefix="1" applyFont="1" applyFill="1" applyAlignment="1"/>
    <xf numFmtId="171" fontId="22" fillId="5" borderId="0" xfId="0" applyNumberFormat="1" applyFont="1" applyFill="1" applyAlignment="1"/>
    <xf numFmtId="171" fontId="22" fillId="0" borderId="21" xfId="0" applyNumberFormat="1" applyFont="1" applyBorder="1" applyAlignment="1"/>
    <xf numFmtId="171" fontId="22" fillId="0" borderId="0" xfId="0" applyNumberFormat="1" applyFont="1" applyBorder="1" applyAlignment="1"/>
    <xf numFmtId="0" fontId="22" fillId="0" borderId="0" xfId="0" applyNumberFormat="1" applyFont="1" applyFill="1" applyBorder="1" applyAlignment="1" applyProtection="1">
      <alignment horizontal="center"/>
      <protection locked="0"/>
    </xf>
    <xf numFmtId="0" fontId="44" fillId="0" borderId="0" xfId="0" applyNumberFormat="1" applyFont="1" applyProtection="1">
      <alignment vertical="top"/>
      <protection locked="0"/>
    </xf>
    <xf numFmtId="0" fontId="22" fillId="0" borderId="0" xfId="0" applyFont="1" applyFill="1" applyAlignment="1" applyProtection="1"/>
    <xf numFmtId="38" fontId="22" fillId="5" borderId="0" xfId="0" applyNumberFormat="1" applyFont="1" applyFill="1" applyBorder="1" applyProtection="1">
      <alignment vertical="top"/>
      <protection locked="0"/>
    </xf>
    <xf numFmtId="38" fontId="22" fillId="0" borderId="0" xfId="0" applyNumberFormat="1" applyFont="1" applyFill="1" applyBorder="1" applyProtection="1">
      <alignment vertical="top"/>
      <protection locked="0"/>
    </xf>
    <xf numFmtId="0" fontId="22" fillId="0" borderId="0" xfId="0" applyNumberFormat="1" applyFont="1" applyBorder="1">
      <alignment vertical="top"/>
    </xf>
    <xf numFmtId="38" fontId="22" fillId="5" borderId="21" xfId="0" applyNumberFormat="1" applyFont="1" applyFill="1" applyBorder="1" applyProtection="1">
      <alignment vertical="top"/>
      <protection locked="0"/>
    </xf>
    <xf numFmtId="38" fontId="22" fillId="0" borderId="0" xfId="0" applyNumberFormat="1" applyFont="1" applyFill="1" applyBorder="1" applyProtection="1">
      <alignment vertical="top"/>
    </xf>
    <xf numFmtId="184" fontId="22" fillId="0" borderId="0" xfId="0" applyNumberFormat="1" applyFont="1" applyFill="1" applyBorder="1" applyProtection="1">
      <alignment vertical="top"/>
    </xf>
    <xf numFmtId="178" fontId="22" fillId="0" borderId="0" xfId="0" applyNumberFormat="1" applyFont="1" applyProtection="1">
      <alignment vertical="top"/>
      <protection locked="0"/>
    </xf>
    <xf numFmtId="38" fontId="45" fillId="5" borderId="0" xfId="0" applyNumberFormat="1" applyFont="1" applyFill="1" applyBorder="1" applyProtection="1">
      <alignment vertical="top"/>
      <protection locked="0"/>
    </xf>
    <xf numFmtId="38" fontId="45" fillId="0" borderId="0" xfId="0" applyNumberFormat="1" applyFont="1" applyFill="1" applyBorder="1" applyProtection="1">
      <alignment vertical="top"/>
      <protection locked="0"/>
    </xf>
    <xf numFmtId="1" fontId="22" fillId="0" borderId="0" xfId="0" applyNumberFormat="1" applyFont="1" applyFill="1" applyProtection="1">
      <alignment vertical="top"/>
    </xf>
    <xf numFmtId="0" fontId="39" fillId="0" borderId="0" xfId="0" applyFont="1" applyFill="1" applyAlignment="1"/>
    <xf numFmtId="184" fontId="22" fillId="5" borderId="0" xfId="0" applyNumberFormat="1" applyFont="1" applyFill="1" applyBorder="1" applyAlignment="1" applyProtection="1">
      <protection locked="0"/>
    </xf>
    <xf numFmtId="184" fontId="22" fillId="0" borderId="0" xfId="0" applyNumberFormat="1" applyFont="1" applyFill="1" applyBorder="1" applyAlignment="1" applyProtection="1">
      <protection locked="0"/>
    </xf>
    <xf numFmtId="1" fontId="22" fillId="0" borderId="0" xfId="0" applyNumberFormat="1" applyFont="1" applyFill="1" applyAlignment="1" applyProtection="1"/>
    <xf numFmtId="0" fontId="22" fillId="0" borderId="0" xfId="0" applyNumberFormat="1" applyFont="1" applyBorder="1" applyAlignment="1" applyProtection="1">
      <protection locked="0"/>
    </xf>
    <xf numFmtId="0" fontId="22" fillId="0" borderId="8" xfId="0" applyNumberFormat="1" applyFont="1" applyBorder="1" applyAlignment="1" applyProtection="1">
      <protection locked="0"/>
    </xf>
    <xf numFmtId="0" fontId="22" fillId="0" borderId="8" xfId="0" applyNumberFormat="1" applyFont="1" applyBorder="1" applyProtection="1">
      <alignment vertical="top"/>
      <protection locked="0"/>
    </xf>
    <xf numFmtId="184" fontId="22" fillId="5" borderId="21" xfId="0" applyNumberFormat="1" applyFont="1" applyFill="1" applyBorder="1" applyAlignment="1" applyProtection="1">
      <protection locked="0"/>
    </xf>
    <xf numFmtId="3" fontId="22" fillId="0" borderId="0" xfId="0" applyNumberFormat="1" applyFont="1" applyFill="1" applyAlignment="1" applyProtection="1">
      <alignment horizontal="right"/>
      <protection locked="0"/>
    </xf>
    <xf numFmtId="183" fontId="22" fillId="0" borderId="0" xfId="0" applyNumberFormat="1" applyFont="1" applyAlignment="1" applyProtection="1">
      <protection locked="0"/>
    </xf>
    <xf numFmtId="184" fontId="22" fillId="0" borderId="0" xfId="0" applyNumberFormat="1" applyFont="1" applyFill="1" applyBorder="1" applyAlignment="1" applyProtection="1"/>
    <xf numFmtId="3" fontId="22" fillId="0" borderId="0" xfId="0" applyNumberFormat="1" applyFont="1" applyFill="1" applyAlignment="1" applyProtection="1"/>
    <xf numFmtId="0" fontId="22" fillId="0" borderId="0" xfId="0" applyNumberFormat="1" applyFont="1" applyAlignment="1" applyProtection="1">
      <alignment horizontal="left" wrapText="1"/>
      <protection locked="0"/>
    </xf>
    <xf numFmtId="0" fontId="22" fillId="0" borderId="0" xfId="0" applyFont="1" applyAlignment="1">
      <alignment horizontal="left" wrapText="1"/>
    </xf>
    <xf numFmtId="184" fontId="22" fillId="0" borderId="0" xfId="0" applyNumberFormat="1" applyFont="1" applyProtection="1">
      <alignment vertical="top"/>
      <protection locked="0"/>
    </xf>
    <xf numFmtId="0" fontId="22" fillId="0" borderId="0" xfId="0" applyNumberFormat="1" applyFont="1" applyAlignment="1" applyProtection="1">
      <alignment horizontal="left" indent="8"/>
      <protection locked="0"/>
    </xf>
    <xf numFmtId="10" fontId="22" fillId="5" borderId="0" xfId="0" applyNumberFormat="1" applyFont="1" applyFill="1" applyProtection="1">
      <alignment vertical="top"/>
      <protection locked="0"/>
    </xf>
    <xf numFmtId="0" fontId="46" fillId="0" borderId="0" xfId="0" applyNumberFormat="1" applyFont="1" applyFill="1" applyProtection="1">
      <alignment vertical="top"/>
      <protection locked="0"/>
    </xf>
    <xf numFmtId="10" fontId="22" fillId="0" borderId="0" xfId="0" applyNumberFormat="1" applyFont="1" applyFill="1">
      <alignment vertical="top"/>
    </xf>
    <xf numFmtId="0" fontId="22" fillId="0" borderId="0" xfId="0" applyNumberFormat="1" applyFont="1" applyFill="1" applyAlignment="1">
      <alignment horizontal="left" indent="2"/>
    </xf>
    <xf numFmtId="0" fontId="22" fillId="0" borderId="0" xfId="0" applyFont="1" applyFill="1" applyAlignment="1">
      <alignment horizontal="left" indent="2"/>
    </xf>
    <xf numFmtId="0" fontId="22" fillId="0" borderId="0" xfId="0" applyNumberFormat="1" applyFont="1" applyFill="1" applyAlignment="1">
      <alignment horizontal="left"/>
    </xf>
    <xf numFmtId="0" fontId="22" fillId="0" borderId="0" xfId="17" applyNumberFormat="1" applyFont="1" applyFill="1"/>
    <xf numFmtId="0" fontId="20" fillId="0" borderId="24" xfId="0" applyFont="1" applyBorder="1" applyAlignment="1">
      <alignment horizontal="justify"/>
    </xf>
    <xf numFmtId="0" fontId="20" fillId="0" borderId="25" xfId="0" applyFont="1" applyBorder="1" applyAlignment="1">
      <alignment horizontal="justify"/>
    </xf>
    <xf numFmtId="0" fontId="20" fillId="0" borderId="26" xfId="0" applyFont="1" applyBorder="1" applyAlignment="1">
      <alignment horizontal="justify"/>
    </xf>
    <xf numFmtId="0" fontId="18" fillId="3" borderId="3" xfId="0" applyFont="1" applyFill="1" applyBorder="1" applyAlignment="1">
      <alignment horizontal="center" vertical="top" wrapText="1"/>
    </xf>
    <xf numFmtId="0" fontId="18" fillId="0" borderId="0" xfId="0" applyFont="1">
      <alignment vertical="top"/>
    </xf>
    <xf numFmtId="0" fontId="18" fillId="0" borderId="3" xfId="0" quotePrefix="1" applyFont="1" applyBorder="1" applyAlignment="1">
      <alignment horizontal="left" vertical="top" wrapText="1" indent="2"/>
    </xf>
    <xf numFmtId="0" fontId="18" fillId="0" borderId="3" xfId="0" applyFont="1" applyBorder="1" applyAlignment="1">
      <alignment horizontal="left" vertical="top" wrapText="1"/>
    </xf>
    <xf numFmtId="18" fontId="18" fillId="0" borderId="24" xfId="0" applyNumberFormat="1" applyFont="1" applyBorder="1" applyAlignment="1">
      <alignment horizontal="left" vertical="top" wrapText="1" indent="2"/>
    </xf>
    <xf numFmtId="0" fontId="18" fillId="0" borderId="24" xfId="0" applyFont="1" applyBorder="1" applyAlignment="1">
      <alignment horizontal="left" vertical="top" wrapText="1"/>
    </xf>
    <xf numFmtId="0" fontId="18" fillId="0" borderId="0" xfId="0" applyFont="1" applyBorder="1">
      <alignment vertical="top"/>
    </xf>
    <xf numFmtId="18" fontId="18" fillId="0" borderId="25" xfId="0" applyNumberFormat="1" applyFont="1" applyBorder="1" applyAlignment="1">
      <alignment horizontal="left" vertical="top" wrapText="1" indent="4"/>
    </xf>
    <xf numFmtId="0" fontId="18" fillId="0" borderId="25" xfId="0" applyFont="1" applyBorder="1" applyAlignment="1">
      <alignment horizontal="left" vertical="top" wrapText="1"/>
    </xf>
    <xf numFmtId="18" fontId="18" fillId="0" borderId="24" xfId="0" applyNumberFormat="1" applyFont="1" applyBorder="1" applyAlignment="1">
      <alignment horizontal="left" vertical="top" wrapText="1" indent="4"/>
    </xf>
    <xf numFmtId="18" fontId="18" fillId="0" borderId="26" xfId="0" applyNumberFormat="1" applyFont="1" applyBorder="1" applyAlignment="1">
      <alignment horizontal="left" vertical="top" wrapText="1" indent="4"/>
    </xf>
    <xf numFmtId="0" fontId="18" fillId="0" borderId="26" xfId="0" applyFont="1" applyBorder="1" applyAlignment="1">
      <alignment horizontal="left" vertical="top" wrapText="1"/>
    </xf>
    <xf numFmtId="18" fontId="18" fillId="0" borderId="3" xfId="0" applyNumberFormat="1" applyFont="1" applyBorder="1" applyAlignment="1">
      <alignment horizontal="left" vertical="top" wrapText="1" indent="2"/>
    </xf>
    <xf numFmtId="0" fontId="18" fillId="0" borderId="0" xfId="0" applyFont="1" applyAlignment="1">
      <alignment horizontal="left" vertical="top" wrapText="1"/>
    </xf>
    <xf numFmtId="0" fontId="18" fillId="0" borderId="27" xfId="0" applyFont="1" applyBorder="1" applyAlignment="1">
      <alignment horizontal="left" vertical="top" wrapText="1"/>
    </xf>
    <xf numFmtId="0" fontId="18" fillId="0" borderId="28" xfId="0" applyFont="1" applyBorder="1" applyAlignment="1">
      <alignment horizontal="left" vertical="top" wrapText="1"/>
    </xf>
    <xf numFmtId="18" fontId="18" fillId="0" borderId="26" xfId="0" applyNumberFormat="1" applyFont="1" applyBorder="1" applyAlignment="1">
      <alignment horizontal="left" vertical="top" wrapText="1" indent="2"/>
    </xf>
    <xf numFmtId="0" fontId="20" fillId="0" borderId="25" xfId="0" applyFont="1" applyBorder="1" applyAlignment="1">
      <alignment horizontal="justify" wrapText="1"/>
    </xf>
    <xf numFmtId="0" fontId="20" fillId="0" borderId="26" xfId="0" applyFont="1" applyBorder="1" applyAlignment="1">
      <alignment horizontal="justify" wrapText="1"/>
    </xf>
    <xf numFmtId="0" fontId="47" fillId="0" borderId="24" xfId="0" applyFont="1" applyBorder="1" applyAlignment="1">
      <alignment horizontal="left" vertical="top" wrapText="1"/>
    </xf>
    <xf numFmtId="0" fontId="18" fillId="0" borderId="3" xfId="0" applyFont="1" applyFill="1" applyBorder="1" applyAlignment="1">
      <alignment horizontal="left" vertical="center" wrapText="1"/>
    </xf>
    <xf numFmtId="0" fontId="18" fillId="0" borderId="3" xfId="0" applyFont="1" applyBorder="1" applyAlignment="1">
      <alignment horizontal="left" vertical="center" wrapText="1"/>
    </xf>
    <xf numFmtId="0" fontId="18" fillId="0" borderId="0" xfId="15" quotePrefix="1" applyFont="1"/>
    <xf numFmtId="5" fontId="18" fillId="0" borderId="0" xfId="15" applyNumberFormat="1" applyFont="1"/>
    <xf numFmtId="0" fontId="20" fillId="0" borderId="0" xfId="0" applyFont="1" applyAlignment="1">
      <alignment wrapText="1"/>
    </xf>
    <xf numFmtId="0" fontId="20" fillId="0" borderId="0" xfId="0" applyFont="1" applyAlignment="1">
      <alignment horizontal="center" wrapText="1"/>
    </xf>
    <xf numFmtId="0" fontId="26" fillId="0" borderId="0" xfId="0" applyFont="1" applyAlignment="1"/>
    <xf numFmtId="0" fontId="22" fillId="0" borderId="0" xfId="0" applyFont="1" applyAlignment="1">
      <alignment wrapText="1"/>
    </xf>
    <xf numFmtId="0" fontId="29" fillId="0" borderId="0" xfId="0" applyFont="1" applyFill="1" applyBorder="1" applyAlignment="1"/>
    <xf numFmtId="0" fontId="48" fillId="0" borderId="0" xfId="0" applyFont="1" applyFill="1" applyBorder="1" applyAlignment="1"/>
    <xf numFmtId="184" fontId="29" fillId="0" borderId="0" xfId="0" applyNumberFormat="1" applyFont="1" applyFill="1" applyBorder="1" applyAlignment="1"/>
    <xf numFmtId="0" fontId="49" fillId="0" borderId="0" xfId="0" applyFont="1" applyFill="1" applyBorder="1" applyAlignment="1"/>
    <xf numFmtId="184" fontId="49" fillId="0" borderId="0" xfId="0" applyNumberFormat="1" applyFont="1" applyFill="1" applyBorder="1" applyAlignment="1"/>
    <xf numFmtId="0" fontId="50" fillId="0" borderId="0" xfId="23" applyNumberFormat="1" applyFont="1" applyFill="1" applyBorder="1" applyAlignment="1"/>
    <xf numFmtId="0" fontId="50" fillId="0" borderId="0" xfId="0" applyFont="1" applyFill="1" applyBorder="1" applyAlignment="1"/>
    <xf numFmtId="0" fontId="50" fillId="0" borderId="0" xfId="0" applyNumberFormat="1" applyFont="1" applyFill="1" applyBorder="1">
      <alignment vertical="top"/>
    </xf>
    <xf numFmtId="0" fontId="29" fillId="0" borderId="0" xfId="0" applyNumberFormat="1" applyFont="1" applyFill="1" applyBorder="1" applyAlignment="1"/>
    <xf numFmtId="182" fontId="51" fillId="0" borderId="0" xfId="23" applyNumberFormat="1" applyFont="1" applyFill="1" applyBorder="1" applyAlignment="1"/>
    <xf numFmtId="0" fontId="51" fillId="0" borderId="0" xfId="0" applyNumberFormat="1" applyFont="1" applyFill="1" applyBorder="1">
      <alignment vertical="top"/>
    </xf>
    <xf numFmtId="0" fontId="50" fillId="0" borderId="0" xfId="0" applyFont="1" applyFill="1" applyBorder="1" applyAlignment="1">
      <alignment horizontal="center"/>
    </xf>
    <xf numFmtId="0" fontId="50" fillId="0" borderId="0" xfId="0" applyNumberFormat="1" applyFont="1" applyFill="1" applyBorder="1" applyAlignment="1">
      <alignment horizontal="center"/>
    </xf>
    <xf numFmtId="0" fontId="50" fillId="0" borderId="0" xfId="0" applyNumberFormat="1" applyFont="1" applyFill="1" applyBorder="1" applyAlignment="1"/>
    <xf numFmtId="38" fontId="51" fillId="0" borderId="0" xfId="2" applyNumberFormat="1" applyFont="1" applyFill="1" applyBorder="1"/>
    <xf numFmtId="170" fontId="51" fillId="0" borderId="0" xfId="2" applyNumberFormat="1" applyFont="1" applyFill="1" applyBorder="1"/>
    <xf numFmtId="184" fontId="50" fillId="0" borderId="0" xfId="0" applyNumberFormat="1" applyFont="1" applyFill="1" applyBorder="1" applyAlignment="1"/>
    <xf numFmtId="3" fontId="50" fillId="0" borderId="0" xfId="0" applyNumberFormat="1" applyFont="1" applyFill="1" applyBorder="1">
      <alignment vertical="top"/>
    </xf>
    <xf numFmtId="0" fontId="50" fillId="0" borderId="0" xfId="0" applyFont="1" applyFill="1" applyBorder="1" applyAlignment="1">
      <alignment horizontal="right"/>
    </xf>
    <xf numFmtId="3" fontId="29" fillId="0" borderId="0" xfId="0" applyNumberFormat="1" applyFont="1" applyFill="1" applyBorder="1" applyAlignment="1"/>
    <xf numFmtId="0" fontId="52" fillId="0" borderId="0" xfId="0" applyFont="1" applyFill="1" applyBorder="1">
      <alignment vertical="top"/>
    </xf>
    <xf numFmtId="0" fontId="29" fillId="0" borderId="0" xfId="0" applyFont="1" applyFill="1" applyBorder="1">
      <alignment vertical="top"/>
    </xf>
    <xf numFmtId="0" fontId="29" fillId="0" borderId="0" xfId="0" applyFont="1" applyFill="1" applyBorder="1" applyAlignment="1">
      <alignment horizontal="left" wrapText="1"/>
    </xf>
    <xf numFmtId="6" fontId="29" fillId="0" borderId="0" xfId="4" applyNumberFormat="1" applyFont="1" applyFill="1" applyBorder="1" applyAlignment="1"/>
    <xf numFmtId="6" fontId="29" fillId="0" borderId="0" xfId="0" applyNumberFormat="1" applyFont="1" applyFill="1" applyBorder="1" applyAlignment="1"/>
    <xf numFmtId="170" fontId="20" fillId="0" borderId="0" xfId="2" applyNumberFormat="1" applyFont="1"/>
    <xf numFmtId="170" fontId="20" fillId="0" borderId="0" xfId="0" applyNumberFormat="1" applyFont="1" applyAlignment="1"/>
    <xf numFmtId="170" fontId="20" fillId="0" borderId="0" xfId="20" applyNumberFormat="1" applyFont="1" applyFill="1" applyProtection="1"/>
    <xf numFmtId="5" fontId="18" fillId="0" borderId="11" xfId="15" applyNumberFormat="1" applyFont="1" applyFill="1" applyBorder="1"/>
    <xf numFmtId="0" fontId="20" fillId="0" borderId="0" xfId="0" applyFont="1" applyAlignment="1">
      <alignment horizontal="left" wrapText="1"/>
    </xf>
    <xf numFmtId="0" fontId="20" fillId="0" borderId="0" xfId="0" applyFont="1" applyAlignment="1">
      <alignment horizontal="left"/>
    </xf>
    <xf numFmtId="170" fontId="22" fillId="0" borderId="0" xfId="2" applyNumberFormat="1" applyFont="1" applyAlignment="1">
      <alignment horizontal="left"/>
    </xf>
    <xf numFmtId="170" fontId="22" fillId="0" borderId="0" xfId="2" applyNumberFormat="1" applyFont="1" applyAlignment="1">
      <alignment horizontal="center"/>
    </xf>
    <xf numFmtId="170" fontId="22" fillId="0" borderId="0" xfId="2" quotePrefix="1" applyNumberFormat="1" applyFont="1" applyAlignment="1">
      <alignment horizontal="left"/>
    </xf>
    <xf numFmtId="0" fontId="53" fillId="0" borderId="0" xfId="0" applyFont="1" applyAlignment="1">
      <alignment wrapText="1"/>
    </xf>
    <xf numFmtId="170" fontId="20" fillId="0" borderId="3" xfId="0" applyNumberFormat="1" applyFont="1" applyBorder="1" applyAlignment="1"/>
    <xf numFmtId="170" fontId="22" fillId="5" borderId="0" xfId="2" applyNumberFormat="1" applyFont="1" applyFill="1"/>
    <xf numFmtId="170" fontId="26" fillId="0" borderId="0" xfId="2" applyNumberFormat="1" applyFont="1" applyAlignment="1">
      <alignment horizontal="left"/>
    </xf>
    <xf numFmtId="174" fontId="20" fillId="0" borderId="0" xfId="2" applyNumberFormat="1" applyFont="1" applyFill="1" applyBorder="1"/>
    <xf numFmtId="164" fontId="37" fillId="0" borderId="0" xfId="20" applyNumberFormat="1" applyFont="1" applyFill="1" applyAlignment="1" applyProtection="1">
      <alignment horizontal="center"/>
      <protection locked="0"/>
    </xf>
    <xf numFmtId="37" fontId="37" fillId="0" borderId="0" xfId="20" applyNumberFormat="1" applyFont="1" applyFill="1" applyAlignment="1">
      <alignment horizontal="center"/>
    </xf>
    <xf numFmtId="37" fontId="5" fillId="0" borderId="0" xfId="20" applyNumberFormat="1" applyFont="1" applyFill="1" applyAlignment="1">
      <alignment horizontal="center"/>
    </xf>
    <xf numFmtId="0" fontId="5" fillId="0" borderId="0" xfId="0" applyFont="1" applyFill="1" applyAlignment="1">
      <alignment horizontal="center"/>
    </xf>
    <xf numFmtId="0" fontId="0" fillId="0" borderId="0" xfId="0" applyFill="1" applyAlignment="1"/>
    <xf numFmtId="0" fontId="22" fillId="0" borderId="0" xfId="0" applyFont="1" applyFill="1" applyAlignment="1">
      <alignment wrapText="1"/>
    </xf>
    <xf numFmtId="0" fontId="0" fillId="0" borderId="0" xfId="0" applyFill="1" applyAlignment="1">
      <alignment wrapText="1"/>
    </xf>
    <xf numFmtId="0" fontId="54" fillId="0" borderId="0" xfId="0" applyFont="1" applyAlignment="1">
      <alignment horizontal="left" vertical="top"/>
    </xf>
    <xf numFmtId="38" fontId="55" fillId="0" borderId="0" xfId="18" applyFont="1"/>
    <xf numFmtId="0" fontId="56" fillId="0" borderId="0" xfId="0" applyFont="1" applyFill="1" applyAlignment="1">
      <alignment wrapText="1"/>
    </xf>
    <xf numFmtId="0" fontId="0" fillId="0" borderId="0" xfId="0" quotePrefix="1" applyAlignment="1">
      <alignment vertical="top"/>
    </xf>
    <xf numFmtId="0" fontId="0" fillId="0" borderId="0" xfId="0" applyAlignment="1">
      <alignment vertical="top"/>
    </xf>
    <xf numFmtId="0" fontId="0" fillId="0" borderId="0" xfId="0" applyAlignment="1">
      <alignment vertical="top" wrapText="1"/>
    </xf>
    <xf numFmtId="0" fontId="0" fillId="0" borderId="0" xfId="0" applyAlignment="1"/>
    <xf numFmtId="0" fontId="1" fillId="0" borderId="0" xfId="0" applyFont="1" applyAlignment="1"/>
    <xf numFmtId="0" fontId="1" fillId="0" borderId="0" xfId="0" applyFont="1" applyAlignment="1">
      <alignment vertical="top" wrapText="1"/>
    </xf>
    <xf numFmtId="0" fontId="27" fillId="0" borderId="0" xfId="0" applyNumberFormat="1" applyFont="1" applyFill="1" applyProtection="1">
      <alignment vertical="top"/>
      <protection locked="0"/>
    </xf>
    <xf numFmtId="0" fontId="4" fillId="0" borderId="25" xfId="0" applyFont="1" applyBorder="1" applyAlignment="1">
      <alignment horizontal="justify"/>
    </xf>
    <xf numFmtId="0" fontId="1" fillId="0" borderId="0" xfId="0" quotePrefix="1" applyFont="1" applyAlignment="1">
      <alignment vertical="top"/>
    </xf>
    <xf numFmtId="172" fontId="30" fillId="12" borderId="9" xfId="0" quotePrefix="1" applyNumberFormat="1" applyFont="1" applyFill="1" applyBorder="1" applyAlignment="1">
      <alignment horizontal="center"/>
    </xf>
    <xf numFmtId="0" fontId="26" fillId="0" borderId="0" xfId="0" applyNumberFormat="1" applyFont="1" applyAlignment="1" applyProtection="1">
      <alignment horizontal="center"/>
      <protection locked="0"/>
    </xf>
    <xf numFmtId="0" fontId="22" fillId="0" borderId="0" xfId="0" applyFont="1" applyFill="1" applyAlignment="1">
      <alignment horizontal="center"/>
    </xf>
    <xf numFmtId="0" fontId="29" fillId="0" borderId="0" xfId="0" applyNumberFormat="1" applyFont="1" applyFill="1" applyBorder="1" applyAlignment="1">
      <alignment horizontal="center"/>
    </xf>
    <xf numFmtId="3" fontId="22" fillId="0" borderId="0" xfId="0" applyNumberFormat="1" applyFont="1" applyFill="1" applyAlignment="1">
      <alignment horizontal="center"/>
    </xf>
    <xf numFmtId="49" fontId="22" fillId="0" borderId="0" xfId="0" applyNumberFormat="1" applyFont="1" applyFill="1" applyAlignment="1">
      <alignment horizontal="center"/>
    </xf>
    <xf numFmtId="0" fontId="48" fillId="0" borderId="0" xfId="0" applyFont="1" applyFill="1" applyBorder="1" applyAlignment="1">
      <alignment horizontal="center"/>
    </xf>
    <xf numFmtId="0" fontId="21" fillId="0" borderId="0" xfId="0" applyFont="1" applyAlignment="1">
      <alignment horizontal="center"/>
    </xf>
    <xf numFmtId="0" fontId="0" fillId="0" borderId="0" xfId="0" applyAlignment="1"/>
    <xf numFmtId="38" fontId="19" fillId="0" borderId="8" xfId="20" applyFont="1" applyFill="1" applyBorder="1" applyAlignment="1">
      <alignment horizontal="center"/>
    </xf>
    <xf numFmtId="0" fontId="19" fillId="0" borderId="8" xfId="0" applyFont="1" applyFill="1" applyBorder="1" applyAlignment="1">
      <alignment horizontal="center"/>
    </xf>
  </cellXfs>
  <cellStyles count="32">
    <cellStyle name="Actual Date" xfId="1"/>
    <cellStyle name="Comma" xfId="2" builtinId="3"/>
    <cellStyle name="Comma_Rate Formula Non-Levelized FERC Form 1 Data(2)1 with DBG info" xfId="3"/>
    <cellStyle name="Currency" xfId="4" builtinId="4"/>
    <cellStyle name="Date" xfId="5"/>
    <cellStyle name="Fixed" xfId="6"/>
    <cellStyle name="Grey" xfId="7"/>
    <cellStyle name="HEADER" xfId="8"/>
    <cellStyle name="Heading1" xfId="9"/>
    <cellStyle name="Heading2" xfId="10"/>
    <cellStyle name="HIGHLIGHT" xfId="11"/>
    <cellStyle name="Input [yellow]" xfId="12"/>
    <cellStyle name="no dec" xfId="13"/>
    <cellStyle name="Normal" xfId="0" builtinId="0"/>
    <cellStyle name="Normal - Style1" xfId="14"/>
    <cellStyle name="Normal_0112 No Link Exp" xfId="15"/>
    <cellStyle name="Normal_0212 A Statements" xfId="16"/>
    <cellStyle name="Normal_ATE-4  Attachment  O Populated (3)" xfId="17"/>
    <cellStyle name="Normal_Book2" xfId="18"/>
    <cellStyle name="Normal_Book2_12-31-2004 SPS BK Revised Revenue Credit" xfId="19"/>
    <cellStyle name="Normal_Book4_1" xfId="20"/>
    <cellStyle name="Normal_Budgeted A Statements" xfId="21"/>
    <cellStyle name="Normal_SHEET" xfId="22"/>
    <cellStyle name="Percent" xfId="23" builtinId="5"/>
    <cellStyle name="Percent [2]" xfId="24"/>
    <cellStyle name="RangeBelow" xfId="25"/>
    <cellStyle name="SubRoutine" xfId="26"/>
    <cellStyle name="þ(Î'_x000c_ïþ÷_x000c_âþÖ_x0006__x0002_Þ”_x0013__x0007__x0001__x0001_" xfId="27"/>
    <cellStyle name="Total" xfId="28" builtinId="25" customBuiltin="1"/>
    <cellStyle name="Unprot" xfId="29"/>
    <cellStyle name="Unprot$" xfId="30"/>
    <cellStyle name="Unprotect" xfId="31"/>
  </cellStyles>
  <dxfs count="2">
    <dxf>
      <font>
        <condense val="0"/>
        <extend val="0"/>
        <color indexed="10"/>
      </font>
    </dxf>
    <dxf>
      <font>
        <condense val="0"/>
        <extend val="0"/>
        <color indexed="10"/>
      </font>
    </dxf>
  </dxfs>
  <tableStyles count="0" defaultTableStyle="TableStyleMedium2" defaultPivotStyle="PivotStyleLight16"/>
  <colors>
    <mruColors>
      <color rgb="FFFFFF8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lue\team\INCTAX\93RTN\FEDERAL\NSP(MN)\93GLD2A.XLW"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bcs01/Local%20Settings/Temporary%20Internet%20Files/OLK1632/FINANC/AFUDC/AFUDC%202002/AFUDC2002%20Forecast%20All%20Cos%20Act.%20thru%20Ma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Reconcil"/>
      <sheetName val="SCH C"/>
      <sheetName val="01-04"/>
      <sheetName val="UB ACC"/>
      <sheetName val="UB 481(a)"/>
      <sheetName val="01-06"/>
      <sheetName val="01-11"/>
      <sheetName val="04-01"/>
      <sheetName val="05-01"/>
      <sheetName val="06-01"/>
      <sheetName val="09-01"/>
      <sheetName val="09-02"/>
      <sheetName val="09-05"/>
      <sheetName val="09-06"/>
      <sheetName val="09-07"/>
      <sheetName val="09-09"/>
      <sheetName val="10-02"/>
      <sheetName val="10-03"/>
      <sheetName val="10-04"/>
      <sheetName val="13-02"/>
      <sheetName val="MGR SEV"/>
      <sheetName val="NONMGR SEV"/>
      <sheetName val="13-03"/>
      <sheetName val="ST OPT RECAP"/>
      <sheetName val="13-04"/>
      <sheetName val="13-07"/>
      <sheetName val="VAC ACC"/>
      <sheetName val="13-08"/>
      <sheetName val="17-05"/>
      <sheetName val="FUEL CR"/>
      <sheetName val="18-02"/>
      <sheetName val="18-06"/>
      <sheetName val="18-07"/>
      <sheetName val="19-01"/>
      <sheetName val="CHAR CONT-BLMT"/>
      <sheetName val="19-02"/>
      <sheetName val="20-01"/>
      <sheetName val="20-03"/>
      <sheetName val="RAR - 87_88"/>
      <sheetName val="20-07"/>
      <sheetName val="25-03"/>
      <sheetName val="FAS106"/>
      <sheetName val="25-07"/>
      <sheetName val="26-02"/>
      <sheetName val="LCM"/>
      <sheetName val="26-04"/>
      <sheetName val="26-05"/>
      <sheetName val="LOBBY GROSS-UP"/>
      <sheetName val="26-06"/>
      <sheetName val="26-08"/>
      <sheetName val="26-11"/>
      <sheetName val="26-13"/>
      <sheetName val="LIC AMORT"/>
      <sheetName val="26-14 | 05-04"/>
      <sheetName val="PRIVATE FUEL "/>
      <sheetName val="26-17"/>
      <sheetName val="START-UP AMORT"/>
      <sheetName val="SEREN"/>
      <sheetName val="26-20"/>
      <sheetName val="26-22"/>
      <sheetName val="26-26"/>
      <sheetName val="CIP notes"/>
      <sheetName val="26-31 | 05-06 | 18-11"/>
      <sheetName val="ELEC CIP"/>
      <sheetName val="CIP REC"/>
      <sheetName val="CIP INC STMT"/>
      <sheetName val="CIP BAL SHT"/>
      <sheetName val="26-32 | 05-07 | 18-12"/>
      <sheetName val="GAS CIP"/>
      <sheetName val="26-33"/>
      <sheetName val="26-37"/>
      <sheetName val="26-38"/>
      <sheetName val="26-39"/>
      <sheetName val="TEMP"/>
      <sheetName val="Module1"/>
      <sheetName val="YE DEFN"/>
      <sheetName val="REPORT"/>
      <sheetName val="WORKPAPER1"/>
      <sheetName val="Macro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refreshError="1"/>
      <sheetData sheetId="76"/>
      <sheetData sheetId="77"/>
      <sheetData sheetId="78"/>
      <sheetData sheetId="7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NSP MN"/>
      <sheetName val="NSP WI"/>
      <sheetName val="PSCO"/>
      <sheetName val="SPS"/>
      <sheetName val="CHEY"/>
      <sheetName val="STD Forecast"/>
      <sheetName val="Commercial Paper"/>
      <sheetName val="Std Compare"/>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1"/>
  <sheetViews>
    <sheetView showGridLines="0" zoomScaleNormal="100" workbookViewId="0">
      <selection activeCell="A2" sqref="A2"/>
    </sheetView>
  </sheetViews>
  <sheetFormatPr defaultRowHeight="12.75"/>
  <cols>
    <col min="1" max="1" width="13.77734375" style="453" customWidth="1"/>
    <col min="2" max="2" width="41.77734375" style="465" customWidth="1"/>
    <col min="3" max="3" width="67.88671875" style="453" customWidth="1"/>
    <col min="4" max="16384" width="8.88671875" style="453"/>
  </cols>
  <sheetData>
    <row r="1" spans="1:4" ht="24.75" customHeight="1">
      <c r="A1" s="526" t="s">
        <v>191</v>
      </c>
    </row>
    <row r="2" spans="1:4">
      <c r="A2" s="452" t="s">
        <v>404</v>
      </c>
      <c r="B2" s="452" t="s">
        <v>405</v>
      </c>
      <c r="C2" s="452" t="s">
        <v>406</v>
      </c>
    </row>
    <row r="3" spans="1:4" ht="38.25">
      <c r="A3" s="454" t="s">
        <v>407</v>
      </c>
      <c r="B3" s="455" t="s">
        <v>595</v>
      </c>
      <c r="C3" s="472" t="s">
        <v>862</v>
      </c>
    </row>
    <row r="4" spans="1:4" ht="25.5">
      <c r="A4" s="454" t="s">
        <v>408</v>
      </c>
      <c r="B4" s="455" t="s">
        <v>409</v>
      </c>
      <c r="C4" s="473" t="s">
        <v>410</v>
      </c>
    </row>
    <row r="5" spans="1:4" ht="51">
      <c r="A5" s="454" t="s">
        <v>411</v>
      </c>
      <c r="B5" s="455" t="s">
        <v>596</v>
      </c>
      <c r="C5" s="472" t="s">
        <v>594</v>
      </c>
    </row>
    <row r="6" spans="1:4" ht="51">
      <c r="A6" s="454" t="s">
        <v>412</v>
      </c>
      <c r="B6" s="455" t="s">
        <v>413</v>
      </c>
      <c r="C6" s="472" t="s">
        <v>594</v>
      </c>
    </row>
    <row r="7" spans="1:4" ht="25.5">
      <c r="A7" s="454" t="s">
        <v>414</v>
      </c>
      <c r="B7" s="455" t="s">
        <v>415</v>
      </c>
      <c r="C7" s="472" t="s">
        <v>863</v>
      </c>
    </row>
    <row r="8" spans="1:4" ht="51">
      <c r="A8" s="454" t="s">
        <v>416</v>
      </c>
      <c r="B8" s="455" t="s">
        <v>417</v>
      </c>
      <c r="C8" s="472" t="s">
        <v>864</v>
      </c>
    </row>
    <row r="9" spans="1:4" ht="38.25">
      <c r="A9" s="454" t="s">
        <v>418</v>
      </c>
      <c r="B9" s="455" t="s">
        <v>421</v>
      </c>
      <c r="C9" s="472" t="s">
        <v>862</v>
      </c>
    </row>
    <row r="10" spans="1:4" ht="38.25">
      <c r="A10" s="454" t="s">
        <v>422</v>
      </c>
      <c r="B10" s="455" t="s">
        <v>423</v>
      </c>
      <c r="C10" s="473" t="s">
        <v>597</v>
      </c>
    </row>
    <row r="11" spans="1:4">
      <c r="A11" s="456" t="s">
        <v>424</v>
      </c>
      <c r="B11" s="471" t="s">
        <v>425</v>
      </c>
      <c r="C11" s="457"/>
      <c r="D11" s="458"/>
    </row>
    <row r="12" spans="1:4" ht="153">
      <c r="A12" s="459" t="s">
        <v>426</v>
      </c>
      <c r="B12" s="460" t="s">
        <v>427</v>
      </c>
      <c r="C12" s="536" t="s">
        <v>865</v>
      </c>
      <c r="D12" s="458"/>
    </row>
    <row r="13" spans="1:4" ht="120.75" customHeight="1">
      <c r="A13" s="459"/>
      <c r="B13" s="460"/>
      <c r="C13" s="450" t="s">
        <v>866</v>
      </c>
      <c r="D13" s="458"/>
    </row>
    <row r="14" spans="1:4" ht="150" customHeight="1">
      <c r="A14" s="459"/>
      <c r="B14" s="460"/>
      <c r="C14" s="450" t="s">
        <v>867</v>
      </c>
      <c r="D14" s="458"/>
    </row>
    <row r="15" spans="1:4" ht="72.75" customHeight="1">
      <c r="A15" s="459"/>
      <c r="B15" s="460"/>
      <c r="C15" s="450" t="s">
        <v>870</v>
      </c>
      <c r="D15" s="458"/>
    </row>
    <row r="16" spans="1:4" ht="99" customHeight="1">
      <c r="A16" s="461" t="s">
        <v>428</v>
      </c>
      <c r="B16" s="457" t="s">
        <v>429</v>
      </c>
      <c r="C16" s="449" t="s">
        <v>605</v>
      </c>
      <c r="D16" s="458"/>
    </row>
    <row r="17" spans="1:4" ht="125.25" customHeight="1">
      <c r="A17" s="459"/>
      <c r="B17" s="460"/>
      <c r="C17" s="451" t="s">
        <v>871</v>
      </c>
      <c r="D17" s="458"/>
    </row>
    <row r="18" spans="1:4" ht="84.75" customHeight="1">
      <c r="A18" s="461" t="s">
        <v>430</v>
      </c>
      <c r="B18" s="466" t="s">
        <v>431</v>
      </c>
      <c r="C18" s="449" t="s">
        <v>586</v>
      </c>
      <c r="D18" s="458"/>
    </row>
    <row r="19" spans="1:4" ht="65.25" customHeight="1">
      <c r="A19" s="462"/>
      <c r="B19" s="467"/>
      <c r="C19" s="451" t="s">
        <v>585</v>
      </c>
      <c r="D19" s="458"/>
    </row>
    <row r="20" spans="1:4" ht="25.5">
      <c r="A20" s="459" t="s">
        <v>432</v>
      </c>
      <c r="B20" s="460" t="s">
        <v>433</v>
      </c>
      <c r="C20" s="473" t="s">
        <v>587</v>
      </c>
    </row>
    <row r="21" spans="1:4">
      <c r="A21" s="461" t="s">
        <v>588</v>
      </c>
      <c r="B21" s="457" t="s">
        <v>434</v>
      </c>
      <c r="C21" s="449"/>
      <c r="D21" s="458"/>
    </row>
    <row r="22" spans="1:4" ht="127.5">
      <c r="A22" s="459"/>
      <c r="B22" s="460"/>
      <c r="C22" s="469" t="s">
        <v>590</v>
      </c>
      <c r="D22" s="458"/>
    </row>
    <row r="23" spans="1:4" ht="94.5" customHeight="1">
      <c r="A23" s="459"/>
      <c r="B23" s="460"/>
      <c r="C23" s="469" t="s">
        <v>598</v>
      </c>
      <c r="D23" s="458"/>
    </row>
    <row r="24" spans="1:4" ht="87" customHeight="1">
      <c r="A24" s="459"/>
      <c r="B24" s="460"/>
      <c r="C24" s="469" t="s">
        <v>589</v>
      </c>
      <c r="D24" s="458"/>
    </row>
    <row r="25" spans="1:4" ht="55.5" customHeight="1">
      <c r="A25" s="459"/>
      <c r="B25" s="460"/>
      <c r="C25" s="469" t="s">
        <v>592</v>
      </c>
      <c r="D25" s="458"/>
    </row>
    <row r="26" spans="1:4" ht="33" customHeight="1">
      <c r="A26" s="462"/>
      <c r="B26" s="463"/>
      <c r="C26" s="470" t="s">
        <v>593</v>
      </c>
      <c r="D26" s="458"/>
    </row>
    <row r="27" spans="1:4" ht="38.25">
      <c r="A27" s="468" t="s">
        <v>435</v>
      </c>
      <c r="B27" s="463" t="s">
        <v>436</v>
      </c>
      <c r="C27" s="472" t="s">
        <v>591</v>
      </c>
    </row>
    <row r="28" spans="1:4" ht="38.25">
      <c r="A28" s="464" t="s">
        <v>437</v>
      </c>
      <c r="B28" s="455" t="s">
        <v>438</v>
      </c>
      <c r="C28" s="472" t="s">
        <v>439</v>
      </c>
    </row>
    <row r="29" spans="1:4" ht="38.25">
      <c r="A29" s="464" t="s">
        <v>440</v>
      </c>
      <c r="B29" s="455" t="s">
        <v>441</v>
      </c>
      <c r="C29" s="472" t="s">
        <v>190</v>
      </c>
    </row>
    <row r="30" spans="1:4">
      <c r="A30" s="465"/>
      <c r="C30" s="465"/>
    </row>
    <row r="31" spans="1:4">
      <c r="A31" s="465"/>
      <c r="C31" s="465"/>
    </row>
    <row r="32" spans="1:4">
      <c r="A32" s="465"/>
      <c r="C32" s="465"/>
    </row>
    <row r="33" spans="1:3">
      <c r="A33" s="465"/>
      <c r="C33" s="465"/>
    </row>
    <row r="34" spans="1:3">
      <c r="A34" s="465"/>
      <c r="C34" s="465"/>
    </row>
    <row r="35" spans="1:3">
      <c r="A35" s="465"/>
      <c r="C35" s="465"/>
    </row>
    <row r="36" spans="1:3">
      <c r="A36" s="465"/>
      <c r="C36" s="465"/>
    </row>
    <row r="37" spans="1:3">
      <c r="A37" s="465"/>
      <c r="C37" s="465"/>
    </row>
    <row r="38" spans="1:3">
      <c r="A38" s="465"/>
      <c r="C38" s="465"/>
    </row>
    <row r="39" spans="1:3">
      <c r="A39" s="465"/>
      <c r="C39" s="465"/>
    </row>
    <row r="40" spans="1:3">
      <c r="A40" s="465"/>
      <c r="C40" s="465"/>
    </row>
    <row r="41" spans="1:3">
      <c r="A41" s="465"/>
      <c r="C41" s="465"/>
    </row>
    <row r="42" spans="1:3">
      <c r="A42" s="465"/>
      <c r="C42" s="465"/>
    </row>
    <row r="43" spans="1:3">
      <c r="A43" s="465"/>
      <c r="C43" s="465"/>
    </row>
    <row r="44" spans="1:3">
      <c r="A44" s="465"/>
      <c r="C44" s="465"/>
    </row>
    <row r="45" spans="1:3">
      <c r="A45" s="465"/>
      <c r="C45" s="465"/>
    </row>
    <row r="46" spans="1:3">
      <c r="A46" s="465"/>
      <c r="C46" s="465"/>
    </row>
    <row r="47" spans="1:3">
      <c r="A47" s="465"/>
      <c r="C47" s="465"/>
    </row>
    <row r="48" spans="1:3">
      <c r="A48" s="465"/>
      <c r="C48" s="465"/>
    </row>
    <row r="49" spans="1:3">
      <c r="A49" s="465"/>
      <c r="C49" s="465"/>
    </row>
    <row r="50" spans="1:3">
      <c r="A50" s="465"/>
      <c r="C50" s="465"/>
    </row>
    <row r="51" spans="1:3">
      <c r="A51" s="465"/>
      <c r="C51" s="465"/>
    </row>
    <row r="52" spans="1:3">
      <c r="A52" s="465"/>
    </row>
    <row r="53" spans="1:3">
      <c r="A53" s="465"/>
    </row>
    <row r="54" spans="1:3">
      <c r="A54" s="465"/>
    </row>
    <row r="55" spans="1:3">
      <c r="A55" s="465"/>
    </row>
    <row r="56" spans="1:3">
      <c r="A56" s="465"/>
    </row>
    <row r="57" spans="1:3">
      <c r="A57" s="465"/>
    </row>
    <row r="58" spans="1:3">
      <c r="A58" s="465"/>
    </row>
    <row r="59" spans="1:3">
      <c r="A59" s="465"/>
    </row>
    <row r="60" spans="1:3">
      <c r="A60" s="465"/>
    </row>
    <row r="61" spans="1:3">
      <c r="A61" s="465"/>
    </row>
  </sheetData>
  <phoneticPr fontId="13" type="noConversion"/>
  <pageMargins left="0.75" right="0.75" top="0.5" bottom="0.5" header="0.5" footer="0.5"/>
  <pageSetup scale="69" fitToHeight="3" orientation="landscape" r:id="rId1"/>
  <headerFooter alignWithMargins="0"/>
  <rowBreaks count="1" manualBreakCount="1">
    <brk id="2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8"/>
  <sheetViews>
    <sheetView showGridLines="0" zoomScale="65" zoomScaleNormal="65" workbookViewId="0">
      <pane xSplit="2" ySplit="3" topLeftCell="I25" activePane="bottomRight" state="frozen"/>
      <selection pane="topRight" activeCell="B1" sqref="B1"/>
      <selection pane="bottomLeft" activeCell="A3" sqref="A3"/>
      <selection pane="bottomRight" activeCell="L19" sqref="L19"/>
    </sheetView>
  </sheetViews>
  <sheetFormatPr defaultRowHeight="15.75"/>
  <cols>
    <col min="1" max="1" width="5.109375" style="511" bestFit="1" customWidth="1"/>
    <col min="2" max="2" width="44.21875" style="3" bestFit="1" customWidth="1"/>
    <col min="3" max="3" width="0.77734375" style="3" customWidth="1"/>
    <col min="4" max="16" width="13.77734375" style="3" customWidth="1"/>
    <col min="17" max="17" width="7" style="3" bestFit="1" customWidth="1"/>
    <col min="18" max="18" width="12.44140625" style="3" bestFit="1" customWidth="1"/>
    <col min="19" max="16384" width="8.88671875" style="3"/>
  </cols>
  <sheetData>
    <row r="1" spans="1:17">
      <c r="A1" s="517" t="s">
        <v>660</v>
      </c>
      <c r="P1" s="74" t="s">
        <v>360</v>
      </c>
    </row>
    <row r="2" spans="1:17">
      <c r="A2" s="511" t="s">
        <v>174</v>
      </c>
      <c r="D2" s="230" t="s">
        <v>343</v>
      </c>
      <c r="E2" s="230" t="s">
        <v>369</v>
      </c>
      <c r="F2" s="241" t="s">
        <v>297</v>
      </c>
      <c r="G2" s="241" t="s">
        <v>298</v>
      </c>
      <c r="H2" s="241" t="s">
        <v>299</v>
      </c>
      <c r="I2" s="241" t="s">
        <v>149</v>
      </c>
      <c r="J2" s="241" t="s">
        <v>300</v>
      </c>
      <c r="K2" s="241" t="s">
        <v>301</v>
      </c>
      <c r="L2" s="241" t="s">
        <v>302</v>
      </c>
      <c r="M2" s="241" t="s">
        <v>303</v>
      </c>
      <c r="N2" s="241" t="s">
        <v>304</v>
      </c>
      <c r="O2" s="241" t="s">
        <v>305</v>
      </c>
      <c r="P2" s="230" t="s">
        <v>370</v>
      </c>
    </row>
    <row r="3" spans="1:17" ht="4.5" customHeight="1">
      <c r="B3" s="32"/>
      <c r="C3" s="32"/>
      <c r="D3" s="32"/>
      <c r="E3" s="32"/>
      <c r="F3" s="32"/>
      <c r="G3" s="32"/>
      <c r="H3" s="32"/>
      <c r="I3" s="32"/>
      <c r="J3" s="32"/>
      <c r="K3" s="32"/>
      <c r="L3" s="32"/>
      <c r="M3" s="32"/>
      <c r="N3" s="32"/>
      <c r="O3" s="32"/>
      <c r="P3" s="32"/>
    </row>
    <row r="4" spans="1:17">
      <c r="A4" s="513" t="s">
        <v>154</v>
      </c>
      <c r="B4" s="229" t="s">
        <v>310</v>
      </c>
    </row>
    <row r="5" spans="1:17">
      <c r="A5" s="513" t="s">
        <v>609</v>
      </c>
      <c r="B5" s="28" t="s">
        <v>306</v>
      </c>
      <c r="D5" s="29">
        <v>0</v>
      </c>
      <c r="E5" s="29">
        <v>0</v>
      </c>
      <c r="F5" s="29">
        <v>0</v>
      </c>
      <c r="G5" s="29">
        <v>0</v>
      </c>
      <c r="H5" s="29">
        <v>0</v>
      </c>
      <c r="I5" s="29">
        <v>0</v>
      </c>
      <c r="J5" s="29">
        <v>0</v>
      </c>
      <c r="K5" s="29">
        <v>0</v>
      </c>
      <c r="L5" s="29">
        <v>0</v>
      </c>
      <c r="M5" s="29">
        <v>0</v>
      </c>
      <c r="N5" s="29">
        <v>0</v>
      </c>
      <c r="O5" s="29">
        <v>0</v>
      </c>
      <c r="P5" s="29">
        <v>0</v>
      </c>
    </row>
    <row r="6" spans="1:17">
      <c r="A6" s="513" t="s">
        <v>610</v>
      </c>
      <c r="B6" s="229" t="s">
        <v>311</v>
      </c>
    </row>
    <row r="7" spans="1:17">
      <c r="A7" s="513" t="s">
        <v>611</v>
      </c>
      <c r="B7" s="28" t="s">
        <v>306</v>
      </c>
      <c r="D7" s="29">
        <v>0</v>
      </c>
      <c r="E7" s="29">
        <v>0</v>
      </c>
      <c r="F7" s="29">
        <v>0</v>
      </c>
      <c r="G7" s="29">
        <v>0</v>
      </c>
      <c r="H7" s="29">
        <v>0</v>
      </c>
      <c r="I7" s="29">
        <v>0</v>
      </c>
      <c r="J7" s="29">
        <v>0</v>
      </c>
      <c r="K7" s="29">
        <v>0</v>
      </c>
      <c r="L7" s="29">
        <v>0</v>
      </c>
      <c r="M7" s="29">
        <v>0</v>
      </c>
      <c r="N7" s="29">
        <v>0</v>
      </c>
      <c r="O7" s="29">
        <v>0</v>
      </c>
      <c r="P7" s="29">
        <v>0</v>
      </c>
    </row>
    <row r="8" spans="1:17">
      <c r="A8" s="513" t="s">
        <v>612</v>
      </c>
      <c r="B8" s="229" t="s">
        <v>312</v>
      </c>
    </row>
    <row r="9" spans="1:17">
      <c r="A9" s="513" t="s">
        <v>613</v>
      </c>
      <c r="B9" s="28" t="s">
        <v>306</v>
      </c>
      <c r="D9" s="29">
        <v>0</v>
      </c>
      <c r="E9" s="29">
        <v>0</v>
      </c>
      <c r="F9" s="29">
        <v>0</v>
      </c>
      <c r="G9" s="29">
        <v>0</v>
      </c>
      <c r="H9" s="29">
        <v>0</v>
      </c>
      <c r="I9" s="29">
        <v>0</v>
      </c>
      <c r="J9" s="29">
        <v>0</v>
      </c>
      <c r="K9" s="29">
        <v>0</v>
      </c>
      <c r="L9" s="29">
        <v>0</v>
      </c>
      <c r="M9" s="29">
        <v>0</v>
      </c>
      <c r="N9" s="29">
        <v>0</v>
      </c>
      <c r="O9" s="29">
        <v>0</v>
      </c>
      <c r="P9" s="29">
        <v>0</v>
      </c>
    </row>
    <row r="10" spans="1:17">
      <c r="A10" s="513" t="s">
        <v>614</v>
      </c>
      <c r="B10" s="229" t="s">
        <v>313</v>
      </c>
    </row>
    <row r="11" spans="1:17">
      <c r="A11" s="513" t="s">
        <v>615</v>
      </c>
      <c r="B11" s="3" t="s">
        <v>314</v>
      </c>
    </row>
    <row r="12" spans="1:17">
      <c r="A12" s="513" t="s">
        <v>616</v>
      </c>
      <c r="B12" s="28" t="s">
        <v>306</v>
      </c>
      <c r="D12" s="29">
        <v>0</v>
      </c>
      <c r="E12" s="29">
        <v>0</v>
      </c>
      <c r="F12" s="29">
        <v>0</v>
      </c>
      <c r="G12" s="29">
        <v>0</v>
      </c>
      <c r="H12" s="29">
        <v>0</v>
      </c>
      <c r="I12" s="29">
        <v>0</v>
      </c>
      <c r="J12" s="29">
        <v>0</v>
      </c>
      <c r="K12" s="29">
        <v>0</v>
      </c>
      <c r="L12" s="29">
        <v>0</v>
      </c>
      <c r="M12" s="29">
        <v>0</v>
      </c>
      <c r="N12" s="29">
        <v>0</v>
      </c>
      <c r="O12" s="29">
        <v>0</v>
      </c>
      <c r="P12" s="29">
        <v>0</v>
      </c>
    </row>
    <row r="13" spans="1:17">
      <c r="B13" s="30" t="s">
        <v>307</v>
      </c>
    </row>
    <row r="14" spans="1:17">
      <c r="A14" s="513" t="s">
        <v>617</v>
      </c>
      <c r="B14" s="3" t="s">
        <v>308</v>
      </c>
      <c r="D14" s="31">
        <v>-0.11000000312924385</v>
      </c>
      <c r="E14" s="31">
        <v>-0.11000000312924385</v>
      </c>
      <c r="F14" s="31">
        <v>-0.11000000312924385</v>
      </c>
      <c r="G14" s="31">
        <v>-0.11000000312924385</v>
      </c>
      <c r="H14" s="31">
        <v>-0.11000000312924385</v>
      </c>
      <c r="I14" s="31">
        <v>-0.11000000312924385</v>
      </c>
      <c r="J14" s="31">
        <v>-0.11000000312924385</v>
      </c>
      <c r="K14" s="31">
        <v>-0.11000000312924385</v>
      </c>
      <c r="L14" s="31">
        <v>-0.11000000312924385</v>
      </c>
      <c r="M14" s="31">
        <v>-0.11000000312924385</v>
      </c>
      <c r="N14" s="31">
        <v>-0.11000000312924385</v>
      </c>
      <c r="O14" s="31">
        <v>-0.11000000312924385</v>
      </c>
      <c r="P14" s="31">
        <v>-0.11000000312924385</v>
      </c>
      <c r="Q14" s="3" t="s">
        <v>356</v>
      </c>
    </row>
    <row r="15" spans="1:17" ht="9" customHeight="1">
      <c r="B15" s="32"/>
      <c r="C15" s="32"/>
      <c r="D15" s="32"/>
      <c r="E15" s="32"/>
      <c r="F15" s="32"/>
      <c r="G15" s="32"/>
      <c r="H15" s="32"/>
      <c r="I15" s="32"/>
      <c r="J15" s="32"/>
      <c r="K15" s="32"/>
      <c r="L15" s="32"/>
      <c r="M15" s="32"/>
      <c r="N15" s="32"/>
      <c r="O15" s="32"/>
      <c r="P15" s="32"/>
    </row>
    <row r="16" spans="1:17">
      <c r="A16" s="513" t="s">
        <v>618</v>
      </c>
      <c r="B16" s="229" t="s">
        <v>315</v>
      </c>
    </row>
    <row r="17" spans="1:17">
      <c r="A17" s="513" t="s">
        <v>619</v>
      </c>
      <c r="B17" s="28" t="s">
        <v>306</v>
      </c>
      <c r="D17" s="29">
        <v>27017008.160000008</v>
      </c>
      <c r="E17" s="29">
        <v>29080234.330000006</v>
      </c>
      <c r="F17" s="29">
        <v>30412508.020000003</v>
      </c>
      <c r="G17" s="29">
        <v>31882238.210000005</v>
      </c>
      <c r="H17" s="29">
        <v>23850615.100000009</v>
      </c>
      <c r="I17" s="29">
        <v>25633392.750000007</v>
      </c>
      <c r="J17" s="29">
        <v>26841978.690000005</v>
      </c>
      <c r="K17" s="29">
        <v>28810323.280000005</v>
      </c>
      <c r="L17" s="29">
        <v>31001228.170000006</v>
      </c>
      <c r="M17" s="29">
        <v>33965687.550000012</v>
      </c>
      <c r="N17" s="29">
        <v>36962712.500000007</v>
      </c>
      <c r="O17" s="29">
        <v>39655805.88000001</v>
      </c>
      <c r="P17" s="29">
        <v>44294006.49000001</v>
      </c>
    </row>
    <row r="18" spans="1:17">
      <c r="A18" s="513" t="s">
        <v>620</v>
      </c>
      <c r="B18" s="229" t="s">
        <v>316</v>
      </c>
    </row>
    <row r="19" spans="1:17">
      <c r="A19" s="513" t="s">
        <v>621</v>
      </c>
      <c r="B19" s="28" t="s">
        <v>306</v>
      </c>
      <c r="D19" s="29">
        <v>105112681.36</v>
      </c>
      <c r="E19" s="29">
        <v>117014251.95</v>
      </c>
      <c r="F19" s="29">
        <v>128741410.33</v>
      </c>
      <c r="G19" s="29">
        <v>139748278.47000003</v>
      </c>
      <c r="H19" s="29">
        <v>147454206.67000005</v>
      </c>
      <c r="I19" s="29">
        <v>157464418.48000008</v>
      </c>
      <c r="J19" s="29">
        <v>169501578.26000008</v>
      </c>
      <c r="K19" s="29">
        <v>183921623.82000008</v>
      </c>
      <c r="L19" s="29">
        <v>199282355.57000008</v>
      </c>
      <c r="M19" s="29">
        <v>215415184.68000007</v>
      </c>
      <c r="N19" s="29">
        <v>233701319.93000007</v>
      </c>
      <c r="O19" s="29">
        <v>246581335.16000009</v>
      </c>
      <c r="P19" s="29">
        <v>263182190.32000008</v>
      </c>
    </row>
    <row r="20" spans="1:17">
      <c r="A20" s="513" t="s">
        <v>622</v>
      </c>
      <c r="B20" s="229" t="s">
        <v>317</v>
      </c>
    </row>
    <row r="21" spans="1:17">
      <c r="A21" s="513" t="s">
        <v>623</v>
      </c>
      <c r="B21" s="28" t="s">
        <v>306</v>
      </c>
      <c r="D21" s="29">
        <v>13207927.049999999</v>
      </c>
      <c r="E21" s="29">
        <v>405923.45999999903</v>
      </c>
      <c r="F21" s="29">
        <v>632199.12999999896</v>
      </c>
      <c r="G21" s="29">
        <v>1073150.6399999999</v>
      </c>
      <c r="H21" s="29">
        <v>2431462.9900000002</v>
      </c>
      <c r="I21" s="29">
        <v>429589.10999999847</v>
      </c>
      <c r="J21" s="29">
        <v>510561.24999999849</v>
      </c>
      <c r="K21" s="29">
        <v>796212.39999999828</v>
      </c>
      <c r="L21" s="29">
        <v>1160422.8899999999</v>
      </c>
      <c r="M21" s="29">
        <v>821.18999999854714</v>
      </c>
      <c r="N21" s="29">
        <v>821.16999999852851</v>
      </c>
      <c r="O21" s="29">
        <v>200.25999999849591</v>
      </c>
      <c r="P21" s="29">
        <v>0.21999999857507646</v>
      </c>
    </row>
    <row r="22" spans="1:17">
      <c r="A22" s="513" t="s">
        <v>624</v>
      </c>
      <c r="B22" s="229" t="s">
        <v>318</v>
      </c>
    </row>
    <row r="23" spans="1:17">
      <c r="A23" s="513" t="s">
        <v>625</v>
      </c>
      <c r="B23" s="3" t="s">
        <v>319</v>
      </c>
    </row>
    <row r="24" spans="1:17">
      <c r="A24" s="513" t="s">
        <v>626</v>
      </c>
      <c r="B24" s="28" t="s">
        <v>306</v>
      </c>
      <c r="D24" s="29">
        <v>145337616.57000002</v>
      </c>
      <c r="E24" s="29">
        <v>146500409.74000001</v>
      </c>
      <c r="F24" s="29">
        <v>159786117.48000002</v>
      </c>
      <c r="G24" s="29">
        <v>172703667.31999999</v>
      </c>
      <c r="H24" s="29">
        <v>173736284.76000005</v>
      </c>
      <c r="I24" s="29">
        <v>183527400.34000006</v>
      </c>
      <c r="J24" s="29">
        <v>196854118.20000005</v>
      </c>
      <c r="K24" s="29">
        <v>213528159.50000006</v>
      </c>
      <c r="L24" s="29">
        <v>231444006.63000008</v>
      </c>
      <c r="M24" s="29">
        <v>249381693.42000011</v>
      </c>
      <c r="N24" s="29">
        <v>270664853.60000014</v>
      </c>
      <c r="O24" s="29">
        <v>286237341.30000007</v>
      </c>
      <c r="P24" s="29">
        <v>307476197.78000003</v>
      </c>
    </row>
    <row r="26" spans="1:17">
      <c r="A26" s="513" t="s">
        <v>627</v>
      </c>
      <c r="B26" s="3" t="s">
        <v>308</v>
      </c>
      <c r="D26" s="31">
        <v>136994253.03999999</v>
      </c>
      <c r="E26" s="31">
        <v>137408111.82999998</v>
      </c>
      <c r="F26" s="31">
        <v>149860899.33999997</v>
      </c>
      <c r="G26" s="31">
        <v>161873295.17999998</v>
      </c>
      <c r="H26" s="31">
        <v>162554467.81</v>
      </c>
      <c r="I26" s="31">
        <v>171304491.33000001</v>
      </c>
      <c r="J26" s="31">
        <v>183560705.72999999</v>
      </c>
      <c r="K26" s="31">
        <v>199077686.34999999</v>
      </c>
      <c r="L26" s="31">
        <v>215740474.20999998</v>
      </c>
      <c r="M26" s="31">
        <v>232516178.39999998</v>
      </c>
      <c r="N26" s="31">
        <v>252390223.67999998</v>
      </c>
      <c r="O26" s="31">
        <v>266399861.35999998</v>
      </c>
      <c r="P26" s="31">
        <v>286017506.90000004</v>
      </c>
      <c r="Q26" s="3" t="s">
        <v>356</v>
      </c>
    </row>
    <row r="27" spans="1:17" ht="8.25" customHeight="1">
      <c r="B27" s="32"/>
      <c r="C27" s="32"/>
      <c r="D27" s="32"/>
      <c r="E27" s="32"/>
      <c r="F27" s="32"/>
      <c r="G27" s="32"/>
      <c r="H27" s="32"/>
      <c r="I27" s="32"/>
      <c r="J27" s="32"/>
      <c r="K27" s="32"/>
      <c r="L27" s="32"/>
      <c r="M27" s="32"/>
      <c r="N27" s="32"/>
      <c r="O27" s="32"/>
      <c r="P27" s="32"/>
    </row>
    <row r="28" spans="1:17">
      <c r="A28" s="513" t="s">
        <v>628</v>
      </c>
      <c r="B28" s="229" t="s">
        <v>320</v>
      </c>
    </row>
    <row r="29" spans="1:17">
      <c r="A29" s="513" t="s">
        <v>629</v>
      </c>
      <c r="B29" s="28" t="s">
        <v>306</v>
      </c>
      <c r="D29" s="29">
        <v>1936621.81</v>
      </c>
      <c r="E29" s="29">
        <v>1979743.83</v>
      </c>
      <c r="F29" s="29">
        <v>2246618.9</v>
      </c>
      <c r="G29" s="29">
        <v>2321520.2400000002</v>
      </c>
      <c r="H29" s="29">
        <v>2476303.42</v>
      </c>
      <c r="I29" s="29">
        <v>3495472.57</v>
      </c>
      <c r="J29" s="29">
        <v>4393223.97</v>
      </c>
      <c r="K29" s="29">
        <v>7017747.9500000002</v>
      </c>
      <c r="L29" s="29">
        <v>9942319.8299999982</v>
      </c>
      <c r="M29" s="29">
        <v>12139140.470000001</v>
      </c>
      <c r="N29" s="29">
        <v>13409461.310000002</v>
      </c>
      <c r="O29" s="29">
        <v>14990247.690000001</v>
      </c>
      <c r="P29" s="29">
        <v>17775796.340000004</v>
      </c>
    </row>
    <row r="30" spans="1:17">
      <c r="A30" s="513" t="s">
        <v>630</v>
      </c>
      <c r="B30" s="229" t="s">
        <v>321</v>
      </c>
    </row>
    <row r="31" spans="1:17">
      <c r="A31" s="513" t="s">
        <v>631</v>
      </c>
      <c r="B31" s="28" t="s">
        <v>306</v>
      </c>
      <c r="D31" s="29">
        <v>14638536.599999992</v>
      </c>
      <c r="E31" s="29">
        <v>15820223.799999993</v>
      </c>
      <c r="F31" s="29">
        <v>17350043.939999994</v>
      </c>
      <c r="G31" s="29">
        <v>19050044.629999992</v>
      </c>
      <c r="H31" s="29">
        <v>19742827.019999992</v>
      </c>
      <c r="I31" s="29">
        <v>20183209.739999991</v>
      </c>
      <c r="J31" s="29">
        <v>20638576.569999989</v>
      </c>
      <c r="K31" s="29">
        <v>22427127.25999999</v>
      </c>
      <c r="L31" s="29">
        <v>26568719.409999993</v>
      </c>
      <c r="M31" s="29">
        <v>32647696.159999996</v>
      </c>
      <c r="N31" s="29">
        <v>39233088.319999993</v>
      </c>
      <c r="O31" s="29">
        <v>48322072.459999986</v>
      </c>
      <c r="P31" s="29">
        <v>53020546.369999982</v>
      </c>
    </row>
    <row r="32" spans="1:17">
      <c r="A32" s="513" t="s">
        <v>632</v>
      </c>
      <c r="B32" s="229" t="s">
        <v>322</v>
      </c>
    </row>
    <row r="33" spans="1:17">
      <c r="A33" s="513" t="s">
        <v>633</v>
      </c>
      <c r="B33" s="28" t="s">
        <v>306</v>
      </c>
      <c r="D33" s="29">
        <v>1716951.39</v>
      </c>
      <c r="E33" s="29">
        <v>1860032.19</v>
      </c>
      <c r="F33" s="29">
        <v>2077407.76</v>
      </c>
      <c r="G33" s="29">
        <v>2419202.91</v>
      </c>
      <c r="H33" s="29">
        <v>24271.680000000168</v>
      </c>
      <c r="I33" s="29">
        <v>28687.010000000169</v>
      </c>
      <c r="J33" s="29">
        <v>165344.17000000001</v>
      </c>
      <c r="K33" s="29">
        <v>165989.38</v>
      </c>
      <c r="L33" s="29">
        <v>199744.8</v>
      </c>
      <c r="M33" s="29">
        <v>240824.29</v>
      </c>
      <c r="N33" s="29">
        <v>643779.35</v>
      </c>
      <c r="O33" s="29">
        <v>493798.77</v>
      </c>
      <c r="P33" s="29">
        <v>527049.35</v>
      </c>
    </row>
    <row r="34" spans="1:17">
      <c r="A34" s="513" t="s">
        <v>634</v>
      </c>
      <c r="B34" s="229" t="s">
        <v>401</v>
      </c>
    </row>
    <row r="35" spans="1:17">
      <c r="A35" s="513" t="s">
        <v>635</v>
      </c>
      <c r="B35" s="3" t="s">
        <v>323</v>
      </c>
    </row>
    <row r="36" spans="1:17">
      <c r="A36" s="513" t="s">
        <v>636</v>
      </c>
      <c r="B36" s="28" t="s">
        <v>306</v>
      </c>
      <c r="D36" s="29">
        <v>18292109.799999993</v>
      </c>
      <c r="E36" s="29">
        <v>19659999.819999997</v>
      </c>
      <c r="F36" s="29">
        <v>21674070.599999998</v>
      </c>
      <c r="G36" s="29">
        <v>23790767.779999994</v>
      </c>
      <c r="H36" s="29">
        <v>22243402.11999999</v>
      </c>
      <c r="I36" s="29">
        <v>23707369.319999993</v>
      </c>
      <c r="J36" s="29">
        <v>25197144.709999993</v>
      </c>
      <c r="K36" s="29">
        <v>29610864.589999989</v>
      </c>
      <c r="L36" s="29">
        <v>36710784.039999992</v>
      </c>
      <c r="M36" s="29">
        <v>45027660.919999987</v>
      </c>
      <c r="N36" s="29">
        <v>53286328.979999997</v>
      </c>
      <c r="O36" s="29">
        <v>63806118.920000009</v>
      </c>
      <c r="P36" s="29">
        <v>71323392.060000002</v>
      </c>
    </row>
    <row r="38" spans="1:17">
      <c r="A38" s="513" t="s">
        <v>637</v>
      </c>
      <c r="B38" s="3" t="s">
        <v>308</v>
      </c>
      <c r="D38" s="31">
        <v>15344615.909999995</v>
      </c>
      <c r="E38" s="31">
        <v>16560085.659999995</v>
      </c>
      <c r="F38" s="31">
        <v>18506146.029999994</v>
      </c>
      <c r="G38" s="31">
        <v>20579216.589999992</v>
      </c>
      <c r="H38" s="31">
        <v>18955091.569999993</v>
      </c>
      <c r="I38" s="31">
        <v>20289993.719999995</v>
      </c>
      <c r="J38" s="31">
        <v>21641981.069999997</v>
      </c>
      <c r="K38" s="31">
        <v>25901262.919999998</v>
      </c>
      <c r="L38" s="31">
        <v>32814274.98</v>
      </c>
      <c r="M38" s="31">
        <v>40929414.519999996</v>
      </c>
      <c r="N38" s="31">
        <v>48923255.299999997</v>
      </c>
      <c r="O38" s="31">
        <v>59117806.450000003</v>
      </c>
      <c r="P38" s="31">
        <v>66266141.130000003</v>
      </c>
      <c r="Q38" s="3" t="s">
        <v>356</v>
      </c>
    </row>
    <row r="39" spans="1:17" ht="8.25" customHeight="1">
      <c r="B39" s="32"/>
      <c r="C39" s="32"/>
      <c r="D39" s="32"/>
      <c r="E39" s="32"/>
      <c r="F39" s="32"/>
      <c r="G39" s="32"/>
      <c r="H39" s="32"/>
      <c r="I39" s="32"/>
      <c r="J39" s="32"/>
      <c r="K39" s="32"/>
      <c r="L39" s="32"/>
      <c r="M39" s="32"/>
      <c r="N39" s="32"/>
      <c r="O39" s="32"/>
      <c r="P39" s="32"/>
    </row>
    <row r="40" spans="1:17">
      <c r="A40" s="513" t="s">
        <v>638</v>
      </c>
      <c r="B40" s="229" t="s">
        <v>324</v>
      </c>
    </row>
    <row r="41" spans="1:17">
      <c r="A41" s="513" t="s">
        <v>639</v>
      </c>
      <c r="B41" s="28" t="s">
        <v>306</v>
      </c>
      <c r="D41" s="29">
        <v>834528.89999998978</v>
      </c>
      <c r="E41" s="29">
        <v>915615.74999998987</v>
      </c>
      <c r="F41" s="29">
        <v>981269.01999998977</v>
      </c>
      <c r="G41" s="29">
        <v>1062444.9699999897</v>
      </c>
      <c r="H41" s="29">
        <v>1313386.9099999897</v>
      </c>
      <c r="I41" s="29">
        <v>1762911.4999999895</v>
      </c>
      <c r="J41" s="29">
        <v>2857611.9299999899</v>
      </c>
      <c r="K41" s="29">
        <v>3418179.48999999</v>
      </c>
      <c r="L41" s="29">
        <v>4814605.3299999898</v>
      </c>
      <c r="M41" s="29">
        <v>6010456.98999999</v>
      </c>
      <c r="N41" s="29">
        <v>6622673.9099999899</v>
      </c>
      <c r="O41" s="29">
        <v>7373917.9699999904</v>
      </c>
      <c r="P41" s="29">
        <v>8754436.8099999893</v>
      </c>
    </row>
    <row r="42" spans="1:17">
      <c r="A42" s="513" t="s">
        <v>640</v>
      </c>
      <c r="B42" s="229" t="s">
        <v>325</v>
      </c>
    </row>
    <row r="43" spans="1:17">
      <c r="A43" s="513" t="s">
        <v>641</v>
      </c>
      <c r="B43" s="28" t="s">
        <v>306</v>
      </c>
      <c r="D43" s="29">
        <v>45957511.699999973</v>
      </c>
      <c r="E43" s="29">
        <v>48449016.239999972</v>
      </c>
      <c r="F43" s="29">
        <v>54446656.929999977</v>
      </c>
      <c r="G43" s="29">
        <v>58612903.819999978</v>
      </c>
      <c r="H43" s="29">
        <v>62256665.689999983</v>
      </c>
      <c r="I43" s="29">
        <v>67152013.499999985</v>
      </c>
      <c r="J43" s="29">
        <v>70951190.589999974</v>
      </c>
      <c r="K43" s="29">
        <v>75945870.85999997</v>
      </c>
      <c r="L43" s="29">
        <v>84466774.749999955</v>
      </c>
      <c r="M43" s="29">
        <v>92341587.339999959</v>
      </c>
      <c r="N43" s="29">
        <v>99280603.639999956</v>
      </c>
      <c r="O43" s="29">
        <v>108800901.21999995</v>
      </c>
      <c r="P43" s="29">
        <v>118505778.65999995</v>
      </c>
    </row>
    <row r="44" spans="1:17">
      <c r="A44" s="513" t="s">
        <v>642</v>
      </c>
      <c r="B44" s="229" t="s">
        <v>326</v>
      </c>
    </row>
    <row r="45" spans="1:17">
      <c r="A45" s="513" t="s">
        <v>643</v>
      </c>
      <c r="B45" s="28" t="s">
        <v>306</v>
      </c>
      <c r="D45" s="29">
        <v>1585440.3</v>
      </c>
      <c r="E45" s="29">
        <v>1561337.37</v>
      </c>
      <c r="F45" s="29">
        <v>461128.16</v>
      </c>
      <c r="G45" s="29">
        <v>461577.43</v>
      </c>
      <c r="H45" s="29">
        <v>462402.41</v>
      </c>
      <c r="I45" s="29">
        <v>462078.84</v>
      </c>
      <c r="J45" s="29">
        <v>0</v>
      </c>
      <c r="K45" s="29">
        <v>569090.47</v>
      </c>
      <c r="L45" s="29">
        <v>570264.75</v>
      </c>
      <c r="M45" s="29">
        <v>575761.67000000004</v>
      </c>
      <c r="N45" s="29">
        <v>345682.21</v>
      </c>
      <c r="O45" s="29">
        <v>529056.56999999995</v>
      </c>
      <c r="P45" s="29">
        <v>0</v>
      </c>
    </row>
    <row r="46" spans="1:17">
      <c r="A46" s="513" t="s">
        <v>644</v>
      </c>
      <c r="B46" s="229" t="s">
        <v>327</v>
      </c>
    </row>
    <row r="47" spans="1:17">
      <c r="A47" s="513" t="s">
        <v>645</v>
      </c>
      <c r="B47" s="3" t="s">
        <v>323</v>
      </c>
    </row>
    <row r="48" spans="1:17">
      <c r="A48" s="513" t="s">
        <v>646</v>
      </c>
      <c r="B48" s="28" t="s">
        <v>306</v>
      </c>
      <c r="D48" s="29">
        <v>48377480.899999969</v>
      </c>
      <c r="E48" s="29">
        <v>50925969.359999955</v>
      </c>
      <c r="F48" s="29">
        <v>55889054.109999955</v>
      </c>
      <c r="G48" s="29">
        <v>60136926.219999969</v>
      </c>
      <c r="H48" s="29">
        <v>64032455.009999968</v>
      </c>
      <c r="I48" s="29">
        <v>69377003.839999959</v>
      </c>
      <c r="J48" s="29">
        <v>73808802.519999981</v>
      </c>
      <c r="K48" s="29">
        <v>79933140.819999963</v>
      </c>
      <c r="L48" s="29">
        <v>89851644.829999968</v>
      </c>
      <c r="M48" s="29">
        <v>98927805.99999994</v>
      </c>
      <c r="N48" s="29">
        <v>106248959.75999996</v>
      </c>
      <c r="O48" s="29">
        <v>116703875.75999995</v>
      </c>
      <c r="P48" s="29">
        <v>127260215.46999992</v>
      </c>
    </row>
    <row r="50" spans="1:18">
      <c r="A50" s="513" t="s">
        <v>647</v>
      </c>
      <c r="B50" s="3" t="s">
        <v>308</v>
      </c>
      <c r="D50" s="31">
        <v>44934870.250000007</v>
      </c>
      <c r="E50" s="31">
        <v>47213439.270000011</v>
      </c>
      <c r="F50" s="31">
        <v>51890557.010000013</v>
      </c>
      <c r="G50" s="31">
        <v>55816867.720000014</v>
      </c>
      <c r="H50" s="31">
        <v>59369683.850000016</v>
      </c>
      <c r="I50" s="31">
        <v>64338201.580000013</v>
      </c>
      <c r="J50" s="31">
        <v>68367228.560000017</v>
      </c>
      <c r="K50" s="31">
        <v>74058247.570000008</v>
      </c>
      <c r="L50" s="31">
        <v>83499665.680000007</v>
      </c>
      <c r="M50" s="31">
        <v>92119262.670000017</v>
      </c>
      <c r="N50" s="31">
        <v>98885860.310000017</v>
      </c>
      <c r="O50" s="31">
        <v>108716249.49000001</v>
      </c>
      <c r="P50" s="31">
        <v>118602827.78000002</v>
      </c>
      <c r="Q50" s="3" t="s">
        <v>356</v>
      </c>
    </row>
    <row r="51" spans="1:18" ht="8.25" customHeight="1">
      <c r="B51" s="32"/>
      <c r="C51" s="32"/>
      <c r="D51" s="32"/>
      <c r="E51" s="32"/>
      <c r="F51" s="32"/>
      <c r="G51" s="32"/>
      <c r="H51" s="32"/>
      <c r="I51" s="32"/>
      <c r="J51" s="32"/>
      <c r="K51" s="32"/>
      <c r="L51" s="32"/>
      <c r="M51" s="32"/>
      <c r="N51" s="32"/>
      <c r="O51" s="32"/>
      <c r="P51" s="32"/>
    </row>
    <row r="52" spans="1:18">
      <c r="B52" s="30" t="s">
        <v>307</v>
      </c>
      <c r="R52" s="3" t="s">
        <v>309</v>
      </c>
    </row>
    <row r="53" spans="1:18">
      <c r="A53" s="513" t="s">
        <v>648</v>
      </c>
      <c r="B53" s="3" t="s">
        <v>328</v>
      </c>
      <c r="D53" s="3">
        <v>197273739.08999997</v>
      </c>
      <c r="E53" s="3">
        <v>201181636.64999998</v>
      </c>
      <c r="F53" s="3">
        <v>220257602.26999998</v>
      </c>
      <c r="G53" s="3">
        <v>238269379.38</v>
      </c>
      <c r="H53" s="3">
        <v>240879243.12</v>
      </c>
      <c r="I53" s="3">
        <v>255932686.52000001</v>
      </c>
      <c r="J53" s="3">
        <v>273569915.25</v>
      </c>
      <c r="K53" s="3">
        <v>299037196.72999996</v>
      </c>
      <c r="L53" s="3">
        <v>332054414.75999999</v>
      </c>
      <c r="M53" s="3">
        <v>365564855.47999996</v>
      </c>
      <c r="N53" s="3">
        <v>400199339.17999995</v>
      </c>
      <c r="O53" s="3">
        <v>434233917.19</v>
      </c>
      <c r="P53" s="3">
        <v>470886475.70000005</v>
      </c>
      <c r="Q53" s="3" t="s">
        <v>357</v>
      </c>
      <c r="R53" s="516">
        <f>SUM(D53:P53)/13</f>
        <v>302256953.94769228</v>
      </c>
    </row>
    <row r="54" spans="1:18">
      <c r="R54" s="512" t="s">
        <v>659</v>
      </c>
    </row>
    <row r="55" spans="1:18" ht="8.25" customHeight="1">
      <c r="B55" s="32"/>
      <c r="C55" s="32"/>
      <c r="D55" s="32"/>
      <c r="E55" s="32"/>
      <c r="F55" s="32"/>
      <c r="G55" s="32"/>
      <c r="H55" s="32"/>
      <c r="I55" s="32"/>
      <c r="J55" s="32"/>
      <c r="K55" s="32"/>
      <c r="L55" s="32"/>
      <c r="M55" s="32"/>
      <c r="N55" s="32"/>
      <c r="O55" s="32"/>
      <c r="P55" s="32"/>
    </row>
    <row r="56" spans="1:18" s="28" customFormat="1">
      <c r="A56" s="513" t="s">
        <v>649</v>
      </c>
      <c r="B56" s="229" t="s">
        <v>344</v>
      </c>
    </row>
    <row r="57" spans="1:18" s="28" customFormat="1">
      <c r="A57" s="513" t="s">
        <v>650</v>
      </c>
      <c r="B57" s="28" t="s">
        <v>306</v>
      </c>
      <c r="D57" s="29">
        <v>40252.519999999997</v>
      </c>
      <c r="E57" s="29">
        <v>301433.68</v>
      </c>
      <c r="F57" s="29">
        <v>361127.97</v>
      </c>
      <c r="G57" s="29">
        <v>460503.32</v>
      </c>
      <c r="H57" s="29">
        <v>11470.34</v>
      </c>
      <c r="I57" s="29">
        <v>742373.39</v>
      </c>
      <c r="J57" s="29">
        <v>742672.96</v>
      </c>
      <c r="K57" s="29">
        <v>776628.26</v>
      </c>
      <c r="L57" s="29">
        <v>777318.09</v>
      </c>
      <c r="M57" s="29">
        <v>777440.25</v>
      </c>
      <c r="N57" s="29">
        <v>777742.94</v>
      </c>
      <c r="O57" s="29">
        <v>0</v>
      </c>
      <c r="P57" s="29">
        <v>0</v>
      </c>
      <c r="R57" s="3"/>
    </row>
    <row r="58" spans="1:18">
      <c r="A58" s="513" t="s">
        <v>651</v>
      </c>
      <c r="B58" s="229" t="s">
        <v>329</v>
      </c>
    </row>
    <row r="59" spans="1:18">
      <c r="A59" s="513" t="s">
        <v>652</v>
      </c>
      <c r="B59" s="28" t="s">
        <v>306</v>
      </c>
      <c r="D59" s="29">
        <v>6692771.2700000005</v>
      </c>
      <c r="E59" s="29">
        <v>6843341.580000001</v>
      </c>
      <c r="F59" s="29">
        <v>6960551.4600000018</v>
      </c>
      <c r="G59" s="29">
        <v>7055210.9900000021</v>
      </c>
      <c r="H59" s="29">
        <v>7284668.0600000024</v>
      </c>
      <c r="I59" s="29">
        <v>7512637.7600000016</v>
      </c>
      <c r="J59" s="29">
        <v>7740750.6500000013</v>
      </c>
      <c r="K59" s="29">
        <v>7954103.9000000022</v>
      </c>
      <c r="L59" s="29">
        <v>8158422.950000002</v>
      </c>
      <c r="M59" s="29">
        <v>8319538.6700000018</v>
      </c>
      <c r="N59" s="29">
        <v>8593800.410000002</v>
      </c>
      <c r="O59" s="29">
        <v>16857563.640000001</v>
      </c>
      <c r="P59" s="29">
        <v>17671426.850000005</v>
      </c>
    </row>
    <row r="60" spans="1:18" s="28" customFormat="1">
      <c r="A60" s="513" t="s">
        <v>653</v>
      </c>
      <c r="B60" s="229" t="s">
        <v>345</v>
      </c>
      <c r="R60" s="3"/>
    </row>
    <row r="61" spans="1:18">
      <c r="A61" s="513" t="s">
        <v>654</v>
      </c>
      <c r="B61" s="28" t="s">
        <v>306</v>
      </c>
      <c r="D61" s="29">
        <v>51753.3</v>
      </c>
      <c r="E61" s="29">
        <v>102129.52</v>
      </c>
      <c r="F61" s="29">
        <v>135865.72</v>
      </c>
      <c r="G61" s="29">
        <v>166376.10999999999</v>
      </c>
      <c r="H61" s="29">
        <v>207270.22</v>
      </c>
      <c r="I61" s="29">
        <v>281200.7</v>
      </c>
      <c r="J61" s="29">
        <v>1033042.15</v>
      </c>
      <c r="K61" s="29">
        <v>1564968.73</v>
      </c>
      <c r="L61" s="29">
        <v>2310684.7400000002</v>
      </c>
      <c r="M61" s="29">
        <v>6223190.8900000006</v>
      </c>
      <c r="N61" s="29">
        <v>9083335.0600000005</v>
      </c>
      <c r="O61" s="29">
        <v>10581382.539999999</v>
      </c>
      <c r="P61" s="29">
        <v>11973909.309999999</v>
      </c>
    </row>
    <row r="62" spans="1:18">
      <c r="A62" s="513" t="s">
        <v>655</v>
      </c>
      <c r="B62" s="229" t="s">
        <v>346</v>
      </c>
    </row>
    <row r="63" spans="1:18">
      <c r="A63" s="513" t="s">
        <v>656</v>
      </c>
      <c r="B63" s="3" t="s">
        <v>323</v>
      </c>
    </row>
    <row r="64" spans="1:18">
      <c r="A64" s="513" t="s">
        <v>657</v>
      </c>
      <c r="B64" s="28" t="s">
        <v>306</v>
      </c>
      <c r="D64" s="29">
        <v>6784777.0899999999</v>
      </c>
      <c r="E64" s="29">
        <v>7246904.7799999993</v>
      </c>
      <c r="F64" s="29">
        <v>7457545.1500000004</v>
      </c>
      <c r="G64" s="29">
        <v>7682090.4200000018</v>
      </c>
      <c r="H64" s="29">
        <v>7503408.6200000029</v>
      </c>
      <c r="I64" s="29">
        <v>8536211.8500000034</v>
      </c>
      <c r="J64" s="29">
        <v>9516465.7600000016</v>
      </c>
      <c r="K64" s="29">
        <v>10295700.889999999</v>
      </c>
      <c r="L64" s="29">
        <v>11246425.780000003</v>
      </c>
      <c r="M64" s="29">
        <v>15320169.810000001</v>
      </c>
      <c r="N64" s="29">
        <v>18454878.41</v>
      </c>
      <c r="O64" s="29">
        <v>27438946.180000007</v>
      </c>
      <c r="P64" s="29">
        <v>29645336.160000004</v>
      </c>
    </row>
    <row r="65" spans="1:18">
      <c r="B65" s="33"/>
      <c r="R65" s="3" t="s">
        <v>309</v>
      </c>
    </row>
    <row r="66" spans="1:18">
      <c r="A66" s="513" t="s">
        <v>658</v>
      </c>
      <c r="B66" s="3" t="s">
        <v>400</v>
      </c>
      <c r="D66" s="28">
        <v>6620714.8999999994</v>
      </c>
      <c r="E66" s="28">
        <v>7058497.2399999993</v>
      </c>
      <c r="F66" s="28">
        <v>7251495.0899999989</v>
      </c>
      <c r="G66" s="28">
        <v>7467954.959999999</v>
      </c>
      <c r="H66" s="28">
        <v>7270339.5499999989</v>
      </c>
      <c r="I66" s="28">
        <v>8264184.3699999982</v>
      </c>
      <c r="J66" s="28">
        <v>9205314.7799999975</v>
      </c>
      <c r="K66" s="28">
        <v>9941445.7399999965</v>
      </c>
      <c r="L66" s="28">
        <v>10845082.079999996</v>
      </c>
      <c r="M66" s="28">
        <v>14853355.689999996</v>
      </c>
      <c r="N66" s="28">
        <v>17909581.089999996</v>
      </c>
      <c r="O66" s="28">
        <v>26787915.449999999</v>
      </c>
      <c r="P66" s="28">
        <v>28857652.009999998</v>
      </c>
      <c r="R66" s="516">
        <f>SUM(D66:P66)/13</f>
        <v>12487194.842307691</v>
      </c>
    </row>
    <row r="67" spans="1:18">
      <c r="D67" s="28"/>
      <c r="E67" s="28"/>
      <c r="F67" s="28"/>
      <c r="G67" s="28"/>
      <c r="H67" s="28"/>
      <c r="I67" s="28"/>
      <c r="J67" s="28"/>
      <c r="K67" s="28"/>
      <c r="L67" s="28"/>
      <c r="M67" s="28"/>
      <c r="N67" s="28"/>
      <c r="O67" s="28"/>
      <c r="P67" s="28"/>
      <c r="R67" s="512" t="s">
        <v>659</v>
      </c>
    </row>
    <row r="68" spans="1:18" ht="8.25" customHeight="1">
      <c r="B68" s="32"/>
      <c r="C68" s="32"/>
      <c r="D68" s="32"/>
      <c r="E68" s="32"/>
      <c r="F68" s="32"/>
      <c r="G68" s="32"/>
      <c r="H68" s="32"/>
      <c r="I68" s="32"/>
      <c r="J68" s="32"/>
      <c r="K68" s="32"/>
      <c r="L68" s="32"/>
      <c r="M68" s="32"/>
      <c r="N68" s="32"/>
      <c r="O68" s="32"/>
      <c r="P68" s="32"/>
    </row>
  </sheetData>
  <phoneticPr fontId="13" type="noConversion"/>
  <pageMargins left="0.25" right="0.25" top="0.5" bottom="0.25" header="0.5" footer="0.5"/>
  <pageSetup paperSize="3" scale="72" orientation="landscape" r:id="rId1"/>
  <headerFooter alignWithMargins="0">
    <oddFooter>Page &amp;P of &amp;N</oddFooter>
  </headerFooter>
  <rowBreaks count="1" manualBreakCount="1">
    <brk id="33" min="1" max="17"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R83"/>
  <sheetViews>
    <sheetView showGridLines="0" topLeftCell="A16" zoomScaleNormal="75" workbookViewId="0">
      <selection activeCell="P39" sqref="P39"/>
    </sheetView>
  </sheetViews>
  <sheetFormatPr defaultColWidth="14.44140625" defaultRowHeight="12.75"/>
  <cols>
    <col min="1" max="1" width="4.77734375" style="75" customWidth="1"/>
    <col min="2" max="2" width="2.77734375" style="4" customWidth="1"/>
    <col min="3" max="3" width="29" style="4" customWidth="1"/>
    <col min="4" max="4" width="13.77734375" style="4" customWidth="1"/>
    <col min="5" max="5" width="0.88671875" style="4" customWidth="1"/>
    <col min="6" max="6" width="15.77734375" style="4" customWidth="1"/>
    <col min="7" max="7" width="0.88671875" style="4" customWidth="1"/>
    <col min="8" max="8" width="15.109375" style="4" bestFit="1" customWidth="1"/>
    <col min="9" max="9" width="0.88671875" style="4" customWidth="1"/>
    <col min="10" max="10" width="15.5546875" style="4" bestFit="1" customWidth="1"/>
    <col min="11" max="11" width="0.88671875" style="4" customWidth="1"/>
    <col min="12" max="12" width="13.5546875" style="4" hidden="1" customWidth="1"/>
    <col min="13" max="13" width="0.88671875" style="4" hidden="1" customWidth="1"/>
    <col min="14" max="14" width="12.88671875" style="4" customWidth="1"/>
    <col min="15" max="15" width="0.88671875" style="4" customWidth="1"/>
    <col min="16" max="16" width="18.33203125" style="4" bestFit="1" customWidth="1"/>
    <col min="17" max="17" width="0.6640625" style="4" customWidth="1"/>
    <col min="18" max="18" width="16.21875" style="4" bestFit="1" customWidth="1"/>
    <col min="19" max="16384" width="14.44140625" style="4"/>
  </cols>
  <sheetData>
    <row r="1" spans="1:18">
      <c r="A1" s="72" t="s">
        <v>36</v>
      </c>
      <c r="B1" s="73"/>
      <c r="C1" s="73"/>
      <c r="D1" s="73"/>
      <c r="E1" s="73"/>
      <c r="F1" s="73"/>
      <c r="G1" s="73"/>
      <c r="H1" s="73"/>
      <c r="I1" s="73"/>
      <c r="J1" s="73"/>
      <c r="K1" s="73"/>
      <c r="L1" s="73"/>
      <c r="M1" s="73"/>
      <c r="N1" s="73"/>
      <c r="O1" s="73"/>
      <c r="P1" s="73"/>
      <c r="Q1" s="73"/>
      <c r="R1" s="74" t="s">
        <v>360</v>
      </c>
    </row>
    <row r="2" spans="1:18">
      <c r="A2" s="72" t="s">
        <v>43</v>
      </c>
      <c r="B2" s="73"/>
      <c r="C2" s="73"/>
      <c r="D2" s="73"/>
      <c r="E2" s="73"/>
      <c r="F2" s="73"/>
      <c r="G2" s="73"/>
      <c r="H2" s="73"/>
      <c r="I2" s="73"/>
      <c r="J2" s="73"/>
      <c r="K2" s="73"/>
      <c r="L2" s="73"/>
      <c r="M2" s="73"/>
      <c r="N2" s="73"/>
      <c r="O2" s="73"/>
      <c r="P2" s="73"/>
      <c r="Q2" s="73"/>
      <c r="R2" s="74"/>
    </row>
    <row r="3" spans="1:18">
      <c r="A3" s="72" t="s">
        <v>361</v>
      </c>
      <c r="B3" s="73"/>
      <c r="C3" s="73"/>
      <c r="D3" s="73"/>
      <c r="E3" s="73"/>
      <c r="F3" s="73"/>
      <c r="G3" s="73"/>
      <c r="H3" s="73"/>
      <c r="I3" s="73"/>
      <c r="J3" s="73"/>
      <c r="K3" s="73"/>
      <c r="L3" s="73"/>
      <c r="M3" s="73"/>
      <c r="N3" s="73"/>
      <c r="O3" s="73"/>
      <c r="P3" s="73"/>
      <c r="Q3" s="73"/>
    </row>
    <row r="4" spans="1:18">
      <c r="A4" s="231" t="s">
        <v>283</v>
      </c>
    </row>
    <row r="5" spans="1:18">
      <c r="B5" s="76"/>
    </row>
    <row r="6" spans="1:18">
      <c r="B6" s="76"/>
    </row>
    <row r="7" spans="1:18">
      <c r="A7" s="7"/>
      <c r="B7" s="7"/>
      <c r="C7" s="7"/>
      <c r="D7" s="7"/>
      <c r="E7" s="7"/>
      <c r="F7" s="7"/>
      <c r="G7" s="7"/>
      <c r="K7" s="77"/>
      <c r="M7" s="77"/>
      <c r="O7" s="77"/>
      <c r="P7" s="77"/>
      <c r="Q7" s="77"/>
      <c r="R7" s="78"/>
    </row>
    <row r="8" spans="1:18">
      <c r="D8" s="548" t="s">
        <v>44</v>
      </c>
      <c r="E8" s="548"/>
      <c r="F8" s="548"/>
      <c r="G8" s="548"/>
      <c r="H8" s="548"/>
      <c r="I8" s="548"/>
      <c r="J8" s="548"/>
      <c r="K8" s="77"/>
      <c r="L8" s="169" t="s">
        <v>234</v>
      </c>
      <c r="M8" s="77"/>
      <c r="N8" s="547" t="s">
        <v>45</v>
      </c>
      <c r="O8" s="547"/>
      <c r="P8" s="547"/>
      <c r="Q8" s="77"/>
      <c r="R8" s="78" t="s">
        <v>151</v>
      </c>
    </row>
    <row r="9" spans="1:18">
      <c r="A9" s="75" t="s">
        <v>174</v>
      </c>
      <c r="D9" s="77" t="s">
        <v>184</v>
      </c>
      <c r="E9" s="79"/>
      <c r="F9" s="77" t="s">
        <v>184</v>
      </c>
      <c r="G9" s="79"/>
      <c r="H9" s="79" t="s">
        <v>184</v>
      </c>
      <c r="I9" s="79"/>
      <c r="J9" s="77" t="s">
        <v>184</v>
      </c>
      <c r="L9" s="77" t="s">
        <v>184</v>
      </c>
      <c r="N9" s="79" t="s">
        <v>47</v>
      </c>
      <c r="O9" s="79"/>
      <c r="P9" s="79" t="s">
        <v>49</v>
      </c>
      <c r="R9" s="78" t="s">
        <v>169</v>
      </c>
    </row>
    <row r="10" spans="1:18">
      <c r="A10" s="80" t="s">
        <v>150</v>
      </c>
      <c r="D10" s="77">
        <v>281</v>
      </c>
      <c r="E10" s="79"/>
      <c r="F10" s="78">
        <v>282</v>
      </c>
      <c r="G10" s="79"/>
      <c r="H10" s="77">
        <v>283</v>
      </c>
      <c r="J10" s="77">
        <v>190</v>
      </c>
      <c r="L10" s="77">
        <v>255</v>
      </c>
      <c r="N10" s="77" t="s">
        <v>48</v>
      </c>
      <c r="P10" s="170" t="s">
        <v>50</v>
      </c>
      <c r="Q10" s="78"/>
      <c r="R10" s="170" t="s">
        <v>46</v>
      </c>
    </row>
    <row r="11" spans="1:18">
      <c r="A11" s="81" t="s">
        <v>154</v>
      </c>
      <c r="B11" s="82" t="s">
        <v>37</v>
      </c>
      <c r="C11" s="83"/>
      <c r="D11" s="35"/>
      <c r="F11" s="35"/>
      <c r="H11" s="35"/>
      <c r="J11" s="35"/>
      <c r="L11" s="35"/>
      <c r="N11" s="35"/>
      <c r="R11" s="35"/>
    </row>
    <row r="12" spans="1:18">
      <c r="A12" s="84">
        <f t="shared" ref="A12:A75" si="0">+A11+1</f>
        <v>2</v>
      </c>
      <c r="C12" s="85" t="s">
        <v>207</v>
      </c>
      <c r="D12" s="25">
        <f t="shared" ref="D12:D24" si="1">+D37+D62</f>
        <v>-37839199</v>
      </c>
      <c r="E12" s="26"/>
      <c r="F12" s="25">
        <f t="shared" ref="F12:F24" si="2">+F37+F62</f>
        <v>-2470157110</v>
      </c>
      <c r="G12" s="26"/>
      <c r="H12" s="25">
        <f t="shared" ref="H12:Q24" si="3">+H37+H62</f>
        <v>-207545688</v>
      </c>
      <c r="I12" s="25">
        <f t="shared" si="3"/>
        <v>0</v>
      </c>
      <c r="J12" s="25">
        <f t="shared" si="3"/>
        <v>636388862</v>
      </c>
      <c r="K12" s="25">
        <f t="shared" si="3"/>
        <v>0</v>
      </c>
      <c r="L12" s="25">
        <f t="shared" ref="L12:L24" si="4">+L37+L62</f>
        <v>0</v>
      </c>
      <c r="M12" s="25"/>
      <c r="N12" s="25">
        <f t="shared" si="3"/>
        <v>0</v>
      </c>
      <c r="O12" s="25">
        <f t="shared" si="3"/>
        <v>0</v>
      </c>
      <c r="P12" s="25">
        <f t="shared" si="3"/>
        <v>-7460641.5778074656</v>
      </c>
      <c r="Q12" s="25">
        <f t="shared" si="3"/>
        <v>0</v>
      </c>
      <c r="R12" s="25">
        <f>SUM(D12:Q12)</f>
        <v>-2086613776.5778074</v>
      </c>
    </row>
    <row r="13" spans="1:18">
      <c r="A13" s="84">
        <f t="shared" si="0"/>
        <v>3</v>
      </c>
      <c r="C13" s="85" t="s">
        <v>362</v>
      </c>
      <c r="D13" s="26">
        <f t="shared" si="1"/>
        <v>0</v>
      </c>
      <c r="E13" s="26"/>
      <c r="F13" s="26">
        <f t="shared" si="2"/>
        <v>0</v>
      </c>
      <c r="G13" s="26"/>
      <c r="H13" s="26">
        <f t="shared" si="3"/>
        <v>0</v>
      </c>
      <c r="I13" s="26">
        <f t="shared" si="3"/>
        <v>0</v>
      </c>
      <c r="J13" s="26">
        <f t="shared" si="3"/>
        <v>0</v>
      </c>
      <c r="K13" s="26">
        <f t="shared" si="3"/>
        <v>0</v>
      </c>
      <c r="L13" s="26">
        <f t="shared" si="4"/>
        <v>0</v>
      </c>
      <c r="M13" s="26"/>
      <c r="N13" s="26">
        <f t="shared" si="3"/>
        <v>0</v>
      </c>
      <c r="O13" s="26">
        <f t="shared" si="3"/>
        <v>0</v>
      </c>
      <c r="P13" s="38">
        <f t="shared" si="3"/>
        <v>-7442661.8048903104</v>
      </c>
      <c r="Q13" s="26">
        <f t="shared" si="3"/>
        <v>0</v>
      </c>
      <c r="R13" s="38">
        <f t="shared" ref="R13:R24" si="5">SUM(D13:Q13)</f>
        <v>-7442661.8048903104</v>
      </c>
    </row>
    <row r="14" spans="1:18">
      <c r="A14" s="84">
        <f t="shared" si="0"/>
        <v>4</v>
      </c>
      <c r="C14" s="85" t="s">
        <v>175</v>
      </c>
      <c r="D14" s="26">
        <f t="shared" si="1"/>
        <v>0</v>
      </c>
      <c r="E14" s="26"/>
      <c r="F14" s="26">
        <f t="shared" si="2"/>
        <v>0</v>
      </c>
      <c r="G14" s="26"/>
      <c r="H14" s="26">
        <f t="shared" si="3"/>
        <v>0</v>
      </c>
      <c r="I14" s="26">
        <f t="shared" si="3"/>
        <v>0</v>
      </c>
      <c r="J14" s="26">
        <f t="shared" si="3"/>
        <v>0</v>
      </c>
      <c r="K14" s="26">
        <f t="shared" si="3"/>
        <v>0</v>
      </c>
      <c r="L14" s="26">
        <f t="shared" si="4"/>
        <v>0</v>
      </c>
      <c r="M14" s="26"/>
      <c r="N14" s="26">
        <f t="shared" si="3"/>
        <v>0</v>
      </c>
      <c r="O14" s="26">
        <f t="shared" si="3"/>
        <v>0</v>
      </c>
      <c r="P14" s="38">
        <f t="shared" si="3"/>
        <v>-7424570.0319731608</v>
      </c>
      <c r="Q14" s="26">
        <f t="shared" si="3"/>
        <v>0</v>
      </c>
      <c r="R14" s="38">
        <f t="shared" si="5"/>
        <v>-7424570.0319731608</v>
      </c>
    </row>
    <row r="15" spans="1:18">
      <c r="A15" s="84">
        <f t="shared" si="0"/>
        <v>5</v>
      </c>
      <c r="C15" s="85" t="s">
        <v>176</v>
      </c>
      <c r="D15" s="26">
        <f t="shared" si="1"/>
        <v>0</v>
      </c>
      <c r="E15" s="26"/>
      <c r="F15" s="26">
        <f t="shared" si="2"/>
        <v>0</v>
      </c>
      <c r="G15" s="26"/>
      <c r="H15" s="26">
        <f t="shared" si="3"/>
        <v>0</v>
      </c>
      <c r="I15" s="26">
        <f t="shared" si="3"/>
        <v>0</v>
      </c>
      <c r="J15" s="26">
        <f t="shared" si="3"/>
        <v>0</v>
      </c>
      <c r="K15" s="26">
        <f t="shared" si="3"/>
        <v>0</v>
      </c>
      <c r="L15" s="26">
        <f t="shared" si="4"/>
        <v>0</v>
      </c>
      <c r="M15" s="26"/>
      <c r="N15" s="26">
        <f t="shared" si="3"/>
        <v>0</v>
      </c>
      <c r="O15" s="26">
        <f t="shared" si="3"/>
        <v>0</v>
      </c>
      <c r="P15" s="38">
        <f t="shared" si="3"/>
        <v>-7424021.1690559611</v>
      </c>
      <c r="Q15" s="26">
        <f t="shared" si="3"/>
        <v>0</v>
      </c>
      <c r="R15" s="38">
        <f t="shared" si="5"/>
        <v>-7424021.1690559611</v>
      </c>
    </row>
    <row r="16" spans="1:18">
      <c r="A16" s="84">
        <f t="shared" si="0"/>
        <v>6</v>
      </c>
      <c r="C16" s="85" t="s">
        <v>177</v>
      </c>
      <c r="D16" s="26">
        <f t="shared" si="1"/>
        <v>0</v>
      </c>
      <c r="E16" s="26"/>
      <c r="F16" s="26">
        <f t="shared" si="2"/>
        <v>0</v>
      </c>
      <c r="G16" s="26"/>
      <c r="H16" s="26">
        <f t="shared" si="3"/>
        <v>0</v>
      </c>
      <c r="I16" s="26">
        <f t="shared" si="3"/>
        <v>0</v>
      </c>
      <c r="J16" s="26">
        <f t="shared" si="3"/>
        <v>0</v>
      </c>
      <c r="K16" s="26">
        <f t="shared" si="3"/>
        <v>0</v>
      </c>
      <c r="L16" s="26">
        <f t="shared" si="4"/>
        <v>0</v>
      </c>
      <c r="M16" s="26"/>
      <c r="N16" s="26">
        <f t="shared" si="3"/>
        <v>0</v>
      </c>
      <c r="O16" s="26">
        <f t="shared" si="3"/>
        <v>0</v>
      </c>
      <c r="P16" s="38">
        <f t="shared" si="3"/>
        <v>-7990056.8461388499</v>
      </c>
      <c r="Q16" s="26">
        <f t="shared" si="3"/>
        <v>0</v>
      </c>
      <c r="R16" s="38">
        <f t="shared" si="5"/>
        <v>-7990056.8461388499</v>
      </c>
    </row>
    <row r="17" spans="1:18">
      <c r="A17" s="84">
        <f t="shared" si="0"/>
        <v>7</v>
      </c>
      <c r="C17" s="85" t="s">
        <v>149</v>
      </c>
      <c r="D17" s="26">
        <f t="shared" si="1"/>
        <v>0</v>
      </c>
      <c r="E17" s="26"/>
      <c r="F17" s="26">
        <f t="shared" si="2"/>
        <v>0</v>
      </c>
      <c r="G17" s="26"/>
      <c r="H17" s="26">
        <f t="shared" si="3"/>
        <v>0</v>
      </c>
      <c r="I17" s="26">
        <f t="shared" si="3"/>
        <v>0</v>
      </c>
      <c r="J17" s="26">
        <f t="shared" si="3"/>
        <v>0</v>
      </c>
      <c r="K17" s="26">
        <f t="shared" si="3"/>
        <v>0</v>
      </c>
      <c r="L17" s="26">
        <f t="shared" si="4"/>
        <v>0</v>
      </c>
      <c r="M17" s="26"/>
      <c r="N17" s="26">
        <f t="shared" si="3"/>
        <v>0</v>
      </c>
      <c r="O17" s="26">
        <f t="shared" si="3"/>
        <v>0</v>
      </c>
      <c r="P17" s="38">
        <f t="shared" si="3"/>
        <v>-7971965.0732216164</v>
      </c>
      <c r="Q17" s="26">
        <f t="shared" si="3"/>
        <v>0</v>
      </c>
      <c r="R17" s="38">
        <f t="shared" si="5"/>
        <v>-7971965.0732216164</v>
      </c>
    </row>
    <row r="18" spans="1:18">
      <c r="A18" s="84">
        <f t="shared" si="0"/>
        <v>8</v>
      </c>
      <c r="C18" s="85" t="s">
        <v>178</v>
      </c>
      <c r="D18" s="26">
        <f t="shared" si="1"/>
        <v>0</v>
      </c>
      <c r="E18" s="26"/>
      <c r="F18" s="26">
        <f t="shared" si="2"/>
        <v>0</v>
      </c>
      <c r="G18" s="26"/>
      <c r="H18" s="26">
        <f t="shared" si="3"/>
        <v>0</v>
      </c>
      <c r="I18" s="26">
        <f t="shared" si="3"/>
        <v>0</v>
      </c>
      <c r="J18" s="26">
        <f t="shared" si="3"/>
        <v>0</v>
      </c>
      <c r="K18" s="26">
        <f t="shared" si="3"/>
        <v>0</v>
      </c>
      <c r="L18" s="26">
        <f t="shared" si="4"/>
        <v>0</v>
      </c>
      <c r="M18" s="26"/>
      <c r="N18" s="26">
        <f t="shared" si="3"/>
        <v>0</v>
      </c>
      <c r="O18" s="26">
        <f t="shared" si="3"/>
        <v>0</v>
      </c>
      <c r="P18" s="38">
        <f t="shared" si="3"/>
        <v>-7953873.3003044575</v>
      </c>
      <c r="Q18" s="26">
        <f t="shared" si="3"/>
        <v>0</v>
      </c>
      <c r="R18" s="38">
        <f t="shared" si="5"/>
        <v>-7953873.3003044575</v>
      </c>
    </row>
    <row r="19" spans="1:18">
      <c r="A19" s="84">
        <f t="shared" si="0"/>
        <v>9</v>
      </c>
      <c r="C19" s="85" t="s">
        <v>179</v>
      </c>
      <c r="D19" s="26">
        <f t="shared" si="1"/>
        <v>0</v>
      </c>
      <c r="E19" s="26"/>
      <c r="F19" s="26">
        <f t="shared" si="2"/>
        <v>0</v>
      </c>
      <c r="G19" s="26"/>
      <c r="H19" s="26">
        <f t="shared" si="3"/>
        <v>0</v>
      </c>
      <c r="I19" s="26">
        <f t="shared" si="3"/>
        <v>0</v>
      </c>
      <c r="J19" s="26">
        <f t="shared" si="3"/>
        <v>0</v>
      </c>
      <c r="K19" s="26">
        <f t="shared" si="3"/>
        <v>0</v>
      </c>
      <c r="L19" s="26">
        <f t="shared" si="4"/>
        <v>0</v>
      </c>
      <c r="M19" s="26"/>
      <c r="N19" s="26">
        <f t="shared" si="3"/>
        <v>0</v>
      </c>
      <c r="O19" s="26">
        <f t="shared" si="3"/>
        <v>0</v>
      </c>
      <c r="P19" s="38">
        <f t="shared" si="3"/>
        <v>-7935781.5273873545</v>
      </c>
      <c r="Q19" s="26">
        <f t="shared" si="3"/>
        <v>0</v>
      </c>
      <c r="R19" s="38">
        <f t="shared" si="5"/>
        <v>-7935781.5273873545</v>
      </c>
    </row>
    <row r="20" spans="1:18">
      <c r="A20" s="84">
        <f t="shared" si="0"/>
        <v>10</v>
      </c>
      <c r="C20" s="85" t="s">
        <v>180</v>
      </c>
      <c r="D20" s="26">
        <f t="shared" si="1"/>
        <v>0</v>
      </c>
      <c r="E20" s="26"/>
      <c r="F20" s="26">
        <f t="shared" si="2"/>
        <v>0</v>
      </c>
      <c r="G20" s="26"/>
      <c r="H20" s="26">
        <f t="shared" si="3"/>
        <v>0</v>
      </c>
      <c r="I20" s="26">
        <f t="shared" si="3"/>
        <v>0</v>
      </c>
      <c r="J20" s="26">
        <f t="shared" si="3"/>
        <v>0</v>
      </c>
      <c r="K20" s="26">
        <f t="shared" si="3"/>
        <v>0</v>
      </c>
      <c r="L20" s="26">
        <f t="shared" si="4"/>
        <v>0</v>
      </c>
      <c r="M20" s="26"/>
      <c r="N20" s="26">
        <f t="shared" si="3"/>
        <v>0</v>
      </c>
      <c r="O20" s="26">
        <f t="shared" si="3"/>
        <v>0</v>
      </c>
      <c r="P20" s="38">
        <f t="shared" si="3"/>
        <v>-7917689.7544702105</v>
      </c>
      <c r="Q20" s="26">
        <f t="shared" si="3"/>
        <v>0</v>
      </c>
      <c r="R20" s="38">
        <f t="shared" si="5"/>
        <v>-7917689.7544702105</v>
      </c>
    </row>
    <row r="21" spans="1:18">
      <c r="A21" s="84">
        <f t="shared" si="0"/>
        <v>11</v>
      </c>
      <c r="C21" s="85" t="s">
        <v>181</v>
      </c>
      <c r="D21" s="26">
        <f t="shared" si="1"/>
        <v>0</v>
      </c>
      <c r="E21" s="26"/>
      <c r="F21" s="26">
        <f t="shared" si="2"/>
        <v>0</v>
      </c>
      <c r="G21" s="26"/>
      <c r="H21" s="26">
        <f t="shared" si="3"/>
        <v>0</v>
      </c>
      <c r="I21" s="26">
        <f t="shared" si="3"/>
        <v>0</v>
      </c>
      <c r="J21" s="26">
        <f t="shared" si="3"/>
        <v>0</v>
      </c>
      <c r="K21" s="26">
        <f t="shared" si="3"/>
        <v>0</v>
      </c>
      <c r="L21" s="26">
        <f t="shared" si="4"/>
        <v>0</v>
      </c>
      <c r="M21" s="26"/>
      <c r="N21" s="26">
        <f t="shared" si="3"/>
        <v>0</v>
      </c>
      <c r="O21" s="26">
        <f t="shared" si="3"/>
        <v>0</v>
      </c>
      <c r="P21" s="38">
        <f t="shared" si="3"/>
        <v>-7899597.9815530069</v>
      </c>
      <c r="Q21" s="26">
        <f t="shared" si="3"/>
        <v>0</v>
      </c>
      <c r="R21" s="38">
        <f t="shared" si="5"/>
        <v>-7899597.9815530069</v>
      </c>
    </row>
    <row r="22" spans="1:18">
      <c r="A22" s="84">
        <f t="shared" si="0"/>
        <v>12</v>
      </c>
      <c r="C22" s="85" t="s">
        <v>182</v>
      </c>
      <c r="D22" s="26">
        <f t="shared" si="1"/>
        <v>0</v>
      </c>
      <c r="E22" s="26"/>
      <c r="F22" s="26">
        <f t="shared" si="2"/>
        <v>0</v>
      </c>
      <c r="G22" s="26"/>
      <c r="H22" s="26">
        <f t="shared" si="3"/>
        <v>0</v>
      </c>
      <c r="I22" s="26">
        <f t="shared" si="3"/>
        <v>0</v>
      </c>
      <c r="J22" s="26">
        <f t="shared" si="3"/>
        <v>0</v>
      </c>
      <c r="K22" s="26">
        <f t="shared" si="3"/>
        <v>0</v>
      </c>
      <c r="L22" s="26">
        <f t="shared" si="4"/>
        <v>0</v>
      </c>
      <c r="M22" s="26"/>
      <c r="N22" s="26">
        <f t="shared" si="3"/>
        <v>0</v>
      </c>
      <c r="O22" s="26">
        <f t="shared" si="3"/>
        <v>0</v>
      </c>
      <c r="P22" s="38">
        <f t="shared" si="3"/>
        <v>-7881506.2086358666</v>
      </c>
      <c r="Q22" s="26">
        <f t="shared" si="3"/>
        <v>0</v>
      </c>
      <c r="R22" s="38">
        <f t="shared" si="5"/>
        <v>-7881506.2086358666</v>
      </c>
    </row>
    <row r="23" spans="1:18">
      <c r="A23" s="84">
        <f t="shared" si="0"/>
        <v>13</v>
      </c>
      <c r="C23" s="85" t="s">
        <v>183</v>
      </c>
      <c r="D23" s="26">
        <f t="shared" si="1"/>
        <v>0</v>
      </c>
      <c r="E23" s="26"/>
      <c r="F23" s="26">
        <f t="shared" si="2"/>
        <v>0</v>
      </c>
      <c r="G23" s="26"/>
      <c r="H23" s="26">
        <f t="shared" si="3"/>
        <v>0</v>
      </c>
      <c r="I23" s="26">
        <f t="shared" si="3"/>
        <v>0</v>
      </c>
      <c r="J23" s="26">
        <f t="shared" si="3"/>
        <v>0</v>
      </c>
      <c r="K23" s="26">
        <f t="shared" si="3"/>
        <v>0</v>
      </c>
      <c r="L23" s="26">
        <f t="shared" si="4"/>
        <v>0</v>
      </c>
      <c r="M23" s="26"/>
      <c r="N23" s="26">
        <f t="shared" si="3"/>
        <v>0</v>
      </c>
      <c r="O23" s="26">
        <f t="shared" si="3"/>
        <v>0</v>
      </c>
      <c r="P23" s="38">
        <f t="shared" si="3"/>
        <v>-7869839.9857186899</v>
      </c>
      <c r="Q23" s="26">
        <f t="shared" si="3"/>
        <v>0</v>
      </c>
      <c r="R23" s="38">
        <f t="shared" si="5"/>
        <v>-7869839.9857186899</v>
      </c>
    </row>
    <row r="24" spans="1:18">
      <c r="A24" s="84">
        <f t="shared" si="0"/>
        <v>14</v>
      </c>
      <c r="C24" s="85" t="s">
        <v>363</v>
      </c>
      <c r="D24" s="25">
        <f t="shared" si="1"/>
        <v>-38291111</v>
      </c>
      <c r="E24" s="26"/>
      <c r="F24" s="25">
        <f t="shared" si="2"/>
        <v>-2787170482</v>
      </c>
      <c r="G24" s="26"/>
      <c r="H24" s="25">
        <f t="shared" si="3"/>
        <v>-209998731</v>
      </c>
      <c r="I24" s="25">
        <f t="shared" si="3"/>
        <v>0</v>
      </c>
      <c r="J24" s="25">
        <f t="shared" si="3"/>
        <v>729347074</v>
      </c>
      <c r="K24" s="26">
        <f t="shared" si="3"/>
        <v>0</v>
      </c>
      <c r="L24" s="25">
        <f t="shared" si="4"/>
        <v>0</v>
      </c>
      <c r="M24" s="26"/>
      <c r="N24" s="26">
        <f t="shared" si="3"/>
        <v>0</v>
      </c>
      <c r="O24" s="26">
        <f t="shared" si="3"/>
        <v>0</v>
      </c>
      <c r="P24" s="38">
        <f t="shared" si="3"/>
        <v>-7864020.3128014877</v>
      </c>
      <c r="Q24" s="26">
        <f t="shared" si="3"/>
        <v>0</v>
      </c>
      <c r="R24" s="25">
        <f t="shared" si="5"/>
        <v>-2313977270.3128014</v>
      </c>
    </row>
    <row r="25" spans="1:18">
      <c r="A25" s="84">
        <f t="shared" si="0"/>
        <v>15</v>
      </c>
      <c r="C25" s="85"/>
      <c r="D25" s="34"/>
      <c r="E25" s="18"/>
      <c r="F25" s="34"/>
      <c r="H25" s="34"/>
      <c r="J25" s="34"/>
      <c r="K25" s="18"/>
      <c r="L25" s="34"/>
      <c r="M25" s="18"/>
      <c r="N25" s="34"/>
      <c r="O25" s="18"/>
      <c r="P25" s="171"/>
      <c r="Q25" s="107"/>
      <c r="R25" s="34"/>
    </row>
    <row r="26" spans="1:18">
      <c r="A26" s="84">
        <f t="shared" si="0"/>
        <v>16</v>
      </c>
      <c r="C26" s="86" t="s">
        <v>213</v>
      </c>
      <c r="D26" s="40">
        <f>SUM(D12:D24)/2</f>
        <v>-38065155</v>
      </c>
      <c r="E26" s="165"/>
      <c r="F26" s="40">
        <f>SUM(F12:F24)/2</f>
        <v>-2628663796</v>
      </c>
      <c r="G26" s="26"/>
      <c r="H26" s="40">
        <f>SUM(H12:H24)/2</f>
        <v>-208772209.5</v>
      </c>
      <c r="I26" s="172"/>
      <c r="J26" s="40">
        <f>SUM(J12:J24)/2</f>
        <v>682867968</v>
      </c>
      <c r="K26" s="173"/>
      <c r="L26" s="40">
        <f>SUM(L12:L24)/2</f>
        <v>0</v>
      </c>
      <c r="M26" s="173"/>
      <c r="N26" s="40">
        <f>SUM(N12:N24)/2</f>
        <v>0</v>
      </c>
      <c r="O26" s="167"/>
      <c r="P26" s="40">
        <f>SUM(P12:P24)/13</f>
        <v>-7772017.3518429557</v>
      </c>
      <c r="Q26" s="110"/>
      <c r="R26" s="40">
        <f>SUM(D26:P26)</f>
        <v>-2200405209.8518429</v>
      </c>
    </row>
    <row r="27" spans="1:18">
      <c r="A27" s="84">
        <f t="shared" si="0"/>
        <v>17</v>
      </c>
      <c r="C27" s="86" t="s">
        <v>55</v>
      </c>
      <c r="D27" s="26">
        <f t="shared" ref="D27:F28" si="6">+D52+D77</f>
        <v>0</v>
      </c>
      <c r="E27" s="165"/>
      <c r="F27" s="26">
        <v>0</v>
      </c>
      <c r="G27" s="26"/>
      <c r="H27" s="26">
        <f>+H52+H77</f>
        <v>0</v>
      </c>
      <c r="I27" s="172"/>
      <c r="J27" s="26">
        <f>+J52+J77</f>
        <v>31383148.5</v>
      </c>
      <c r="K27" s="173"/>
      <c r="L27" s="26">
        <v>0</v>
      </c>
      <c r="M27" s="173"/>
      <c r="N27" s="26">
        <f>+N52+N77</f>
        <v>0</v>
      </c>
      <c r="O27" s="167"/>
      <c r="P27" s="26">
        <f>+P52+P77</f>
        <v>0</v>
      </c>
      <c r="Q27" s="110"/>
      <c r="R27" s="26">
        <f>+R52+R77</f>
        <v>31383148.5</v>
      </c>
    </row>
    <row r="28" spans="1:18">
      <c r="A28" s="84">
        <f t="shared" si="0"/>
        <v>18</v>
      </c>
      <c r="C28" s="86" t="s">
        <v>56</v>
      </c>
      <c r="D28" s="41">
        <f t="shared" si="6"/>
        <v>0</v>
      </c>
      <c r="E28" s="165"/>
      <c r="F28" s="42">
        <f t="shared" si="6"/>
        <v>-174771400</v>
      </c>
      <c r="G28" s="26"/>
      <c r="H28" s="42">
        <f>+H53+H78</f>
        <v>-2959765</v>
      </c>
      <c r="I28" s="172"/>
      <c r="J28" s="41">
        <f>+J53+J78</f>
        <v>32073080</v>
      </c>
      <c r="K28" s="173"/>
      <c r="L28" s="41">
        <v>0</v>
      </c>
      <c r="M28" s="173"/>
      <c r="N28" s="41">
        <f>+N53+N78</f>
        <v>0</v>
      </c>
      <c r="O28" s="167"/>
      <c r="P28" s="41">
        <f>+P53+P78</f>
        <v>0</v>
      </c>
      <c r="Q28" s="110"/>
      <c r="R28" s="42">
        <f>+R53+R78</f>
        <v>-145658085</v>
      </c>
    </row>
    <row r="29" spans="1:18">
      <c r="A29" s="84">
        <f t="shared" si="0"/>
        <v>19</v>
      </c>
      <c r="C29" s="86"/>
      <c r="D29" s="40"/>
      <c r="E29" s="165"/>
      <c r="F29" s="40"/>
      <c r="G29" s="26"/>
      <c r="H29" s="40"/>
      <c r="I29" s="172"/>
      <c r="J29" s="40"/>
      <c r="K29" s="173"/>
      <c r="L29" s="40"/>
      <c r="M29" s="173"/>
      <c r="N29" s="40"/>
      <c r="O29" s="167"/>
      <c r="P29" s="40"/>
      <c r="Q29" s="110"/>
      <c r="R29" s="40"/>
    </row>
    <row r="30" spans="1:18" ht="13.5" thickBot="1">
      <c r="A30" s="84">
        <f t="shared" si="0"/>
        <v>20</v>
      </c>
      <c r="C30" s="86" t="s">
        <v>214</v>
      </c>
      <c r="D30" s="36">
        <f>+D26-D27-D28</f>
        <v>-38065155</v>
      </c>
      <c r="E30" s="165"/>
      <c r="F30" s="36">
        <f>+F26-F27-F28</f>
        <v>-2453892396</v>
      </c>
      <c r="G30" s="26"/>
      <c r="H30" s="36">
        <f>+H26-H27-H28</f>
        <v>-205812444.5</v>
      </c>
      <c r="I30" s="172"/>
      <c r="J30" s="36">
        <f>+J26-J27-J28</f>
        <v>619411739.5</v>
      </c>
      <c r="K30" s="173"/>
      <c r="L30" s="36">
        <f>+L26-L27-L28</f>
        <v>0</v>
      </c>
      <c r="M30" s="173"/>
      <c r="N30" s="36">
        <f>+N26-N27-N28</f>
        <v>0</v>
      </c>
      <c r="O30" s="167"/>
      <c r="P30" s="36">
        <f>+P26-P27-P28</f>
        <v>-7772017.3518429557</v>
      </c>
      <c r="Q30" s="110"/>
      <c r="R30" s="36">
        <f>+R26-R27-R28</f>
        <v>-2086130273.3518429</v>
      </c>
    </row>
    <row r="31" spans="1:18" ht="13.5" thickTop="1">
      <c r="A31" s="84">
        <f t="shared" si="0"/>
        <v>21</v>
      </c>
      <c r="D31" s="18"/>
      <c r="E31" s="18"/>
      <c r="F31" s="18"/>
      <c r="H31" s="18"/>
      <c r="J31" s="18"/>
      <c r="K31" s="18"/>
      <c r="L31" s="18"/>
      <c r="M31" s="18"/>
      <c r="N31" s="18"/>
      <c r="O31" s="18"/>
      <c r="P31" s="18"/>
      <c r="Q31" s="18"/>
      <c r="R31" s="18"/>
    </row>
    <row r="32" spans="1:18">
      <c r="A32" s="84">
        <f t="shared" si="0"/>
        <v>22</v>
      </c>
      <c r="D32" s="7"/>
      <c r="E32" s="7"/>
      <c r="F32" s="7"/>
      <c r="G32" s="7"/>
      <c r="K32" s="77"/>
      <c r="M32" s="77"/>
      <c r="O32" s="77"/>
      <c r="P32" s="77"/>
      <c r="Q32" s="77"/>
      <c r="R32" s="78"/>
    </row>
    <row r="33" spans="1:18">
      <c r="A33" s="84">
        <f t="shared" si="0"/>
        <v>23</v>
      </c>
      <c r="D33" s="548" t="s">
        <v>44</v>
      </c>
      <c r="E33" s="548"/>
      <c r="F33" s="548"/>
      <c r="G33" s="548"/>
      <c r="H33" s="548"/>
      <c r="I33" s="548"/>
      <c r="J33" s="548"/>
      <c r="K33" s="77"/>
      <c r="L33" s="169" t="s">
        <v>234</v>
      </c>
      <c r="M33" s="77"/>
      <c r="N33" s="547" t="s">
        <v>45</v>
      </c>
      <c r="O33" s="547"/>
      <c r="P33" s="547"/>
      <c r="Q33" s="77"/>
      <c r="R33" s="78" t="s">
        <v>151</v>
      </c>
    </row>
    <row r="34" spans="1:18" ht="13.5" customHeight="1">
      <c r="A34" s="84">
        <f t="shared" si="0"/>
        <v>24</v>
      </c>
      <c r="D34" s="77" t="s">
        <v>184</v>
      </c>
      <c r="E34" s="79"/>
      <c r="F34" s="77" t="s">
        <v>184</v>
      </c>
      <c r="G34" s="79"/>
      <c r="H34" s="79" t="s">
        <v>184</v>
      </c>
      <c r="I34" s="79"/>
      <c r="J34" s="77" t="s">
        <v>184</v>
      </c>
      <c r="L34" s="77" t="s">
        <v>184</v>
      </c>
      <c r="N34" s="79" t="s">
        <v>47</v>
      </c>
      <c r="O34" s="79"/>
      <c r="P34" s="79" t="s">
        <v>49</v>
      </c>
      <c r="R34" s="78" t="s">
        <v>169</v>
      </c>
    </row>
    <row r="35" spans="1:18">
      <c r="A35" s="84">
        <f t="shared" si="0"/>
        <v>25</v>
      </c>
      <c r="C35" s="7"/>
      <c r="D35" s="77">
        <v>281</v>
      </c>
      <c r="E35" s="79"/>
      <c r="F35" s="78">
        <v>282</v>
      </c>
      <c r="G35" s="79"/>
      <c r="H35" s="77">
        <v>283</v>
      </c>
      <c r="J35" s="77">
        <v>190</v>
      </c>
      <c r="L35" s="77">
        <v>255</v>
      </c>
      <c r="N35" s="77" t="s">
        <v>48</v>
      </c>
      <c r="P35" s="170" t="s">
        <v>256</v>
      </c>
      <c r="Q35" s="78"/>
      <c r="R35" s="170" t="s">
        <v>46</v>
      </c>
    </row>
    <row r="36" spans="1:18">
      <c r="A36" s="84">
        <f t="shared" si="0"/>
        <v>26</v>
      </c>
      <c r="B36" s="82" t="s">
        <v>39</v>
      </c>
      <c r="C36" s="83"/>
      <c r="D36" s="35"/>
      <c r="F36" s="35"/>
      <c r="H36" s="35"/>
      <c r="J36" s="35"/>
      <c r="L36" s="35"/>
      <c r="N36" s="35"/>
      <c r="R36" s="35"/>
    </row>
    <row r="37" spans="1:18">
      <c r="A37" s="84">
        <f t="shared" si="0"/>
        <v>27</v>
      </c>
      <c r="C37" s="85" t="s">
        <v>207</v>
      </c>
      <c r="D37" s="25">
        <v>-37047572</v>
      </c>
      <c r="E37" s="26"/>
      <c r="F37" s="25">
        <v>-2200048449</v>
      </c>
      <c r="G37" s="26"/>
      <c r="H37" s="25">
        <v>-171537370</v>
      </c>
      <c r="I37" s="26"/>
      <c r="J37" s="25">
        <v>572433387</v>
      </c>
      <c r="K37" s="26"/>
      <c r="L37" s="25">
        <f>-36069010+36069010</f>
        <v>0</v>
      </c>
      <c r="M37" s="26"/>
      <c r="N37" s="25">
        <v>0</v>
      </c>
      <c r="O37" s="18"/>
      <c r="P37" s="507">
        <f>-'WP PreFunded ADUDC'!H5</f>
        <v>-7460641.5778074656</v>
      </c>
      <c r="Q37" s="25"/>
      <c r="R37" s="25">
        <f>SUM(D37:Q37)</f>
        <v>-1843660645.5778074</v>
      </c>
    </row>
    <row r="38" spans="1:18">
      <c r="A38" s="84">
        <f t="shared" si="0"/>
        <v>28</v>
      </c>
      <c r="C38" s="85" t="s">
        <v>362</v>
      </c>
      <c r="D38" s="26"/>
      <c r="E38" s="26"/>
      <c r="F38" s="26"/>
      <c r="G38" s="26"/>
      <c r="H38" s="26"/>
      <c r="I38" s="26"/>
      <c r="J38" s="26"/>
      <c r="K38" s="26"/>
      <c r="L38" s="26"/>
      <c r="M38" s="26"/>
      <c r="N38" s="26"/>
      <c r="O38" s="18"/>
      <c r="P38" s="507">
        <f>-'WP PreFunded ADUDC'!H6</f>
        <v>-7442661.8048903104</v>
      </c>
      <c r="Q38" s="107"/>
      <c r="R38" s="25">
        <f t="shared" ref="R38:R49" si="7">SUM(D38:Q38)</f>
        <v>-7442661.8048903104</v>
      </c>
    </row>
    <row r="39" spans="1:18">
      <c r="A39" s="84">
        <f t="shared" si="0"/>
        <v>29</v>
      </c>
      <c r="C39" s="85" t="s">
        <v>175</v>
      </c>
      <c r="D39" s="26"/>
      <c r="E39" s="26"/>
      <c r="F39" s="26"/>
      <c r="G39" s="26"/>
      <c r="H39" s="26"/>
      <c r="I39" s="26"/>
      <c r="J39" s="26"/>
      <c r="K39" s="26"/>
      <c r="L39" s="26"/>
      <c r="M39" s="26"/>
      <c r="N39" s="26"/>
      <c r="O39" s="18"/>
      <c r="P39" s="507">
        <f>-'WP PreFunded ADUDC'!H7</f>
        <v>-7424570.0319731608</v>
      </c>
      <c r="Q39" s="107"/>
      <c r="R39" s="25">
        <f t="shared" si="7"/>
        <v>-7424570.0319731608</v>
      </c>
    </row>
    <row r="40" spans="1:18">
      <c r="A40" s="84">
        <f t="shared" si="0"/>
        <v>30</v>
      </c>
      <c r="C40" s="85" t="s">
        <v>176</v>
      </c>
      <c r="D40" s="26"/>
      <c r="E40" s="26"/>
      <c r="F40" s="26"/>
      <c r="G40" s="26"/>
      <c r="H40" s="26"/>
      <c r="I40" s="26"/>
      <c r="J40" s="26"/>
      <c r="K40" s="26"/>
      <c r="L40" s="26"/>
      <c r="M40" s="26"/>
      <c r="N40" s="26"/>
      <c r="O40" s="18"/>
      <c r="P40" s="507">
        <f>-'WP PreFunded ADUDC'!H8</f>
        <v>-7424021.1690559611</v>
      </c>
      <c r="Q40" s="107"/>
      <c r="R40" s="25">
        <f t="shared" si="7"/>
        <v>-7424021.1690559611</v>
      </c>
    </row>
    <row r="41" spans="1:18">
      <c r="A41" s="84">
        <f t="shared" si="0"/>
        <v>31</v>
      </c>
      <c r="C41" s="85" t="s">
        <v>177</v>
      </c>
      <c r="D41" s="26"/>
      <c r="E41" s="26"/>
      <c r="F41" s="26"/>
      <c r="G41" s="26"/>
      <c r="H41" s="26"/>
      <c r="I41" s="26"/>
      <c r="J41" s="26"/>
      <c r="K41" s="26"/>
      <c r="L41" s="26"/>
      <c r="M41" s="26"/>
      <c r="N41" s="26"/>
      <c r="O41" s="18"/>
      <c r="P41" s="507">
        <f>-'WP PreFunded ADUDC'!H9</f>
        <v>-7990056.8461388499</v>
      </c>
      <c r="Q41" s="107"/>
      <c r="R41" s="25">
        <f t="shared" si="7"/>
        <v>-7990056.8461388499</v>
      </c>
    </row>
    <row r="42" spans="1:18">
      <c r="A42" s="84">
        <f t="shared" si="0"/>
        <v>32</v>
      </c>
      <c r="C42" s="85" t="s">
        <v>149</v>
      </c>
      <c r="D42" s="26"/>
      <c r="E42" s="26"/>
      <c r="F42" s="26"/>
      <c r="G42" s="26"/>
      <c r="H42" s="26"/>
      <c r="I42" s="26"/>
      <c r="J42" s="26"/>
      <c r="K42" s="26"/>
      <c r="L42" s="26"/>
      <c r="M42" s="26"/>
      <c r="N42" s="26"/>
      <c r="O42" s="18"/>
      <c r="P42" s="507">
        <f>-'WP PreFunded ADUDC'!H10</f>
        <v>-7971965.0732216164</v>
      </c>
      <c r="Q42" s="107"/>
      <c r="R42" s="25">
        <f t="shared" si="7"/>
        <v>-7971965.0732216164</v>
      </c>
    </row>
    <row r="43" spans="1:18">
      <c r="A43" s="84">
        <f t="shared" si="0"/>
        <v>33</v>
      </c>
      <c r="C43" s="85" t="s">
        <v>178</v>
      </c>
      <c r="D43" s="26"/>
      <c r="E43" s="26"/>
      <c r="F43" s="26"/>
      <c r="G43" s="26"/>
      <c r="H43" s="26"/>
      <c r="I43" s="26"/>
      <c r="J43" s="26"/>
      <c r="K43" s="26"/>
      <c r="L43" s="26"/>
      <c r="M43" s="26"/>
      <c r="N43" s="26"/>
      <c r="O43" s="18"/>
      <c r="P43" s="507">
        <f>-'WP PreFunded ADUDC'!H11</f>
        <v>-7953873.3003044575</v>
      </c>
      <c r="Q43" s="107"/>
      <c r="R43" s="25">
        <f t="shared" si="7"/>
        <v>-7953873.3003044575</v>
      </c>
    </row>
    <row r="44" spans="1:18">
      <c r="A44" s="84">
        <f t="shared" si="0"/>
        <v>34</v>
      </c>
      <c r="C44" s="85" t="s">
        <v>179</v>
      </c>
      <c r="D44" s="26"/>
      <c r="E44" s="26"/>
      <c r="F44" s="26"/>
      <c r="G44" s="26"/>
      <c r="H44" s="26"/>
      <c r="I44" s="26"/>
      <c r="J44" s="26"/>
      <c r="K44" s="26"/>
      <c r="L44" s="26"/>
      <c r="M44" s="26"/>
      <c r="N44" s="26"/>
      <c r="O44" s="18"/>
      <c r="P44" s="507">
        <f>-'WP PreFunded ADUDC'!H12</f>
        <v>-7935781.5273873545</v>
      </c>
      <c r="Q44" s="107"/>
      <c r="R44" s="25">
        <f t="shared" si="7"/>
        <v>-7935781.5273873545</v>
      </c>
    </row>
    <row r="45" spans="1:18">
      <c r="A45" s="84">
        <f t="shared" si="0"/>
        <v>35</v>
      </c>
      <c r="C45" s="85" t="s">
        <v>180</v>
      </c>
      <c r="D45" s="26"/>
      <c r="E45" s="26"/>
      <c r="F45" s="26"/>
      <c r="G45" s="26"/>
      <c r="H45" s="26"/>
      <c r="I45" s="26"/>
      <c r="J45" s="26"/>
      <c r="K45" s="26"/>
      <c r="L45" s="26"/>
      <c r="M45" s="26"/>
      <c r="N45" s="26"/>
      <c r="O45" s="18"/>
      <c r="P45" s="507">
        <f>-'WP PreFunded ADUDC'!H13</f>
        <v>-7917689.7544702105</v>
      </c>
      <c r="Q45" s="107"/>
      <c r="R45" s="25">
        <f t="shared" si="7"/>
        <v>-7917689.7544702105</v>
      </c>
    </row>
    <row r="46" spans="1:18">
      <c r="A46" s="84">
        <f t="shared" si="0"/>
        <v>36</v>
      </c>
      <c r="C46" s="85" t="s">
        <v>181</v>
      </c>
      <c r="D46" s="26"/>
      <c r="E46" s="26"/>
      <c r="F46" s="26"/>
      <c r="G46" s="26"/>
      <c r="H46" s="26"/>
      <c r="I46" s="26"/>
      <c r="J46" s="26"/>
      <c r="K46" s="26"/>
      <c r="L46" s="26"/>
      <c r="M46" s="26"/>
      <c r="N46" s="26"/>
      <c r="O46" s="18"/>
      <c r="P46" s="507">
        <f>-'WP PreFunded ADUDC'!H14</f>
        <v>-7899597.9815530069</v>
      </c>
      <c r="Q46" s="107"/>
      <c r="R46" s="25">
        <f t="shared" si="7"/>
        <v>-7899597.9815530069</v>
      </c>
    </row>
    <row r="47" spans="1:18">
      <c r="A47" s="84">
        <f t="shared" si="0"/>
        <v>37</v>
      </c>
      <c r="C47" s="85" t="s">
        <v>182</v>
      </c>
      <c r="D47" s="26"/>
      <c r="E47" s="26"/>
      <c r="F47" s="26"/>
      <c r="G47" s="26"/>
      <c r="H47" s="26"/>
      <c r="I47" s="26"/>
      <c r="J47" s="26"/>
      <c r="K47" s="26"/>
      <c r="L47" s="26"/>
      <c r="M47" s="26"/>
      <c r="N47" s="26"/>
      <c r="O47" s="18"/>
      <c r="P47" s="507">
        <f>-'WP PreFunded ADUDC'!H15</f>
        <v>-7881506.2086358666</v>
      </c>
      <c r="Q47" s="107"/>
      <c r="R47" s="25">
        <f t="shared" si="7"/>
        <v>-7881506.2086358666</v>
      </c>
    </row>
    <row r="48" spans="1:18">
      <c r="A48" s="84">
        <f t="shared" si="0"/>
        <v>38</v>
      </c>
      <c r="C48" s="85" t="s">
        <v>183</v>
      </c>
      <c r="D48" s="26"/>
      <c r="E48" s="26"/>
      <c r="F48" s="26"/>
      <c r="G48" s="26"/>
      <c r="H48" s="26"/>
      <c r="I48" s="26"/>
      <c r="J48" s="26"/>
      <c r="K48" s="26"/>
      <c r="L48" s="26"/>
      <c r="M48" s="26"/>
      <c r="N48" s="26"/>
      <c r="O48" s="18"/>
      <c r="P48" s="507">
        <f>-'WP PreFunded ADUDC'!H16</f>
        <v>-7869839.9857186899</v>
      </c>
      <c r="Q48" s="107"/>
      <c r="R48" s="25">
        <f t="shared" si="7"/>
        <v>-7869839.9857186899</v>
      </c>
    </row>
    <row r="49" spans="1:18">
      <c r="A49" s="84">
        <f t="shared" si="0"/>
        <v>39</v>
      </c>
      <c r="C49" s="85" t="s">
        <v>363</v>
      </c>
      <c r="D49" s="25">
        <v>-37477632</v>
      </c>
      <c r="E49" s="26"/>
      <c r="F49" s="25">
        <v>-2494783194</v>
      </c>
      <c r="G49" s="26"/>
      <c r="H49" s="25">
        <v>-176455657</v>
      </c>
      <c r="I49" s="26"/>
      <c r="J49" s="25">
        <v>667764258</v>
      </c>
      <c r="K49" s="26"/>
      <c r="L49" s="25">
        <f>-36069010+36069010</f>
        <v>0</v>
      </c>
      <c r="M49" s="26"/>
      <c r="N49" s="25">
        <v>0</v>
      </c>
      <c r="O49" s="18"/>
      <c r="P49" s="507">
        <f>-'WP PreFunded ADUDC'!H17</f>
        <v>-7864020.3128014877</v>
      </c>
      <c r="Q49" s="107"/>
      <c r="R49" s="25">
        <f t="shared" si="7"/>
        <v>-2048816245.3128016</v>
      </c>
    </row>
    <row r="50" spans="1:18">
      <c r="A50" s="84">
        <f t="shared" si="0"/>
        <v>40</v>
      </c>
      <c r="C50" s="85"/>
      <c r="D50" s="34"/>
      <c r="E50" s="18"/>
      <c r="F50" s="34"/>
      <c r="H50" s="34"/>
      <c r="J50" s="34"/>
      <c r="K50" s="18"/>
      <c r="L50" s="34"/>
      <c r="M50" s="18"/>
      <c r="N50" s="34"/>
      <c r="O50" s="18"/>
      <c r="P50" s="171"/>
      <c r="Q50" s="107"/>
      <c r="R50" s="34"/>
    </row>
    <row r="51" spans="1:18">
      <c r="A51" s="84">
        <f t="shared" si="0"/>
        <v>41</v>
      </c>
      <c r="C51" s="86" t="s">
        <v>213</v>
      </c>
      <c r="D51" s="40">
        <f>SUM(D37:D49)/2</f>
        <v>-37262602</v>
      </c>
      <c r="E51" s="165"/>
      <c r="F51" s="40">
        <f>SUM(F37:F49)/2</f>
        <v>-2347415821.5</v>
      </c>
      <c r="G51" s="26"/>
      <c r="H51" s="40">
        <f>SUM(H37:H49)/2</f>
        <v>-173996513.5</v>
      </c>
      <c r="I51" s="172"/>
      <c r="J51" s="40">
        <f>SUM(J37:J49)/2</f>
        <v>620098822.5</v>
      </c>
      <c r="K51" s="173"/>
      <c r="L51" s="40">
        <f>SUM(L37:L49)/2</f>
        <v>0</v>
      </c>
      <c r="M51" s="173"/>
      <c r="N51" s="40">
        <f>SUM(N37:N49)/2</f>
        <v>0</v>
      </c>
      <c r="O51" s="167"/>
      <c r="P51" s="40">
        <f>SUM(P37:P49)/13</f>
        <v>-7772017.3518429557</v>
      </c>
      <c r="Q51" s="110"/>
      <c r="R51" s="40">
        <f>SUM(D51:P51)</f>
        <v>-1946348131.8518429</v>
      </c>
    </row>
    <row r="52" spans="1:18">
      <c r="A52" s="84">
        <f t="shared" si="0"/>
        <v>42</v>
      </c>
      <c r="C52" s="86" t="s">
        <v>55</v>
      </c>
      <c r="D52" s="26">
        <v>0</v>
      </c>
      <c r="E52" s="165"/>
      <c r="F52" s="26">
        <v>0</v>
      </c>
      <c r="G52" s="26"/>
      <c r="H52" s="26">
        <v>0</v>
      </c>
      <c r="I52" s="172"/>
      <c r="J52" s="26">
        <f>(28450909+28425642)/2</f>
        <v>28438275.5</v>
      </c>
      <c r="K52" s="173"/>
      <c r="L52" s="38">
        <v>0</v>
      </c>
      <c r="M52" s="173"/>
      <c r="N52" s="26">
        <v>0</v>
      </c>
      <c r="O52" s="167"/>
      <c r="P52" s="26">
        <v>0</v>
      </c>
      <c r="Q52" s="110"/>
      <c r="R52" s="26">
        <f>SUM(D52:P52)</f>
        <v>28438275.5</v>
      </c>
    </row>
    <row r="53" spans="1:18">
      <c r="A53" s="84">
        <f t="shared" si="0"/>
        <v>43</v>
      </c>
      <c r="C53" s="86" t="s">
        <v>56</v>
      </c>
      <c r="D53" s="41">
        <v>0</v>
      </c>
      <c r="E53" s="18"/>
      <c r="F53" s="42">
        <f>(-177541585+24993223-192270956+25479328)/2</f>
        <v>-159669995</v>
      </c>
      <c r="G53" s="67"/>
      <c r="H53" s="42">
        <f>(-2964298-2955232)/2</f>
        <v>-2959765</v>
      </c>
      <c r="I53" s="73"/>
      <c r="J53" s="41">
        <f>(280078+20941911-242243+20242042)/2</f>
        <v>20610894</v>
      </c>
      <c r="K53" s="174"/>
      <c r="L53" s="41">
        <v>0</v>
      </c>
      <c r="M53" s="174"/>
      <c r="N53" s="41">
        <v>0</v>
      </c>
      <c r="O53" s="25"/>
      <c r="P53" s="41">
        <v>0</v>
      </c>
      <c r="Q53" s="110"/>
      <c r="R53" s="42">
        <f>SUM(D53:P53)</f>
        <v>-142018866</v>
      </c>
    </row>
    <row r="54" spans="1:18">
      <c r="A54" s="84">
        <f t="shared" si="0"/>
        <v>44</v>
      </c>
      <c r="C54" s="86"/>
      <c r="D54" s="40"/>
      <c r="E54" s="18"/>
      <c r="F54" s="40"/>
      <c r="H54" s="40"/>
      <c r="I54" s="73"/>
      <c r="J54" s="40"/>
      <c r="K54" s="174"/>
      <c r="L54" s="40"/>
      <c r="M54" s="174"/>
      <c r="N54" s="40"/>
      <c r="O54" s="25"/>
      <c r="P54" s="40"/>
      <c r="Q54" s="110"/>
      <c r="R54" s="40"/>
    </row>
    <row r="55" spans="1:18" ht="13.5" thickBot="1">
      <c r="A55" s="84">
        <f t="shared" si="0"/>
        <v>45</v>
      </c>
      <c r="C55" s="86" t="s">
        <v>214</v>
      </c>
      <c r="D55" s="36">
        <f>+D51-D52-D53</f>
        <v>-37262602</v>
      </c>
      <c r="E55" s="25"/>
      <c r="F55" s="36">
        <f>+F51-F52-F53</f>
        <v>-2187745826.5</v>
      </c>
      <c r="G55" s="175"/>
      <c r="H55" s="36">
        <f>+H51-H52-H53</f>
        <v>-171036748.5</v>
      </c>
      <c r="I55" s="176"/>
      <c r="J55" s="36">
        <f>+J51-J52-J53</f>
        <v>571049653</v>
      </c>
      <c r="K55" s="177"/>
      <c r="L55" s="36">
        <f>+L51-L52-L53</f>
        <v>0</v>
      </c>
      <c r="M55" s="177"/>
      <c r="N55" s="36">
        <f>+N51-N52-N53</f>
        <v>0</v>
      </c>
      <c r="O55" s="25"/>
      <c r="P55" s="36">
        <f>+P51-P52-P53</f>
        <v>-7772017.3518429557</v>
      </c>
      <c r="Q55" s="178"/>
      <c r="R55" s="36">
        <f>+R51-R52-R53</f>
        <v>-1832767541.3518429</v>
      </c>
    </row>
    <row r="56" spans="1:18" ht="13.5" thickTop="1">
      <c r="A56" s="84">
        <f t="shared" si="0"/>
        <v>46</v>
      </c>
      <c r="C56" s="179"/>
      <c r="D56" s="40"/>
      <c r="E56" s="18"/>
      <c r="F56" s="40"/>
      <c r="H56" s="40"/>
      <c r="I56" s="73"/>
      <c r="J56" s="43"/>
      <c r="K56" s="174"/>
      <c r="L56" s="40"/>
      <c r="M56" s="174"/>
      <c r="N56" s="40"/>
      <c r="O56" s="25"/>
      <c r="P56" s="40"/>
      <c r="Q56" s="110"/>
      <c r="R56" s="43"/>
    </row>
    <row r="57" spans="1:18">
      <c r="A57" s="84">
        <f t="shared" si="0"/>
        <v>47</v>
      </c>
      <c r="C57" s="44"/>
      <c r="D57" s="7"/>
      <c r="E57" s="7"/>
      <c r="F57" s="7"/>
      <c r="G57" s="7"/>
      <c r="H57" s="7"/>
      <c r="I57" s="7"/>
      <c r="J57" s="7"/>
      <c r="K57" s="7"/>
      <c r="L57" s="7"/>
      <c r="M57" s="7"/>
      <c r="N57" s="7"/>
      <c r="O57" s="7"/>
      <c r="P57" s="7"/>
      <c r="Q57" s="7"/>
      <c r="R57" s="7"/>
    </row>
    <row r="58" spans="1:18">
      <c r="A58" s="84">
        <f t="shared" si="0"/>
        <v>48</v>
      </c>
      <c r="C58" s="7"/>
      <c r="D58" s="548" t="s">
        <v>44</v>
      </c>
      <c r="E58" s="548"/>
      <c r="F58" s="548"/>
      <c r="G58" s="548"/>
      <c r="H58" s="548"/>
      <c r="I58" s="548"/>
      <c r="J58" s="548"/>
      <c r="K58" s="77"/>
      <c r="L58" s="169" t="s">
        <v>234</v>
      </c>
      <c r="M58" s="77"/>
      <c r="N58" s="547" t="s">
        <v>45</v>
      </c>
      <c r="O58" s="547"/>
      <c r="P58" s="547"/>
      <c r="Q58" s="77"/>
      <c r="R58" s="78" t="s">
        <v>151</v>
      </c>
    </row>
    <row r="59" spans="1:18">
      <c r="A59" s="84">
        <f t="shared" si="0"/>
        <v>49</v>
      </c>
      <c r="C59" s="7"/>
      <c r="D59" s="77" t="s">
        <v>184</v>
      </c>
      <c r="E59" s="79"/>
      <c r="F59" s="77" t="s">
        <v>184</v>
      </c>
      <c r="G59" s="79"/>
      <c r="H59" s="79" t="s">
        <v>184</v>
      </c>
      <c r="I59" s="79"/>
      <c r="J59" s="77" t="s">
        <v>184</v>
      </c>
      <c r="L59" s="77" t="s">
        <v>184</v>
      </c>
      <c r="N59" s="79" t="s">
        <v>47</v>
      </c>
      <c r="O59" s="79"/>
      <c r="P59" s="79" t="s">
        <v>49</v>
      </c>
      <c r="R59" s="78" t="s">
        <v>169</v>
      </c>
    </row>
    <row r="60" spans="1:18">
      <c r="A60" s="84">
        <f t="shared" si="0"/>
        <v>50</v>
      </c>
      <c r="C60" s="7"/>
      <c r="D60" s="77">
        <v>281</v>
      </c>
      <c r="E60" s="79"/>
      <c r="F60" s="78">
        <v>282</v>
      </c>
      <c r="G60" s="79"/>
      <c r="H60" s="77">
        <v>283</v>
      </c>
      <c r="J60" s="77">
        <v>190</v>
      </c>
      <c r="L60" s="77">
        <v>255</v>
      </c>
      <c r="N60" s="77" t="s">
        <v>48</v>
      </c>
      <c r="P60" s="170" t="s">
        <v>256</v>
      </c>
      <c r="Q60" s="78"/>
      <c r="R60" s="170" t="s">
        <v>46</v>
      </c>
    </row>
    <row r="61" spans="1:18">
      <c r="A61" s="84">
        <f t="shared" si="0"/>
        <v>51</v>
      </c>
      <c r="B61" s="82" t="s">
        <v>40</v>
      </c>
      <c r="C61" s="83"/>
      <c r="D61" s="35"/>
      <c r="F61" s="35"/>
      <c r="H61" s="35"/>
      <c r="J61" s="35"/>
      <c r="L61" s="35"/>
      <c r="N61" s="35"/>
      <c r="R61" s="35"/>
    </row>
    <row r="62" spans="1:18">
      <c r="A62" s="84">
        <f t="shared" si="0"/>
        <v>52</v>
      </c>
      <c r="C62" s="85" t="s">
        <v>207</v>
      </c>
      <c r="D62" s="25">
        <v>-791627</v>
      </c>
      <c r="E62" s="212"/>
      <c r="F62" s="25">
        <v>-270108661</v>
      </c>
      <c r="G62" s="212"/>
      <c r="H62" s="25">
        <v>-36008318</v>
      </c>
      <c r="I62" s="212"/>
      <c r="J62" s="25">
        <v>63955475</v>
      </c>
      <c r="K62" s="26"/>
      <c r="L62" s="25">
        <f>-10007033+10007033</f>
        <v>0</v>
      </c>
      <c r="M62" s="26"/>
      <c r="N62" s="25">
        <v>0</v>
      </c>
      <c r="O62" s="18"/>
      <c r="P62" s="25">
        <v>0</v>
      </c>
      <c r="Q62" s="25"/>
      <c r="R62" s="25">
        <f>SUM(D62:Q62)</f>
        <v>-242953131</v>
      </c>
    </row>
    <row r="63" spans="1:18">
      <c r="A63" s="84">
        <f t="shared" si="0"/>
        <v>53</v>
      </c>
      <c r="C63" s="85" t="s">
        <v>362</v>
      </c>
      <c r="D63" s="26"/>
      <c r="E63" s="26"/>
      <c r="F63" s="26"/>
      <c r="G63" s="26"/>
      <c r="H63" s="26"/>
      <c r="I63" s="26"/>
      <c r="J63" s="26"/>
      <c r="K63" s="26"/>
      <c r="L63" s="26"/>
      <c r="M63" s="26"/>
      <c r="N63" s="26"/>
      <c r="O63" s="18"/>
      <c r="P63" s="26">
        <v>0</v>
      </c>
      <c r="Q63" s="107"/>
      <c r="R63" s="25">
        <f t="shared" ref="R63:R74" si="8">SUM(D63:Q63)</f>
        <v>0</v>
      </c>
    </row>
    <row r="64" spans="1:18">
      <c r="A64" s="84">
        <f t="shared" si="0"/>
        <v>54</v>
      </c>
      <c r="C64" s="85" t="s">
        <v>175</v>
      </c>
      <c r="D64" s="26"/>
      <c r="E64" s="26"/>
      <c r="F64" s="26"/>
      <c r="G64" s="26"/>
      <c r="H64" s="26"/>
      <c r="I64" s="26"/>
      <c r="J64" s="26"/>
      <c r="K64" s="26"/>
      <c r="L64" s="26"/>
      <c r="M64" s="26"/>
      <c r="N64" s="26"/>
      <c r="O64" s="18"/>
      <c r="P64" s="26">
        <v>0</v>
      </c>
      <c r="Q64" s="107"/>
      <c r="R64" s="25">
        <f t="shared" si="8"/>
        <v>0</v>
      </c>
    </row>
    <row r="65" spans="1:18">
      <c r="A65" s="84">
        <f t="shared" si="0"/>
        <v>55</v>
      </c>
      <c r="C65" s="85" t="s">
        <v>176</v>
      </c>
      <c r="D65" s="26"/>
      <c r="E65" s="26"/>
      <c r="F65" s="26"/>
      <c r="G65" s="26"/>
      <c r="H65" s="26"/>
      <c r="I65" s="26"/>
      <c r="J65" s="26"/>
      <c r="K65" s="26"/>
      <c r="L65" s="26"/>
      <c r="M65" s="26"/>
      <c r="N65" s="26"/>
      <c r="O65" s="18"/>
      <c r="P65" s="26">
        <v>0</v>
      </c>
      <c r="Q65" s="107"/>
      <c r="R65" s="25">
        <f t="shared" si="8"/>
        <v>0</v>
      </c>
    </row>
    <row r="66" spans="1:18">
      <c r="A66" s="84">
        <f t="shared" si="0"/>
        <v>56</v>
      </c>
      <c r="C66" s="85" t="s">
        <v>177</v>
      </c>
      <c r="D66" s="26"/>
      <c r="E66" s="26"/>
      <c r="F66" s="26"/>
      <c r="G66" s="26"/>
      <c r="H66" s="26"/>
      <c r="I66" s="26"/>
      <c r="J66" s="26"/>
      <c r="K66" s="26"/>
      <c r="L66" s="26"/>
      <c r="M66" s="26"/>
      <c r="N66" s="26"/>
      <c r="O66" s="18"/>
      <c r="P66" s="26">
        <v>0</v>
      </c>
      <c r="Q66" s="107"/>
      <c r="R66" s="25">
        <f t="shared" si="8"/>
        <v>0</v>
      </c>
    </row>
    <row r="67" spans="1:18">
      <c r="A67" s="84">
        <f t="shared" si="0"/>
        <v>57</v>
      </c>
      <c r="C67" s="85" t="s">
        <v>149</v>
      </c>
      <c r="D67" s="26"/>
      <c r="E67" s="26"/>
      <c r="F67" s="26"/>
      <c r="G67" s="26"/>
      <c r="H67" s="26"/>
      <c r="I67" s="26"/>
      <c r="J67" s="26"/>
      <c r="K67" s="26"/>
      <c r="L67" s="26"/>
      <c r="M67" s="26"/>
      <c r="N67" s="26"/>
      <c r="O67" s="18"/>
      <c r="P67" s="26">
        <v>0</v>
      </c>
      <c r="Q67" s="107"/>
      <c r="R67" s="25">
        <f t="shared" si="8"/>
        <v>0</v>
      </c>
    </row>
    <row r="68" spans="1:18">
      <c r="A68" s="84">
        <f t="shared" si="0"/>
        <v>58</v>
      </c>
      <c r="C68" s="85" t="s">
        <v>178</v>
      </c>
      <c r="D68" s="26"/>
      <c r="E68" s="26"/>
      <c r="F68" s="26"/>
      <c r="G68" s="26"/>
      <c r="H68" s="26"/>
      <c r="I68" s="26"/>
      <c r="J68" s="26"/>
      <c r="K68" s="26"/>
      <c r="L68" s="26"/>
      <c r="M68" s="26"/>
      <c r="N68" s="26"/>
      <c r="O68" s="18"/>
      <c r="P68" s="26">
        <v>0</v>
      </c>
      <c r="Q68" s="107"/>
      <c r="R68" s="25">
        <f t="shared" si="8"/>
        <v>0</v>
      </c>
    </row>
    <row r="69" spans="1:18">
      <c r="A69" s="84">
        <f t="shared" si="0"/>
        <v>59</v>
      </c>
      <c r="C69" s="85" t="s">
        <v>179</v>
      </c>
      <c r="D69" s="26"/>
      <c r="E69" s="26"/>
      <c r="F69" s="26"/>
      <c r="G69" s="26"/>
      <c r="H69" s="26"/>
      <c r="I69" s="26"/>
      <c r="J69" s="26"/>
      <c r="K69" s="26"/>
      <c r="L69" s="26"/>
      <c r="M69" s="26"/>
      <c r="N69" s="26"/>
      <c r="O69" s="18"/>
      <c r="P69" s="26">
        <v>0</v>
      </c>
      <c r="Q69" s="107"/>
      <c r="R69" s="25">
        <f t="shared" si="8"/>
        <v>0</v>
      </c>
    </row>
    <row r="70" spans="1:18">
      <c r="A70" s="84">
        <f t="shared" si="0"/>
        <v>60</v>
      </c>
      <c r="C70" s="85" t="s">
        <v>180</v>
      </c>
      <c r="D70" s="26"/>
      <c r="E70" s="26"/>
      <c r="F70" s="26"/>
      <c r="G70" s="26"/>
      <c r="H70" s="26"/>
      <c r="I70" s="26"/>
      <c r="J70" s="26"/>
      <c r="K70" s="26"/>
      <c r="L70" s="26"/>
      <c r="M70" s="26"/>
      <c r="N70" s="26"/>
      <c r="O70" s="18"/>
      <c r="P70" s="26">
        <v>0</v>
      </c>
      <c r="Q70" s="107"/>
      <c r="R70" s="25">
        <f t="shared" si="8"/>
        <v>0</v>
      </c>
    </row>
    <row r="71" spans="1:18">
      <c r="A71" s="84">
        <f t="shared" si="0"/>
        <v>61</v>
      </c>
      <c r="C71" s="85" t="s">
        <v>181</v>
      </c>
      <c r="D71" s="26"/>
      <c r="E71" s="26"/>
      <c r="F71" s="26"/>
      <c r="G71" s="26"/>
      <c r="H71" s="26"/>
      <c r="I71" s="26"/>
      <c r="J71" s="26"/>
      <c r="K71" s="26"/>
      <c r="L71" s="26"/>
      <c r="M71" s="26"/>
      <c r="N71" s="26"/>
      <c r="O71" s="18"/>
      <c r="P71" s="26">
        <v>0</v>
      </c>
      <c r="Q71" s="107"/>
      <c r="R71" s="25">
        <f t="shared" si="8"/>
        <v>0</v>
      </c>
    </row>
    <row r="72" spans="1:18">
      <c r="A72" s="84">
        <f t="shared" si="0"/>
        <v>62</v>
      </c>
      <c r="C72" s="85" t="s">
        <v>182</v>
      </c>
      <c r="D72" s="26"/>
      <c r="E72" s="26"/>
      <c r="F72" s="26"/>
      <c r="G72" s="26"/>
      <c r="H72" s="26"/>
      <c r="I72" s="26"/>
      <c r="J72" s="26"/>
      <c r="K72" s="26"/>
      <c r="L72" s="26"/>
      <c r="M72" s="26"/>
      <c r="N72" s="26"/>
      <c r="O72" s="18"/>
      <c r="P72" s="26">
        <v>0</v>
      </c>
      <c r="Q72" s="107"/>
      <c r="R72" s="25">
        <f t="shared" si="8"/>
        <v>0</v>
      </c>
    </row>
    <row r="73" spans="1:18">
      <c r="A73" s="84">
        <f t="shared" si="0"/>
        <v>63</v>
      </c>
      <c r="C73" s="85" t="s">
        <v>183</v>
      </c>
      <c r="D73" s="26"/>
      <c r="E73" s="26"/>
      <c r="F73" s="26"/>
      <c r="G73" s="26"/>
      <c r="H73" s="26"/>
      <c r="I73" s="26"/>
      <c r="J73" s="26"/>
      <c r="K73" s="26"/>
      <c r="L73" s="26"/>
      <c r="M73" s="26"/>
      <c r="N73" s="26"/>
      <c r="O73" s="18"/>
      <c r="P73" s="26">
        <v>0</v>
      </c>
      <c r="Q73" s="107"/>
      <c r="R73" s="25">
        <f t="shared" si="8"/>
        <v>0</v>
      </c>
    </row>
    <row r="74" spans="1:18">
      <c r="A74" s="84">
        <f t="shared" si="0"/>
        <v>64</v>
      </c>
      <c r="C74" s="85" t="s">
        <v>363</v>
      </c>
      <c r="D74" s="25">
        <v>-813479</v>
      </c>
      <c r="E74" s="212"/>
      <c r="F74" s="25">
        <v>-292387288</v>
      </c>
      <c r="G74" s="212"/>
      <c r="H74" s="25">
        <v>-33543074</v>
      </c>
      <c r="I74" s="212"/>
      <c r="J74" s="25">
        <v>61582816</v>
      </c>
      <c r="K74" s="26"/>
      <c r="L74" s="25">
        <f>-10007033+10007033</f>
        <v>0</v>
      </c>
      <c r="M74" s="26"/>
      <c r="N74" s="25">
        <v>0</v>
      </c>
      <c r="O74" s="18"/>
      <c r="P74" s="25">
        <v>0</v>
      </c>
      <c r="Q74" s="107"/>
      <c r="R74" s="45">
        <f t="shared" si="8"/>
        <v>-265161025</v>
      </c>
    </row>
    <row r="75" spans="1:18">
      <c r="A75" s="84">
        <f t="shared" si="0"/>
        <v>65</v>
      </c>
      <c r="C75" s="85"/>
      <c r="D75" s="34"/>
      <c r="E75" s="18"/>
      <c r="F75" s="34"/>
      <c r="H75" s="34"/>
      <c r="J75" s="34"/>
      <c r="K75" s="18"/>
      <c r="L75" s="34"/>
      <c r="M75" s="18"/>
      <c r="N75" s="34"/>
      <c r="O75" s="18"/>
      <c r="P75" s="171"/>
      <c r="Q75" s="107"/>
      <c r="R75" s="34"/>
    </row>
    <row r="76" spans="1:18">
      <c r="A76" s="84">
        <f>+A75+1</f>
        <v>66</v>
      </c>
      <c r="C76" s="86" t="s">
        <v>213</v>
      </c>
      <c r="D76" s="40">
        <f>SUM(D62:D74)/2</f>
        <v>-802553</v>
      </c>
      <c r="E76" s="18"/>
      <c r="F76" s="40">
        <f>SUM(F62:F74)/2</f>
        <v>-281247974.5</v>
      </c>
      <c r="H76" s="40">
        <f>SUM(H62:H74)/2</f>
        <v>-34775696</v>
      </c>
      <c r="I76" s="73"/>
      <c r="J76" s="40">
        <f>SUM(J62:J74)/2</f>
        <v>62769145.5</v>
      </c>
      <c r="K76" s="174"/>
      <c r="L76" s="40">
        <f>SUM(L62:L74)/2</f>
        <v>0</v>
      </c>
      <c r="M76" s="174"/>
      <c r="N76" s="40">
        <f>SUM(N62:N74)/2</f>
        <v>0</v>
      </c>
      <c r="O76" s="25"/>
      <c r="P76" s="40">
        <f>SUM(P62:P74)/13</f>
        <v>0</v>
      </c>
      <c r="Q76" s="110"/>
      <c r="R76" s="40">
        <f>SUM(R62:R74)/2</f>
        <v>-254057078</v>
      </c>
    </row>
    <row r="77" spans="1:18">
      <c r="A77" s="84">
        <f>+A76+1</f>
        <v>67</v>
      </c>
      <c r="C77" s="86" t="s">
        <v>55</v>
      </c>
      <c r="D77" s="26">
        <v>0</v>
      </c>
      <c r="E77" s="165"/>
      <c r="F77" s="26">
        <v>0</v>
      </c>
      <c r="G77" s="26"/>
      <c r="H77" s="26">
        <v>0</v>
      </c>
      <c r="I77" s="172"/>
      <c r="J77" s="26">
        <f>(2818309+3071437)/2</f>
        <v>2944873</v>
      </c>
      <c r="K77" s="173"/>
      <c r="L77" s="26">
        <v>0</v>
      </c>
      <c r="M77" s="173"/>
      <c r="N77" s="26">
        <v>0</v>
      </c>
      <c r="O77" s="167"/>
      <c r="P77" s="26">
        <v>0</v>
      </c>
      <c r="Q77" s="110"/>
      <c r="R77" s="26">
        <f>SUM(D77:P77)</f>
        <v>2944873</v>
      </c>
    </row>
    <row r="78" spans="1:18">
      <c r="A78" s="84">
        <f>+A77+1</f>
        <v>68</v>
      </c>
      <c r="C78" s="86" t="s">
        <v>56</v>
      </c>
      <c r="D78" s="41">
        <v>0</v>
      </c>
      <c r="E78" s="18"/>
      <c r="F78" s="42">
        <f>-(4196081+9856951+4052362+12097416)/2</f>
        <v>-15101405</v>
      </c>
      <c r="H78" s="41">
        <v>0</v>
      </c>
      <c r="I78" s="73"/>
      <c r="J78" s="42">
        <f>((1736721+1748485)/2+(9903496+9535670)/2)</f>
        <v>11462186</v>
      </c>
      <c r="K78" s="174"/>
      <c r="L78" s="41">
        <v>0</v>
      </c>
      <c r="M78" s="174"/>
      <c r="N78" s="41">
        <v>0</v>
      </c>
      <c r="O78" s="25"/>
      <c r="P78" s="41">
        <v>0</v>
      </c>
      <c r="Q78" s="110"/>
      <c r="R78" s="42">
        <f>SUM(D78:P78)</f>
        <v>-3639219</v>
      </c>
    </row>
    <row r="79" spans="1:18">
      <c r="A79" s="84">
        <f>+A78+1</f>
        <v>69</v>
      </c>
      <c r="C79" s="86"/>
      <c r="D79" s="40"/>
      <c r="E79" s="18"/>
      <c r="F79" s="40"/>
      <c r="H79" s="40"/>
      <c r="I79" s="73"/>
      <c r="J79" s="40"/>
      <c r="K79" s="174"/>
      <c r="L79" s="40"/>
      <c r="M79" s="174"/>
      <c r="N79" s="40"/>
      <c r="O79" s="25"/>
      <c r="P79" s="40"/>
      <c r="Q79" s="110"/>
      <c r="R79" s="40"/>
    </row>
    <row r="80" spans="1:18" ht="13.5" thickBot="1">
      <c r="A80" s="84">
        <f>+A79+1</f>
        <v>70</v>
      </c>
      <c r="C80" s="86" t="s">
        <v>214</v>
      </c>
      <c r="D80" s="36">
        <f>+D76-D77-D78</f>
        <v>-802553</v>
      </c>
      <c r="E80" s="18"/>
      <c r="F80" s="36">
        <f>+F76-F77-F78</f>
        <v>-266146569.5</v>
      </c>
      <c r="H80" s="36">
        <f>+H76-H77-H78</f>
        <v>-34775696</v>
      </c>
      <c r="I80" s="73"/>
      <c r="J80" s="36">
        <f>+J76-J77-J78</f>
        <v>48362086.5</v>
      </c>
      <c r="K80" s="174"/>
      <c r="L80" s="36">
        <f>+L76-L77-L78</f>
        <v>0</v>
      </c>
      <c r="M80" s="174"/>
      <c r="N80" s="36">
        <f>+N76-N77-N78</f>
        <v>0</v>
      </c>
      <c r="O80" s="25"/>
      <c r="P80" s="36">
        <f>+P76-P77-P78</f>
        <v>0</v>
      </c>
      <c r="Q80" s="110"/>
      <c r="R80" s="36">
        <f>+R76-R77-R78</f>
        <v>-253362732</v>
      </c>
    </row>
    <row r="81" spans="3:3" ht="13.5" thickTop="1"/>
    <row r="83" spans="3:3">
      <c r="C83" s="4" t="s">
        <v>257</v>
      </c>
    </row>
  </sheetData>
  <mergeCells count="6">
    <mergeCell ref="N8:P8"/>
    <mergeCell ref="D33:J33"/>
    <mergeCell ref="N33:P33"/>
    <mergeCell ref="D58:J58"/>
    <mergeCell ref="N58:P58"/>
    <mergeCell ref="D8:J8"/>
  </mergeCells>
  <phoneticPr fontId="10" type="noConversion"/>
  <printOptions horizontalCentered="1"/>
  <pageMargins left="0.75" right="0.25" top="0.75" bottom="0.4" header="0" footer="0.25"/>
  <pageSetup scale="53" orientation="portrait" r:id="rId1"/>
  <headerFooter alignWithMargins="0">
    <oddFooter>Page &amp;P of &amp;N</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election activeCell="L34" sqref="L34"/>
    </sheetView>
  </sheetViews>
  <sheetFormatPr defaultRowHeight="12.75"/>
  <cols>
    <col min="1" max="1" width="4" style="1" customWidth="1"/>
    <col min="2" max="2" width="10.88671875" style="1" bestFit="1" customWidth="1"/>
    <col min="3" max="3" width="3.77734375" style="1" customWidth="1"/>
    <col min="4" max="4" width="10.77734375" style="1" bestFit="1" customWidth="1"/>
    <col min="5" max="5" width="3.77734375" style="1" customWidth="1"/>
    <col min="6" max="6" width="12.33203125" style="1" bestFit="1" customWidth="1"/>
    <col min="7" max="7" width="3.77734375" style="1" customWidth="1"/>
    <col min="8" max="8" width="10.44140625" style="1" customWidth="1"/>
    <col min="9" max="16384" width="8.88671875" style="1"/>
  </cols>
  <sheetData>
    <row r="1" spans="1:9">
      <c r="A1" s="72" t="s">
        <v>36</v>
      </c>
      <c r="I1" s="74" t="s">
        <v>360</v>
      </c>
    </row>
    <row r="2" spans="1:9">
      <c r="A2" s="72" t="s">
        <v>604</v>
      </c>
    </row>
    <row r="3" spans="1:9">
      <c r="A3" s="231" t="s">
        <v>283</v>
      </c>
    </row>
    <row r="4" spans="1:9" s="476" customFormat="1" ht="38.25">
      <c r="A4" s="514" t="s">
        <v>174</v>
      </c>
      <c r="D4" s="477" t="s">
        <v>25</v>
      </c>
      <c r="F4" s="477" t="s">
        <v>22</v>
      </c>
      <c r="H4" s="477" t="s">
        <v>23</v>
      </c>
    </row>
    <row r="5" spans="1:9" ht="20.25" customHeight="1">
      <c r="A5" s="509">
        <v>1</v>
      </c>
      <c r="B5" s="85" t="s">
        <v>207</v>
      </c>
      <c r="D5" s="505">
        <v>21277976.382560465</v>
      </c>
      <c r="F5" s="505">
        <v>13817334.804753</v>
      </c>
      <c r="H5" s="506">
        <f>D5-F5</f>
        <v>7460641.5778074656</v>
      </c>
    </row>
    <row r="6" spans="1:9">
      <c r="A6" s="510">
        <v>2</v>
      </c>
      <c r="B6" s="85" t="s">
        <v>362</v>
      </c>
      <c r="D6" s="505">
        <v>22407295.582599811</v>
      </c>
      <c r="F6" s="505">
        <v>14964633.777709501</v>
      </c>
      <c r="H6" s="506">
        <f t="shared" ref="H6:H17" si="0">D6-F6</f>
        <v>7442661.8048903104</v>
      </c>
    </row>
    <row r="7" spans="1:9">
      <c r="A7" s="510">
        <v>3</v>
      </c>
      <c r="B7" s="85" t="s">
        <v>175</v>
      </c>
      <c r="D7" s="505">
        <v>23601499.293896761</v>
      </c>
      <c r="F7" s="505">
        <v>16176929.2619236</v>
      </c>
      <c r="H7" s="506">
        <f t="shared" si="0"/>
        <v>7424570.0319731608</v>
      </c>
    </row>
    <row r="8" spans="1:9">
      <c r="A8" s="510">
        <v>4</v>
      </c>
      <c r="B8" s="85" t="s">
        <v>176</v>
      </c>
      <c r="D8" s="505">
        <v>24872600.938882861</v>
      </c>
      <c r="F8" s="505">
        <v>17448579.7698269</v>
      </c>
      <c r="H8" s="506">
        <f t="shared" si="0"/>
        <v>7424021.1690559611</v>
      </c>
    </row>
    <row r="9" spans="1:9">
      <c r="A9" s="510">
        <v>5</v>
      </c>
      <c r="B9" s="85" t="s">
        <v>177</v>
      </c>
      <c r="D9" s="505">
        <v>26227068.19377235</v>
      </c>
      <c r="F9" s="505">
        <v>18237011.3476335</v>
      </c>
      <c r="H9" s="506">
        <f t="shared" si="0"/>
        <v>7990056.8461388499</v>
      </c>
    </row>
    <row r="10" spans="1:9">
      <c r="A10" s="510">
        <v>6</v>
      </c>
      <c r="B10" s="85" t="s">
        <v>149</v>
      </c>
      <c r="D10" s="505">
        <v>27754313.134747516</v>
      </c>
      <c r="F10" s="505">
        <v>19782348.0615259</v>
      </c>
      <c r="H10" s="506">
        <f t="shared" si="0"/>
        <v>7971965.0732216164</v>
      </c>
    </row>
    <row r="11" spans="1:9">
      <c r="A11" s="510">
        <v>7</v>
      </c>
      <c r="B11" s="85" t="s">
        <v>178</v>
      </c>
      <c r="D11" s="505">
        <v>27875653.271970458</v>
      </c>
      <c r="F11" s="505">
        <v>19921779.971666001</v>
      </c>
      <c r="H11" s="506">
        <f t="shared" si="0"/>
        <v>7953873.3003044575</v>
      </c>
    </row>
    <row r="12" spans="1:9">
      <c r="A12" s="510">
        <v>8</v>
      </c>
      <c r="B12" s="85" t="s">
        <v>179</v>
      </c>
      <c r="D12" s="505">
        <v>29564251.585314155</v>
      </c>
      <c r="F12" s="505">
        <v>21628470.0579268</v>
      </c>
      <c r="H12" s="506">
        <f t="shared" si="0"/>
        <v>7935781.5273873545</v>
      </c>
    </row>
    <row r="13" spans="1:9">
      <c r="A13" s="510">
        <v>9</v>
      </c>
      <c r="B13" s="85" t="s">
        <v>180</v>
      </c>
      <c r="D13" s="505">
        <v>31421466.265652511</v>
      </c>
      <c r="F13" s="505">
        <v>23503776.511182301</v>
      </c>
      <c r="H13" s="506">
        <f t="shared" si="0"/>
        <v>7917689.7544702105</v>
      </c>
    </row>
    <row r="14" spans="1:9">
      <c r="A14" s="510">
        <v>10</v>
      </c>
      <c r="B14" s="85" t="s">
        <v>181</v>
      </c>
      <c r="D14" s="505">
        <v>33183962.172340605</v>
      </c>
      <c r="F14" s="505">
        <v>25284364.190787598</v>
      </c>
      <c r="H14" s="506">
        <f t="shared" si="0"/>
        <v>7899597.9815530069</v>
      </c>
    </row>
    <row r="15" spans="1:9">
      <c r="A15" s="510">
        <v>11</v>
      </c>
      <c r="B15" s="85" t="s">
        <v>182</v>
      </c>
      <c r="D15" s="505">
        <v>35373967.476787567</v>
      </c>
      <c r="F15" s="505">
        <v>27492461.2681517</v>
      </c>
      <c r="H15" s="506">
        <f t="shared" si="0"/>
        <v>7881506.2086358666</v>
      </c>
    </row>
    <row r="16" spans="1:9">
      <c r="A16" s="510">
        <v>12</v>
      </c>
      <c r="B16" s="85" t="s">
        <v>183</v>
      </c>
      <c r="D16" s="505">
        <v>37813676.35670539</v>
      </c>
      <c r="F16" s="505">
        <v>29943836.3709867</v>
      </c>
      <c r="H16" s="506">
        <f t="shared" si="0"/>
        <v>7869839.9857186899</v>
      </c>
    </row>
    <row r="17" spans="1:8">
      <c r="A17" s="510">
        <v>13</v>
      </c>
      <c r="B17" s="85" t="s">
        <v>363</v>
      </c>
      <c r="D17" s="505">
        <v>41973109.267545491</v>
      </c>
      <c r="F17" s="505">
        <v>34109088.954744004</v>
      </c>
      <c r="H17" s="506">
        <f t="shared" si="0"/>
        <v>7864020.3128014877</v>
      </c>
    </row>
    <row r="18" spans="1:8">
      <c r="A18" s="510"/>
      <c r="B18" s="85"/>
      <c r="D18" s="505"/>
      <c r="F18" s="505"/>
      <c r="H18" s="506"/>
    </row>
    <row r="19" spans="1:8" ht="15" customHeight="1">
      <c r="A19" s="510">
        <v>14</v>
      </c>
      <c r="B19" s="1" t="s">
        <v>156</v>
      </c>
      <c r="H19" s="515">
        <f>SUM(H5:H17)/13</f>
        <v>7772017.3518429557</v>
      </c>
    </row>
    <row r="22" spans="1:8">
      <c r="B22" s="85" t="s">
        <v>24</v>
      </c>
    </row>
    <row r="23" spans="1:8">
      <c r="B23" s="85" t="s">
        <v>584</v>
      </c>
    </row>
    <row r="24" spans="1:8">
      <c r="B24" s="85" t="s">
        <v>26</v>
      </c>
    </row>
  </sheetData>
  <phoneticPr fontId="13" type="noConversion"/>
  <pageMargins left="0.75" right="0.75" top="1" bottom="1" header="0.5" footer="0.5"/>
  <pageSetup orientation="portrait" r:id="rId1"/>
  <headerFooter alignWithMargins="0">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P64"/>
  <sheetViews>
    <sheetView showGridLines="0" zoomScaleNormal="75" workbookViewId="0">
      <selection activeCell="A4" sqref="A4"/>
    </sheetView>
  </sheetViews>
  <sheetFormatPr defaultColWidth="14.44140625" defaultRowHeight="12.75"/>
  <cols>
    <col min="1" max="1" width="4.77734375" style="75" customWidth="1"/>
    <col min="2" max="2" width="2.77734375" style="4" customWidth="1"/>
    <col min="3" max="3" width="34.6640625" style="4" customWidth="1"/>
    <col min="4" max="4" width="14.44140625" style="4" customWidth="1"/>
    <col min="5" max="5" width="0.88671875" style="4" customWidth="1"/>
    <col min="6" max="6" width="12.88671875" style="4" bestFit="1" customWidth="1"/>
    <col min="7" max="7" width="0.88671875" style="4" customWidth="1"/>
    <col min="8" max="8" width="12.88671875" style="4" bestFit="1" customWidth="1"/>
    <col min="9" max="9" width="0.88671875" style="4" customWidth="1"/>
    <col min="10" max="10" width="12.88671875" style="4" bestFit="1" customWidth="1"/>
    <col min="11" max="11" width="0.88671875" style="4" customWidth="1"/>
    <col min="12" max="12" width="12.88671875" style="4" customWidth="1"/>
    <col min="13" max="13" width="0.88671875" style="4" customWidth="1"/>
    <col min="14" max="14" width="18.109375" style="4" bestFit="1" customWidth="1"/>
    <col min="15" max="15" width="0.6640625" style="4" customWidth="1"/>
    <col min="16" max="16" width="14.44140625" style="4" bestFit="1" customWidth="1"/>
    <col min="17" max="16384" width="14.44140625" style="4"/>
  </cols>
  <sheetData>
    <row r="1" spans="1:16">
      <c r="A1" s="72" t="s">
        <v>36</v>
      </c>
      <c r="B1" s="73"/>
      <c r="C1" s="73"/>
      <c r="D1" s="73"/>
      <c r="E1" s="73"/>
      <c r="F1" s="74" t="s">
        <v>360</v>
      </c>
      <c r="G1" s="73"/>
      <c r="H1" s="73"/>
      <c r="I1" s="73"/>
      <c r="J1" s="73"/>
      <c r="K1" s="73"/>
      <c r="L1" s="73"/>
      <c r="M1" s="73"/>
      <c r="N1" s="73"/>
      <c r="O1" s="73"/>
    </row>
    <row r="2" spans="1:16">
      <c r="A2" s="72" t="s">
        <v>51</v>
      </c>
      <c r="B2" s="73"/>
      <c r="C2" s="73"/>
      <c r="D2" s="73"/>
      <c r="E2" s="73"/>
      <c r="F2" s="74"/>
      <c r="G2" s="73"/>
      <c r="H2" s="73"/>
      <c r="I2" s="73"/>
      <c r="J2" s="73"/>
      <c r="K2" s="73"/>
      <c r="L2" s="73"/>
      <c r="M2" s="73"/>
      <c r="N2" s="73"/>
      <c r="O2" s="73"/>
    </row>
    <row r="3" spans="1:16">
      <c r="A3" s="72" t="s">
        <v>361</v>
      </c>
      <c r="B3" s="73"/>
      <c r="C3" s="73"/>
      <c r="D3" s="73" t="s">
        <v>133</v>
      </c>
      <c r="E3" s="73"/>
      <c r="F3" s="73"/>
      <c r="G3" s="73"/>
      <c r="H3" s="73"/>
      <c r="I3" s="73"/>
      <c r="J3" s="73"/>
      <c r="K3" s="73"/>
      <c r="L3" s="73"/>
      <c r="M3" s="73"/>
      <c r="N3" s="73"/>
      <c r="O3" s="73"/>
    </row>
    <row r="4" spans="1:16">
      <c r="A4" s="231" t="s">
        <v>283</v>
      </c>
    </row>
    <row r="5" spans="1:16" ht="4.5" customHeight="1">
      <c r="B5" s="76"/>
    </row>
    <row r="6" spans="1:16">
      <c r="A6" s="75" t="s">
        <v>174</v>
      </c>
      <c r="D6" s="77" t="s">
        <v>195</v>
      </c>
      <c r="E6" s="79"/>
      <c r="F6" s="7"/>
      <c r="G6" s="7"/>
      <c r="H6" s="7"/>
      <c r="I6" s="7"/>
      <c r="J6" s="7"/>
      <c r="K6" s="7"/>
      <c r="L6" s="7"/>
      <c r="M6" s="7"/>
      <c r="N6" s="7"/>
      <c r="O6" s="7"/>
      <c r="P6" s="7"/>
    </row>
    <row r="7" spans="1:16">
      <c r="A7" s="80" t="s">
        <v>150</v>
      </c>
      <c r="D7" s="77">
        <v>105</v>
      </c>
      <c r="E7" s="79"/>
      <c r="F7" s="7"/>
      <c r="G7" s="7"/>
      <c r="H7" s="7"/>
      <c r="I7" s="7"/>
      <c r="J7" s="7"/>
      <c r="K7" s="7"/>
      <c r="L7" s="7"/>
      <c r="M7" s="7"/>
      <c r="N7" s="7"/>
      <c r="O7" s="7"/>
      <c r="P7" s="7"/>
    </row>
    <row r="8" spans="1:16">
      <c r="A8" s="81" t="s">
        <v>154</v>
      </c>
      <c r="B8" s="82" t="s">
        <v>37</v>
      </c>
      <c r="C8" s="83"/>
      <c r="D8" s="35"/>
      <c r="F8" s="7"/>
      <c r="G8" s="7"/>
      <c r="H8" s="7"/>
      <c r="I8" s="7"/>
      <c r="J8" s="7"/>
      <c r="K8" s="7"/>
      <c r="L8" s="7"/>
      <c r="M8" s="7"/>
      <c r="N8" s="7"/>
      <c r="O8" s="7"/>
      <c r="P8" s="7"/>
    </row>
    <row r="9" spans="1:16">
      <c r="A9" s="84">
        <f t="shared" ref="A9:A37" si="0">+A8+1</f>
        <v>2</v>
      </c>
      <c r="C9" s="85" t="s">
        <v>207</v>
      </c>
      <c r="D9" s="25">
        <f t="shared" ref="D9:D21" si="1">+D28+D47</f>
        <v>8103</v>
      </c>
      <c r="E9" s="26"/>
      <c r="F9" s="7"/>
      <c r="G9" s="7"/>
      <c r="H9" s="7"/>
      <c r="I9" s="7"/>
      <c r="J9" s="7"/>
      <c r="K9" s="7"/>
      <c r="L9" s="7"/>
      <c r="M9" s="7"/>
      <c r="N9" s="7"/>
      <c r="O9" s="7"/>
      <c r="P9" s="7"/>
    </row>
    <row r="10" spans="1:16">
      <c r="A10" s="84">
        <f t="shared" si="0"/>
        <v>3</v>
      </c>
      <c r="C10" s="85" t="s">
        <v>362</v>
      </c>
      <c r="D10" s="26">
        <f t="shared" si="1"/>
        <v>8103</v>
      </c>
      <c r="E10" s="26"/>
      <c r="F10" s="7"/>
      <c r="G10" s="7"/>
      <c r="H10" s="7"/>
      <c r="I10" s="7"/>
      <c r="J10" s="7"/>
      <c r="K10" s="7"/>
      <c r="L10" s="7"/>
      <c r="M10" s="7"/>
      <c r="N10" s="7"/>
      <c r="O10" s="7"/>
      <c r="P10" s="7"/>
    </row>
    <row r="11" spans="1:16">
      <c r="A11" s="84">
        <f t="shared" si="0"/>
        <v>4</v>
      </c>
      <c r="C11" s="85" t="s">
        <v>175</v>
      </c>
      <c r="D11" s="26">
        <f t="shared" si="1"/>
        <v>8103</v>
      </c>
      <c r="E11" s="26"/>
      <c r="F11" s="7"/>
      <c r="G11" s="7"/>
      <c r="H11" s="7"/>
      <c r="I11" s="7"/>
      <c r="J11" s="7"/>
      <c r="K11" s="7"/>
      <c r="L11" s="7"/>
      <c r="M11" s="7"/>
      <c r="N11" s="7"/>
      <c r="O11" s="7"/>
      <c r="P11" s="7"/>
    </row>
    <row r="12" spans="1:16">
      <c r="A12" s="84">
        <f t="shared" si="0"/>
        <v>5</v>
      </c>
      <c r="C12" s="85" t="s">
        <v>176</v>
      </c>
      <c r="D12" s="26">
        <f t="shared" si="1"/>
        <v>8103</v>
      </c>
      <c r="E12" s="26"/>
      <c r="F12" s="7"/>
      <c r="G12" s="7"/>
      <c r="H12" s="7"/>
      <c r="I12" s="7"/>
      <c r="J12" s="7"/>
      <c r="K12" s="7"/>
      <c r="L12" s="7"/>
      <c r="M12" s="7"/>
      <c r="N12" s="7"/>
      <c r="O12" s="7"/>
      <c r="P12" s="7"/>
    </row>
    <row r="13" spans="1:16">
      <c r="A13" s="84">
        <f t="shared" si="0"/>
        <v>6</v>
      </c>
      <c r="C13" s="85" t="s">
        <v>177</v>
      </c>
      <c r="D13" s="26">
        <f t="shared" si="1"/>
        <v>8103</v>
      </c>
      <c r="E13" s="26"/>
      <c r="F13" s="7"/>
      <c r="G13" s="7"/>
      <c r="H13" s="7"/>
      <c r="I13" s="7"/>
      <c r="J13" s="7"/>
      <c r="K13" s="7"/>
      <c r="L13" s="7"/>
      <c r="M13" s="7"/>
      <c r="N13" s="7"/>
      <c r="O13" s="7"/>
      <c r="P13" s="7"/>
    </row>
    <row r="14" spans="1:16">
      <c r="A14" s="84">
        <f t="shared" si="0"/>
        <v>7</v>
      </c>
      <c r="C14" s="85" t="s">
        <v>149</v>
      </c>
      <c r="D14" s="26">
        <f t="shared" si="1"/>
        <v>8103</v>
      </c>
      <c r="E14" s="26"/>
      <c r="F14" s="7"/>
      <c r="G14" s="7"/>
      <c r="H14" s="7"/>
      <c r="I14" s="7"/>
      <c r="J14" s="7"/>
      <c r="K14" s="7"/>
      <c r="L14" s="7"/>
      <c r="M14" s="7"/>
      <c r="N14" s="7"/>
      <c r="O14" s="7"/>
      <c r="P14" s="7"/>
    </row>
    <row r="15" spans="1:16">
      <c r="A15" s="84">
        <f t="shared" si="0"/>
        <v>8</v>
      </c>
      <c r="C15" s="85" t="s">
        <v>178</v>
      </c>
      <c r="D15" s="26">
        <f t="shared" si="1"/>
        <v>8103</v>
      </c>
      <c r="E15" s="26"/>
      <c r="F15" s="7"/>
      <c r="G15" s="7"/>
      <c r="H15" s="7"/>
      <c r="I15" s="7"/>
      <c r="J15" s="7"/>
      <c r="K15" s="7"/>
      <c r="L15" s="7"/>
      <c r="M15" s="7"/>
      <c r="N15" s="7"/>
      <c r="O15" s="7"/>
      <c r="P15" s="7"/>
    </row>
    <row r="16" spans="1:16">
      <c r="A16" s="84">
        <f t="shared" si="0"/>
        <v>9</v>
      </c>
      <c r="C16" s="85" t="s">
        <v>179</v>
      </c>
      <c r="D16" s="26">
        <f t="shared" si="1"/>
        <v>8103</v>
      </c>
      <c r="E16" s="26"/>
      <c r="F16" s="7"/>
      <c r="G16" s="7"/>
      <c r="H16" s="7"/>
      <c r="I16" s="7"/>
      <c r="J16" s="7"/>
      <c r="K16" s="7"/>
      <c r="L16" s="7"/>
      <c r="M16" s="7"/>
      <c r="N16" s="7"/>
      <c r="O16" s="7"/>
      <c r="P16" s="7"/>
    </row>
    <row r="17" spans="1:16">
      <c r="A17" s="84">
        <f t="shared" si="0"/>
        <v>10</v>
      </c>
      <c r="C17" s="85" t="s">
        <v>180</v>
      </c>
      <c r="D17" s="26">
        <f t="shared" si="1"/>
        <v>8103</v>
      </c>
      <c r="E17" s="26"/>
      <c r="F17" s="7"/>
      <c r="G17" s="7"/>
      <c r="H17" s="7"/>
      <c r="I17" s="7"/>
      <c r="J17" s="7"/>
      <c r="K17" s="7"/>
      <c r="L17" s="7"/>
      <c r="M17" s="7"/>
      <c r="N17" s="7"/>
      <c r="O17" s="7"/>
      <c r="P17" s="7"/>
    </row>
    <row r="18" spans="1:16">
      <c r="A18" s="84">
        <f t="shared" si="0"/>
        <v>11</v>
      </c>
      <c r="C18" s="85" t="s">
        <v>181</v>
      </c>
      <c r="D18" s="26">
        <f t="shared" si="1"/>
        <v>8103</v>
      </c>
      <c r="E18" s="26"/>
      <c r="F18" s="7"/>
      <c r="G18" s="7"/>
      <c r="H18" s="7"/>
      <c r="I18" s="7"/>
      <c r="J18" s="7"/>
      <c r="K18" s="7"/>
      <c r="L18" s="7"/>
      <c r="M18" s="7"/>
      <c r="N18" s="7"/>
      <c r="O18" s="7"/>
      <c r="P18" s="7"/>
    </row>
    <row r="19" spans="1:16">
      <c r="A19" s="84">
        <f t="shared" si="0"/>
        <v>12</v>
      </c>
      <c r="C19" s="85" t="s">
        <v>182</v>
      </c>
      <c r="D19" s="26">
        <f t="shared" si="1"/>
        <v>8103</v>
      </c>
      <c r="E19" s="26"/>
      <c r="F19" s="7"/>
      <c r="G19" s="7"/>
      <c r="H19" s="7"/>
      <c r="I19" s="7"/>
      <c r="J19" s="7"/>
      <c r="K19" s="7"/>
      <c r="L19" s="7"/>
      <c r="M19" s="7"/>
      <c r="N19" s="7"/>
      <c r="O19" s="7"/>
      <c r="P19" s="7"/>
    </row>
    <row r="20" spans="1:16">
      <c r="A20" s="84">
        <f t="shared" si="0"/>
        <v>13</v>
      </c>
      <c r="C20" s="85" t="s">
        <v>183</v>
      </c>
      <c r="D20" s="26">
        <f t="shared" si="1"/>
        <v>8103</v>
      </c>
      <c r="E20" s="26"/>
      <c r="F20" s="7"/>
      <c r="G20" s="7"/>
      <c r="H20" s="7"/>
      <c r="I20" s="7"/>
      <c r="J20" s="7"/>
      <c r="K20" s="7"/>
      <c r="L20" s="7"/>
      <c r="M20" s="7"/>
      <c r="N20" s="7"/>
      <c r="O20" s="7"/>
      <c r="P20" s="7"/>
    </row>
    <row r="21" spans="1:16">
      <c r="A21" s="84">
        <f t="shared" si="0"/>
        <v>14</v>
      </c>
      <c r="C21" s="85" t="s">
        <v>363</v>
      </c>
      <c r="D21" s="26">
        <f t="shared" si="1"/>
        <v>8103</v>
      </c>
      <c r="E21" s="26"/>
      <c r="F21" s="7"/>
      <c r="G21" s="7"/>
      <c r="H21" s="7"/>
      <c r="I21" s="7"/>
      <c r="J21" s="7"/>
      <c r="K21" s="7"/>
      <c r="L21" s="7"/>
      <c r="M21" s="7"/>
      <c r="N21" s="7"/>
      <c r="O21" s="7"/>
      <c r="P21" s="7"/>
    </row>
    <row r="22" spans="1:16">
      <c r="A22" s="84">
        <f t="shared" si="0"/>
        <v>15</v>
      </c>
      <c r="C22" s="85"/>
      <c r="D22" s="34"/>
      <c r="E22" s="18"/>
      <c r="F22" s="7"/>
      <c r="G22" s="7"/>
      <c r="H22" s="7"/>
      <c r="I22" s="7"/>
      <c r="J22" s="7"/>
      <c r="K22" s="7"/>
      <c r="L22" s="7"/>
      <c r="M22" s="7"/>
      <c r="N22" s="7"/>
      <c r="O22" s="7"/>
      <c r="P22" s="7"/>
    </row>
    <row r="23" spans="1:16" ht="13.5" thickBot="1">
      <c r="A23" s="84">
        <f t="shared" si="0"/>
        <v>16</v>
      </c>
      <c r="C23" s="86" t="s">
        <v>213</v>
      </c>
      <c r="D23" s="36">
        <f>SUM(D9:D21)/13</f>
        <v>8103</v>
      </c>
      <c r="E23" s="18"/>
      <c r="F23" s="7"/>
      <c r="G23" s="7"/>
      <c r="H23" s="7"/>
      <c r="I23" s="7"/>
      <c r="J23" s="7"/>
      <c r="K23" s="7"/>
      <c r="L23" s="7"/>
      <c r="M23" s="7"/>
      <c r="N23" s="7"/>
      <c r="O23" s="7"/>
      <c r="P23" s="7"/>
    </row>
    <row r="24" spans="1:16" ht="13.5" thickTop="1">
      <c r="A24" s="84"/>
      <c r="D24" s="18"/>
      <c r="E24" s="18"/>
      <c r="F24" s="7"/>
      <c r="G24" s="7"/>
      <c r="H24" s="7"/>
      <c r="I24" s="7"/>
      <c r="J24" s="7"/>
      <c r="K24" s="7"/>
      <c r="L24" s="7"/>
      <c r="M24" s="7"/>
      <c r="N24" s="7"/>
      <c r="O24" s="7"/>
      <c r="P24" s="7"/>
    </row>
    <row r="25" spans="1:16">
      <c r="A25" s="84"/>
      <c r="D25" s="77" t="s">
        <v>195</v>
      </c>
      <c r="E25" s="79"/>
      <c r="F25" s="7"/>
      <c r="G25" s="7"/>
      <c r="H25" s="7"/>
      <c r="I25" s="7"/>
      <c r="J25" s="7"/>
      <c r="K25" s="7"/>
      <c r="L25" s="7"/>
      <c r="M25" s="7"/>
      <c r="N25" s="7"/>
      <c r="O25" s="7"/>
      <c r="P25" s="7"/>
    </row>
    <row r="26" spans="1:16">
      <c r="A26" s="84"/>
      <c r="C26" s="7"/>
      <c r="D26" s="77">
        <v>105</v>
      </c>
      <c r="E26" s="79"/>
      <c r="F26" s="7"/>
      <c r="G26" s="7"/>
      <c r="H26" s="7"/>
      <c r="I26" s="7"/>
      <c r="J26" s="7"/>
      <c r="K26" s="7"/>
      <c r="L26" s="7"/>
      <c r="M26" s="7"/>
      <c r="N26" s="7"/>
      <c r="O26" s="7"/>
      <c r="P26" s="7"/>
    </row>
    <row r="27" spans="1:16">
      <c r="A27" s="84">
        <f>A23+1</f>
        <v>17</v>
      </c>
      <c r="B27" s="82" t="s">
        <v>39</v>
      </c>
      <c r="C27" s="83"/>
      <c r="D27" s="35"/>
      <c r="F27" s="7"/>
      <c r="G27" s="7"/>
      <c r="H27" s="7"/>
      <c r="I27" s="7"/>
      <c r="J27" s="7"/>
      <c r="K27" s="7"/>
      <c r="L27" s="7"/>
      <c r="M27" s="7"/>
      <c r="N27" s="7"/>
      <c r="O27" s="7"/>
      <c r="P27" s="7"/>
    </row>
    <row r="28" spans="1:16" ht="13.5" customHeight="1">
      <c r="A28" s="84">
        <f t="shared" si="0"/>
        <v>18</v>
      </c>
      <c r="C28" s="85" t="s">
        <v>207</v>
      </c>
      <c r="D28" s="25">
        <v>0</v>
      </c>
      <c r="E28" s="26"/>
      <c r="F28" s="7"/>
      <c r="G28" s="7"/>
      <c r="H28" s="7"/>
      <c r="I28" s="7"/>
      <c r="J28" s="7"/>
      <c r="K28" s="7"/>
      <c r="L28" s="7"/>
      <c r="M28" s="7"/>
      <c r="N28" s="7"/>
      <c r="O28" s="7"/>
      <c r="P28" s="7"/>
    </row>
    <row r="29" spans="1:16">
      <c r="A29" s="84">
        <f t="shared" si="0"/>
        <v>19</v>
      </c>
      <c r="C29" s="85" t="s">
        <v>362</v>
      </c>
      <c r="D29" s="26">
        <v>0</v>
      </c>
      <c r="E29" s="26"/>
      <c r="F29" s="7"/>
      <c r="G29" s="7"/>
      <c r="H29" s="7"/>
      <c r="I29" s="7"/>
      <c r="J29" s="7"/>
      <c r="K29" s="7"/>
      <c r="L29" s="7"/>
      <c r="M29" s="7"/>
      <c r="N29" s="7"/>
      <c r="O29" s="7"/>
      <c r="P29" s="7"/>
    </row>
    <row r="30" spans="1:16">
      <c r="A30" s="84">
        <f t="shared" si="0"/>
        <v>20</v>
      </c>
      <c r="C30" s="85" t="s">
        <v>175</v>
      </c>
      <c r="D30" s="26">
        <v>0</v>
      </c>
      <c r="E30" s="26"/>
      <c r="F30" s="7"/>
      <c r="G30" s="7"/>
      <c r="H30" s="7"/>
      <c r="I30" s="7"/>
      <c r="J30" s="7"/>
      <c r="K30" s="7"/>
      <c r="L30" s="7"/>
      <c r="M30" s="7"/>
      <c r="N30" s="7"/>
      <c r="O30" s="7"/>
      <c r="P30" s="7"/>
    </row>
    <row r="31" spans="1:16">
      <c r="A31" s="84">
        <f t="shared" si="0"/>
        <v>21</v>
      </c>
      <c r="C31" s="85" t="s">
        <v>176</v>
      </c>
      <c r="D31" s="26">
        <v>0</v>
      </c>
      <c r="E31" s="26"/>
      <c r="F31" s="7"/>
      <c r="G31" s="7"/>
      <c r="H31" s="7"/>
      <c r="I31" s="7"/>
      <c r="J31" s="7"/>
      <c r="K31" s="7"/>
      <c r="L31" s="7"/>
      <c r="M31" s="7"/>
      <c r="N31" s="7"/>
      <c r="O31" s="7"/>
      <c r="P31" s="7"/>
    </row>
    <row r="32" spans="1:16">
      <c r="A32" s="84">
        <f t="shared" si="0"/>
        <v>22</v>
      </c>
      <c r="C32" s="85" t="s">
        <v>177</v>
      </c>
      <c r="D32" s="26">
        <v>0</v>
      </c>
      <c r="E32" s="26"/>
      <c r="F32" s="7"/>
      <c r="G32" s="7"/>
      <c r="H32" s="7"/>
      <c r="I32" s="7"/>
      <c r="J32" s="7"/>
      <c r="K32" s="7"/>
      <c r="L32" s="7"/>
      <c r="M32" s="7"/>
      <c r="N32" s="7"/>
      <c r="O32" s="7"/>
      <c r="P32" s="7"/>
    </row>
    <row r="33" spans="1:16">
      <c r="A33" s="84">
        <f t="shared" si="0"/>
        <v>23</v>
      </c>
      <c r="C33" s="85" t="s">
        <v>149</v>
      </c>
      <c r="D33" s="26">
        <v>0</v>
      </c>
      <c r="E33" s="26"/>
      <c r="F33" s="7"/>
      <c r="G33" s="7"/>
      <c r="H33" s="7"/>
      <c r="I33" s="7"/>
      <c r="J33" s="7"/>
      <c r="K33" s="7"/>
      <c r="L33" s="7"/>
      <c r="M33" s="7"/>
      <c r="N33" s="7"/>
      <c r="O33" s="7"/>
      <c r="P33" s="7"/>
    </row>
    <row r="34" spans="1:16">
      <c r="A34" s="84">
        <f t="shared" si="0"/>
        <v>24</v>
      </c>
      <c r="C34" s="85" t="s">
        <v>178</v>
      </c>
      <c r="D34" s="26">
        <v>0</v>
      </c>
      <c r="E34" s="26"/>
      <c r="F34" s="7"/>
      <c r="G34" s="7"/>
      <c r="H34" s="7"/>
      <c r="I34" s="7"/>
      <c r="J34" s="7"/>
      <c r="K34" s="7"/>
      <c r="L34" s="7"/>
      <c r="M34" s="7"/>
      <c r="N34" s="7"/>
      <c r="O34" s="7"/>
      <c r="P34" s="7"/>
    </row>
    <row r="35" spans="1:16">
      <c r="A35" s="84">
        <f t="shared" si="0"/>
        <v>25</v>
      </c>
      <c r="C35" s="85" t="s">
        <v>179</v>
      </c>
      <c r="D35" s="26">
        <v>0</v>
      </c>
      <c r="E35" s="26"/>
      <c r="F35" s="7"/>
      <c r="G35" s="7"/>
      <c r="H35" s="7"/>
      <c r="I35" s="7"/>
      <c r="J35" s="7"/>
      <c r="K35" s="7"/>
      <c r="L35" s="7"/>
      <c r="M35" s="7"/>
      <c r="N35" s="7"/>
      <c r="O35" s="7"/>
      <c r="P35" s="7"/>
    </row>
    <row r="36" spans="1:16">
      <c r="A36" s="84">
        <f t="shared" si="0"/>
        <v>26</v>
      </c>
      <c r="C36" s="85" t="s">
        <v>180</v>
      </c>
      <c r="D36" s="26">
        <v>0</v>
      </c>
      <c r="E36" s="26"/>
      <c r="F36" s="7"/>
      <c r="G36" s="7"/>
      <c r="H36" s="7"/>
      <c r="I36" s="7"/>
      <c r="J36" s="7"/>
      <c r="K36" s="7"/>
      <c r="L36" s="7"/>
      <c r="M36" s="7"/>
      <c r="N36" s="7"/>
      <c r="O36" s="7"/>
      <c r="P36" s="7"/>
    </row>
    <row r="37" spans="1:16">
      <c r="A37" s="84">
        <f t="shared" si="0"/>
        <v>27</v>
      </c>
      <c r="C37" s="85" t="s">
        <v>181</v>
      </c>
      <c r="D37" s="26">
        <v>0</v>
      </c>
      <c r="E37" s="26"/>
      <c r="F37" s="7"/>
      <c r="G37" s="7"/>
      <c r="H37" s="7"/>
      <c r="I37" s="7"/>
      <c r="J37" s="7"/>
      <c r="K37" s="7"/>
      <c r="L37" s="7"/>
      <c r="M37" s="7"/>
      <c r="N37" s="7"/>
      <c r="O37" s="7"/>
      <c r="P37" s="7"/>
    </row>
    <row r="38" spans="1:16">
      <c r="A38" s="84">
        <f t="shared" ref="A38:A61" si="2">+A37+1</f>
        <v>28</v>
      </c>
      <c r="C38" s="85" t="s">
        <v>182</v>
      </c>
      <c r="D38" s="26">
        <v>0</v>
      </c>
      <c r="E38" s="26"/>
      <c r="F38" s="7"/>
      <c r="G38" s="7"/>
      <c r="H38" s="7"/>
      <c r="I38" s="7"/>
      <c r="J38" s="7"/>
      <c r="K38" s="7"/>
      <c r="L38" s="7"/>
      <c r="M38" s="7"/>
      <c r="N38" s="7"/>
      <c r="O38" s="7"/>
      <c r="P38" s="7"/>
    </row>
    <row r="39" spans="1:16">
      <c r="A39" s="84">
        <f t="shared" si="2"/>
        <v>29</v>
      </c>
      <c r="C39" s="85" t="s">
        <v>183</v>
      </c>
      <c r="D39" s="26">
        <v>0</v>
      </c>
      <c r="E39" s="26"/>
      <c r="F39" s="7"/>
      <c r="G39" s="7"/>
      <c r="H39" s="7"/>
      <c r="I39" s="7"/>
      <c r="J39" s="7"/>
      <c r="K39" s="7"/>
      <c r="L39" s="7"/>
      <c r="M39" s="7"/>
      <c r="N39" s="7"/>
      <c r="O39" s="7"/>
      <c r="P39" s="7"/>
    </row>
    <row r="40" spans="1:16">
      <c r="A40" s="84">
        <f t="shared" si="2"/>
        <v>30</v>
      </c>
      <c r="C40" s="85" t="s">
        <v>363</v>
      </c>
      <c r="D40" s="26">
        <v>0</v>
      </c>
      <c r="E40" s="26"/>
      <c r="F40" s="7"/>
      <c r="G40" s="7"/>
      <c r="H40" s="7"/>
      <c r="I40" s="7"/>
      <c r="J40" s="7"/>
      <c r="K40" s="7"/>
      <c r="L40" s="7"/>
      <c r="M40" s="7"/>
      <c r="N40" s="7"/>
      <c r="O40" s="7"/>
      <c r="P40" s="7"/>
    </row>
    <row r="41" spans="1:16">
      <c r="A41" s="84">
        <f t="shared" si="2"/>
        <v>31</v>
      </c>
      <c r="C41" s="85"/>
      <c r="D41" s="34"/>
      <c r="E41" s="18"/>
      <c r="F41" s="7"/>
      <c r="G41" s="7"/>
      <c r="H41" s="7"/>
      <c r="I41" s="7"/>
      <c r="J41" s="7"/>
      <c r="K41" s="7"/>
      <c r="L41" s="7"/>
      <c r="M41" s="7"/>
      <c r="N41" s="7"/>
      <c r="O41" s="7"/>
      <c r="P41" s="7"/>
    </row>
    <row r="42" spans="1:16" ht="13.5" thickBot="1">
      <c r="A42" s="84">
        <f t="shared" si="2"/>
        <v>32</v>
      </c>
      <c r="C42" s="86" t="s">
        <v>213</v>
      </c>
      <c r="D42" s="36">
        <f>SUM(D28:D40)/13</f>
        <v>0</v>
      </c>
      <c r="E42" s="18"/>
      <c r="F42" s="7"/>
      <c r="G42" s="7"/>
      <c r="H42" s="7"/>
      <c r="I42" s="7"/>
      <c r="J42" s="7"/>
      <c r="K42" s="7"/>
      <c r="L42" s="7"/>
      <c r="M42" s="7"/>
      <c r="N42" s="7"/>
      <c r="O42" s="7"/>
      <c r="P42" s="7"/>
    </row>
    <row r="43" spans="1:16" ht="13.5" thickTop="1">
      <c r="A43" s="84"/>
      <c r="C43" s="7"/>
      <c r="D43" s="7"/>
      <c r="E43" s="7"/>
      <c r="F43" s="7"/>
      <c r="G43" s="7"/>
      <c r="H43" s="7"/>
      <c r="I43" s="7"/>
      <c r="J43" s="7"/>
      <c r="K43" s="7"/>
      <c r="L43" s="7"/>
      <c r="M43" s="7"/>
      <c r="N43" s="7"/>
      <c r="O43" s="7"/>
      <c r="P43" s="7"/>
    </row>
    <row r="44" spans="1:16">
      <c r="A44" s="84"/>
      <c r="C44" s="7"/>
      <c r="D44" s="77" t="s">
        <v>195</v>
      </c>
      <c r="E44" s="79"/>
      <c r="F44" s="7"/>
      <c r="G44" s="7"/>
      <c r="H44" s="7"/>
      <c r="I44" s="7"/>
      <c r="J44" s="7"/>
      <c r="K44" s="7"/>
      <c r="L44" s="7"/>
      <c r="M44" s="7"/>
      <c r="N44" s="7"/>
      <c r="O44" s="7"/>
      <c r="P44" s="7"/>
    </row>
    <row r="45" spans="1:16">
      <c r="A45" s="84"/>
      <c r="C45" s="7"/>
      <c r="D45" s="77">
        <v>105</v>
      </c>
      <c r="E45" s="79"/>
      <c r="F45" s="7"/>
      <c r="G45" s="7"/>
      <c r="H45" s="7"/>
      <c r="I45" s="7"/>
      <c r="J45" s="7"/>
      <c r="K45" s="7"/>
      <c r="L45" s="7"/>
      <c r="M45" s="7"/>
      <c r="N45" s="7"/>
      <c r="O45" s="7"/>
      <c r="P45" s="7"/>
    </row>
    <row r="46" spans="1:16">
      <c r="A46" s="84">
        <f>A42+1</f>
        <v>33</v>
      </c>
      <c r="B46" s="82" t="s">
        <v>40</v>
      </c>
      <c r="C46" s="83"/>
      <c r="D46" s="35"/>
      <c r="F46" s="7"/>
      <c r="G46" s="7"/>
      <c r="H46" s="7"/>
      <c r="I46" s="7"/>
      <c r="J46" s="7"/>
      <c r="K46" s="7"/>
      <c r="L46" s="7"/>
      <c r="M46" s="7"/>
      <c r="N46" s="7"/>
      <c r="O46" s="7"/>
      <c r="P46" s="7"/>
    </row>
    <row r="47" spans="1:16">
      <c r="A47" s="84">
        <f t="shared" si="2"/>
        <v>34</v>
      </c>
      <c r="C47" s="85" t="s">
        <v>207</v>
      </c>
      <c r="D47" s="25">
        <v>8103</v>
      </c>
      <c r="E47" s="26"/>
      <c r="F47" s="7"/>
      <c r="G47" s="7"/>
      <c r="H47" s="7"/>
      <c r="I47" s="7"/>
      <c r="J47" s="7"/>
      <c r="K47" s="7"/>
      <c r="L47" s="7"/>
      <c r="M47" s="7"/>
      <c r="N47" s="7"/>
      <c r="O47" s="7"/>
      <c r="P47" s="7"/>
    </row>
    <row r="48" spans="1:16">
      <c r="A48" s="84">
        <f t="shared" si="2"/>
        <v>35</v>
      </c>
      <c r="C48" s="85" t="s">
        <v>362</v>
      </c>
      <c r="D48" s="25">
        <v>8103</v>
      </c>
      <c r="E48" s="26"/>
      <c r="F48" s="7"/>
      <c r="G48" s="7"/>
      <c r="H48" s="7"/>
      <c r="I48" s="7"/>
      <c r="J48" s="7"/>
      <c r="K48" s="7"/>
      <c r="L48" s="7"/>
      <c r="M48" s="7"/>
      <c r="N48" s="7"/>
      <c r="O48" s="7"/>
      <c r="P48" s="7"/>
    </row>
    <row r="49" spans="1:16">
      <c r="A49" s="84">
        <f t="shared" si="2"/>
        <v>36</v>
      </c>
      <c r="C49" s="85" t="s">
        <v>175</v>
      </c>
      <c r="D49" s="25">
        <v>8103</v>
      </c>
      <c r="E49" s="26"/>
      <c r="F49" s="7"/>
      <c r="G49" s="7"/>
      <c r="H49" s="7"/>
      <c r="I49" s="7"/>
      <c r="J49" s="7"/>
      <c r="K49" s="7"/>
      <c r="L49" s="7"/>
      <c r="M49" s="7"/>
      <c r="N49" s="7"/>
      <c r="O49" s="7"/>
      <c r="P49" s="7"/>
    </row>
    <row r="50" spans="1:16">
      <c r="A50" s="84">
        <f t="shared" si="2"/>
        <v>37</v>
      </c>
      <c r="C50" s="85" t="s">
        <v>176</v>
      </c>
      <c r="D50" s="25">
        <v>8103</v>
      </c>
      <c r="E50" s="26"/>
      <c r="F50" s="7"/>
      <c r="G50" s="7"/>
      <c r="H50" s="7"/>
      <c r="I50" s="7"/>
      <c r="J50" s="7"/>
      <c r="K50" s="7"/>
      <c r="L50" s="7"/>
      <c r="M50" s="7"/>
      <c r="N50" s="7"/>
      <c r="O50" s="7"/>
      <c r="P50" s="7"/>
    </row>
    <row r="51" spans="1:16">
      <c r="A51" s="84">
        <f t="shared" si="2"/>
        <v>38</v>
      </c>
      <c r="C51" s="85" t="s">
        <v>177</v>
      </c>
      <c r="D51" s="25">
        <v>8103</v>
      </c>
      <c r="E51" s="26"/>
      <c r="F51" s="7"/>
      <c r="G51" s="7"/>
      <c r="H51" s="7"/>
      <c r="I51" s="7"/>
      <c r="J51" s="7"/>
      <c r="K51" s="7"/>
      <c r="L51" s="7"/>
      <c r="M51" s="7"/>
      <c r="N51" s="7"/>
      <c r="O51" s="7"/>
      <c r="P51" s="7"/>
    </row>
    <row r="52" spans="1:16">
      <c r="A52" s="84">
        <f t="shared" si="2"/>
        <v>39</v>
      </c>
      <c r="C52" s="85" t="s">
        <v>149</v>
      </c>
      <c r="D52" s="25">
        <v>8103</v>
      </c>
      <c r="E52" s="26"/>
      <c r="F52" s="7"/>
      <c r="G52" s="7"/>
      <c r="H52" s="7"/>
      <c r="I52" s="7"/>
      <c r="J52" s="7"/>
      <c r="K52" s="7"/>
      <c r="L52" s="7"/>
      <c r="M52" s="7"/>
      <c r="N52" s="7"/>
      <c r="O52" s="7"/>
      <c r="P52" s="7"/>
    </row>
    <row r="53" spans="1:16">
      <c r="A53" s="84">
        <f t="shared" si="2"/>
        <v>40</v>
      </c>
      <c r="C53" s="85" t="s">
        <v>178</v>
      </c>
      <c r="D53" s="25">
        <v>8103</v>
      </c>
      <c r="E53" s="26"/>
      <c r="F53" s="7"/>
      <c r="G53" s="7"/>
      <c r="H53" s="7"/>
      <c r="I53" s="7"/>
      <c r="J53" s="7"/>
      <c r="K53" s="7"/>
      <c r="L53" s="7"/>
      <c r="M53" s="7"/>
      <c r="N53" s="7"/>
      <c r="O53" s="7"/>
      <c r="P53" s="7"/>
    </row>
    <row r="54" spans="1:16">
      <c r="A54" s="84">
        <f t="shared" si="2"/>
        <v>41</v>
      </c>
      <c r="C54" s="85" t="s">
        <v>179</v>
      </c>
      <c r="D54" s="25">
        <v>8103</v>
      </c>
      <c r="E54" s="26"/>
      <c r="F54" s="7"/>
      <c r="G54" s="7"/>
      <c r="H54" s="7"/>
      <c r="I54" s="7"/>
      <c r="J54" s="7"/>
      <c r="K54" s="7"/>
      <c r="L54" s="7"/>
      <c r="M54" s="7"/>
      <c r="N54" s="7"/>
      <c r="O54" s="7"/>
      <c r="P54" s="7"/>
    </row>
    <row r="55" spans="1:16">
      <c r="A55" s="84">
        <f t="shared" si="2"/>
        <v>42</v>
      </c>
      <c r="C55" s="85" t="s">
        <v>180</v>
      </c>
      <c r="D55" s="25">
        <v>8103</v>
      </c>
      <c r="E55" s="26"/>
      <c r="F55" s="7"/>
      <c r="G55" s="7"/>
      <c r="H55" s="7"/>
      <c r="I55" s="7"/>
      <c r="J55" s="7"/>
      <c r="K55" s="7"/>
      <c r="L55" s="7"/>
      <c r="M55" s="7"/>
      <c r="N55" s="7"/>
      <c r="O55" s="7"/>
      <c r="P55" s="7"/>
    </row>
    <row r="56" spans="1:16">
      <c r="A56" s="84">
        <f t="shared" si="2"/>
        <v>43</v>
      </c>
      <c r="C56" s="85" t="s">
        <v>181</v>
      </c>
      <c r="D56" s="25">
        <v>8103</v>
      </c>
      <c r="E56" s="26"/>
      <c r="F56" s="7"/>
      <c r="G56" s="7"/>
      <c r="H56" s="7"/>
      <c r="I56" s="7"/>
      <c r="J56" s="7"/>
      <c r="K56" s="7"/>
      <c r="L56" s="7"/>
      <c r="M56" s="7"/>
      <c r="N56" s="7"/>
      <c r="O56" s="7"/>
      <c r="P56" s="7"/>
    </row>
    <row r="57" spans="1:16">
      <c r="A57" s="84">
        <f t="shared" si="2"/>
        <v>44</v>
      </c>
      <c r="C57" s="85" t="s">
        <v>182</v>
      </c>
      <c r="D57" s="25">
        <v>8103</v>
      </c>
      <c r="E57" s="26"/>
      <c r="F57" s="7"/>
      <c r="G57" s="7"/>
      <c r="H57" s="7"/>
      <c r="I57" s="7"/>
      <c r="J57" s="7"/>
      <c r="K57" s="7"/>
      <c r="L57" s="7"/>
      <c r="M57" s="7"/>
      <c r="N57" s="7"/>
      <c r="O57" s="7"/>
      <c r="P57" s="7"/>
    </row>
    <row r="58" spans="1:16">
      <c r="A58" s="84">
        <f t="shared" si="2"/>
        <v>45</v>
      </c>
      <c r="C58" s="85" t="s">
        <v>183</v>
      </c>
      <c r="D58" s="25">
        <v>8103</v>
      </c>
      <c r="E58" s="26"/>
      <c r="F58" s="7"/>
      <c r="G58" s="7"/>
      <c r="H58" s="7"/>
      <c r="I58" s="7"/>
      <c r="J58" s="7"/>
      <c r="K58" s="7"/>
      <c r="L58" s="7"/>
      <c r="M58" s="7"/>
      <c r="N58" s="7"/>
      <c r="O58" s="7"/>
      <c r="P58" s="7"/>
    </row>
    <row r="59" spans="1:16">
      <c r="A59" s="84">
        <f t="shared" si="2"/>
        <v>46</v>
      </c>
      <c r="C59" s="85" t="s">
        <v>363</v>
      </c>
      <c r="D59" s="25">
        <v>8103</v>
      </c>
      <c r="E59" s="26"/>
      <c r="F59" s="7"/>
      <c r="G59" s="7"/>
      <c r="H59" s="7"/>
      <c r="I59" s="7"/>
      <c r="J59" s="7"/>
      <c r="K59" s="7"/>
      <c r="L59" s="7"/>
      <c r="M59" s="7"/>
      <c r="N59" s="7"/>
      <c r="O59" s="7"/>
      <c r="P59" s="7"/>
    </row>
    <row r="60" spans="1:16">
      <c r="A60" s="84">
        <f t="shared" si="2"/>
        <v>47</v>
      </c>
      <c r="C60" s="85"/>
      <c r="D60" s="34"/>
      <c r="E60" s="18"/>
      <c r="F60" s="7"/>
      <c r="G60" s="7"/>
      <c r="H60" s="7"/>
      <c r="I60" s="7"/>
      <c r="J60" s="7"/>
      <c r="K60" s="7"/>
      <c r="L60" s="7"/>
      <c r="M60" s="7"/>
      <c r="N60" s="7"/>
      <c r="O60" s="7"/>
      <c r="P60" s="7"/>
    </row>
    <row r="61" spans="1:16" ht="13.5" thickBot="1">
      <c r="A61" s="84">
        <f t="shared" si="2"/>
        <v>48</v>
      </c>
      <c r="C61" s="86" t="s">
        <v>213</v>
      </c>
      <c r="D61" s="36">
        <f>SUM(D47:D59)/13</f>
        <v>8103</v>
      </c>
      <c r="E61" s="18"/>
      <c r="F61" s="7"/>
      <c r="G61" s="7"/>
      <c r="H61" s="7"/>
      <c r="I61" s="7"/>
      <c r="J61" s="7"/>
      <c r="K61" s="7"/>
      <c r="L61" s="7"/>
      <c r="M61" s="7"/>
      <c r="N61" s="7"/>
      <c r="O61" s="7"/>
      <c r="P61" s="7"/>
    </row>
    <row r="62" spans="1:16" ht="13.5" thickTop="1"/>
    <row r="64" spans="1:16">
      <c r="C64" s="73"/>
    </row>
  </sheetData>
  <phoneticPr fontId="10" type="noConversion"/>
  <printOptions horizontalCentered="1"/>
  <pageMargins left="0.75" right="0.25" top="0.75" bottom="0.4" header="0" footer="0.25"/>
  <pageSetup scale="93" orientation="portrait" r:id="rId1"/>
  <headerFooter alignWithMargins="0">
    <oddFoote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P61"/>
  <sheetViews>
    <sheetView showGridLines="0" topLeftCell="A13" zoomScaleNormal="75" workbookViewId="0">
      <selection activeCell="D30" sqref="D30"/>
    </sheetView>
  </sheetViews>
  <sheetFormatPr defaultColWidth="14.44140625" defaultRowHeight="12.75"/>
  <cols>
    <col min="1" max="1" width="5.44140625" style="75" customWidth="1"/>
    <col min="2" max="2" width="2.88671875" style="4" customWidth="1"/>
    <col min="3" max="3" width="34.6640625" style="4" customWidth="1"/>
    <col min="4" max="4" width="14.44140625" style="4" customWidth="1"/>
    <col min="5" max="5" width="0.88671875" style="4" customWidth="1"/>
    <col min="6" max="6" width="16.33203125" style="4" bestFit="1" customWidth="1"/>
    <col min="7" max="7" width="0.88671875" style="4" customWidth="1"/>
    <col min="8" max="8" width="12.88671875" style="4" bestFit="1" customWidth="1"/>
    <col min="9" max="9" width="0.88671875" style="4" customWidth="1"/>
    <col min="10" max="10" width="12.88671875" style="4" bestFit="1" customWidth="1"/>
    <col min="11" max="11" width="0.88671875" style="4" customWidth="1"/>
    <col min="12" max="12" width="12.88671875" style="4" customWidth="1"/>
    <col min="13" max="13" width="0.88671875" style="4" customWidth="1"/>
    <col min="14" max="14" width="18.109375" style="4" bestFit="1" customWidth="1"/>
    <col min="15" max="15" width="0.6640625" style="4" customWidth="1"/>
    <col min="16" max="16" width="14.44140625" style="4" bestFit="1" customWidth="1"/>
    <col min="17" max="16384" width="14.44140625" style="4"/>
  </cols>
  <sheetData>
    <row r="1" spans="1:16">
      <c r="A1" s="72" t="s">
        <v>36</v>
      </c>
      <c r="B1" s="73"/>
      <c r="C1" s="73"/>
      <c r="D1" s="73"/>
      <c r="E1" s="73"/>
      <c r="F1" s="74" t="s">
        <v>360</v>
      </c>
      <c r="G1" s="73"/>
      <c r="H1" s="73"/>
      <c r="I1" s="73"/>
      <c r="J1" s="73"/>
      <c r="K1" s="73"/>
      <c r="L1" s="73"/>
      <c r="M1" s="73"/>
      <c r="N1" s="73"/>
      <c r="O1" s="73"/>
    </row>
    <row r="2" spans="1:16">
      <c r="A2" s="72" t="s">
        <v>33</v>
      </c>
      <c r="B2" s="73"/>
      <c r="C2" s="73"/>
      <c r="D2" s="73"/>
      <c r="E2" s="73"/>
      <c r="F2" s="74"/>
      <c r="G2" s="73"/>
      <c r="H2" s="73"/>
      <c r="I2" s="73"/>
      <c r="J2" s="73"/>
      <c r="K2" s="73"/>
      <c r="L2" s="73"/>
      <c r="M2" s="73"/>
      <c r="N2" s="73"/>
      <c r="O2" s="73"/>
    </row>
    <row r="3" spans="1:16">
      <c r="A3" s="72" t="s">
        <v>361</v>
      </c>
      <c r="B3" s="73"/>
      <c r="C3" s="73"/>
      <c r="E3" s="73"/>
      <c r="F3" s="73"/>
      <c r="G3" s="73"/>
      <c r="H3" s="73"/>
      <c r="I3" s="73"/>
      <c r="J3" s="73"/>
      <c r="K3" s="73"/>
      <c r="L3" s="73"/>
      <c r="M3" s="73"/>
      <c r="N3" s="73"/>
      <c r="O3" s="73"/>
    </row>
    <row r="4" spans="1:16">
      <c r="A4" s="231" t="s">
        <v>283</v>
      </c>
    </row>
    <row r="5" spans="1:16" ht="17.25" customHeight="1">
      <c r="D5" s="7"/>
      <c r="E5" s="7"/>
      <c r="F5" s="7"/>
      <c r="G5" s="7"/>
      <c r="H5" s="7"/>
      <c r="I5" s="7"/>
      <c r="J5" s="7"/>
      <c r="K5" s="7"/>
      <c r="L5" s="7"/>
      <c r="M5" s="7"/>
      <c r="N5" s="7"/>
      <c r="O5" s="7"/>
      <c r="P5" s="7"/>
    </row>
    <row r="6" spans="1:16">
      <c r="A6" s="75" t="s">
        <v>174</v>
      </c>
      <c r="D6" s="77" t="s">
        <v>52</v>
      </c>
      <c r="E6" s="79"/>
      <c r="F6" s="46" t="s">
        <v>173</v>
      </c>
      <c r="G6" s="7"/>
      <c r="H6" s="7"/>
      <c r="I6" s="7"/>
      <c r="J6" s="7"/>
      <c r="K6" s="7"/>
      <c r="L6" s="7"/>
      <c r="M6" s="7"/>
      <c r="N6" s="7"/>
      <c r="O6" s="7"/>
      <c r="P6" s="7"/>
    </row>
    <row r="7" spans="1:16">
      <c r="A7" s="80" t="s">
        <v>150</v>
      </c>
      <c r="D7" s="77" t="s">
        <v>53</v>
      </c>
      <c r="E7" s="79"/>
      <c r="F7" s="39" t="s">
        <v>54</v>
      </c>
      <c r="G7" s="7"/>
      <c r="H7" s="7"/>
      <c r="I7" s="7"/>
      <c r="J7" s="7"/>
      <c r="K7" s="7"/>
      <c r="L7" s="7"/>
      <c r="M7" s="7"/>
      <c r="N7" s="7"/>
      <c r="O7" s="7"/>
      <c r="P7" s="7"/>
    </row>
    <row r="8" spans="1:16">
      <c r="A8" s="81"/>
      <c r="B8" s="82" t="s">
        <v>37</v>
      </c>
      <c r="C8" s="83"/>
      <c r="D8" s="35"/>
      <c r="F8" s="7"/>
      <c r="G8" s="7"/>
      <c r="H8" s="7"/>
      <c r="I8" s="7"/>
      <c r="J8" s="7"/>
      <c r="K8" s="7"/>
      <c r="L8" s="7"/>
      <c r="M8" s="7"/>
      <c r="N8" s="85"/>
      <c r="O8" s="7"/>
      <c r="P8" s="7"/>
    </row>
    <row r="9" spans="1:16">
      <c r="A9" s="84">
        <f>+A8+1</f>
        <v>1</v>
      </c>
      <c r="C9" s="85" t="s">
        <v>207</v>
      </c>
      <c r="D9" s="26">
        <f>+D21+D35</f>
        <v>436686</v>
      </c>
      <c r="E9" s="26"/>
      <c r="F9" s="26">
        <f>+F21+F35</f>
        <v>104975318</v>
      </c>
      <c r="G9" s="7"/>
      <c r="H9" s="7"/>
      <c r="I9" s="7"/>
      <c r="J9" s="7"/>
      <c r="K9" s="7"/>
      <c r="L9" s="7"/>
      <c r="M9" s="7"/>
      <c r="N9" s="85"/>
      <c r="O9" s="7"/>
      <c r="P9" s="7"/>
    </row>
    <row r="10" spans="1:16">
      <c r="A10" s="84">
        <f>A9+1</f>
        <v>2</v>
      </c>
      <c r="C10" s="85" t="s">
        <v>363</v>
      </c>
      <c r="D10" s="26">
        <f>+D22+D36</f>
        <v>401301</v>
      </c>
      <c r="E10" s="26"/>
      <c r="F10" s="26">
        <f>+F22+F36</f>
        <v>115519730</v>
      </c>
      <c r="G10" s="7"/>
      <c r="H10" s="7"/>
      <c r="I10" s="7"/>
      <c r="J10" s="7"/>
      <c r="K10" s="7"/>
      <c r="L10" s="7"/>
      <c r="M10" s="7"/>
      <c r="N10" s="7"/>
      <c r="O10" s="7"/>
      <c r="P10" s="7"/>
    </row>
    <row r="11" spans="1:16" ht="7.5" customHeight="1">
      <c r="A11" s="84"/>
      <c r="C11" s="85"/>
      <c r="D11" s="34"/>
      <c r="E11" s="18"/>
      <c r="F11" s="34"/>
      <c r="G11" s="7"/>
      <c r="H11" s="7"/>
      <c r="I11" s="7"/>
      <c r="J11" s="7"/>
      <c r="K11" s="7"/>
      <c r="L11" s="7"/>
      <c r="M11" s="7"/>
      <c r="N11" s="7"/>
      <c r="O11" s="7"/>
      <c r="P11" s="7"/>
    </row>
    <row r="12" spans="1:16">
      <c r="A12" s="84">
        <f>A10+1</f>
        <v>3</v>
      </c>
      <c r="C12" s="85" t="s">
        <v>198</v>
      </c>
      <c r="D12" s="41"/>
      <c r="E12" s="18"/>
      <c r="F12" s="164"/>
      <c r="G12" s="7"/>
      <c r="H12" s="7"/>
      <c r="I12" s="7"/>
      <c r="J12" s="7"/>
      <c r="K12" s="7"/>
      <c r="L12" s="7"/>
      <c r="M12" s="7"/>
      <c r="N12" s="7"/>
      <c r="O12" s="7"/>
      <c r="P12" s="7"/>
    </row>
    <row r="13" spans="1:16" ht="7.5" customHeight="1">
      <c r="A13" s="84"/>
      <c r="C13" s="85"/>
      <c r="D13" s="165"/>
      <c r="E13" s="18"/>
      <c r="F13" s="165"/>
      <c r="G13" s="7"/>
      <c r="H13" s="7"/>
      <c r="I13" s="7"/>
      <c r="J13" s="7"/>
      <c r="K13" s="7"/>
      <c r="L13" s="7"/>
      <c r="M13" s="7"/>
      <c r="N13" s="7"/>
      <c r="O13" s="7"/>
      <c r="P13" s="7"/>
    </row>
    <row r="14" spans="1:16">
      <c r="A14" s="84">
        <f>A12+1</f>
        <v>4</v>
      </c>
      <c r="C14" s="166" t="s">
        <v>213</v>
      </c>
      <c r="D14" s="40">
        <f>SUM(D9:D10)/2+D12</f>
        <v>418993.5</v>
      </c>
      <c r="E14" s="165"/>
      <c r="F14" s="40">
        <f>SUM(F9:F10)/2</f>
        <v>110247524</v>
      </c>
      <c r="G14" s="7"/>
      <c r="H14" s="7"/>
      <c r="I14" s="7"/>
      <c r="J14" s="7"/>
      <c r="K14" s="7"/>
      <c r="L14" s="7"/>
      <c r="M14" s="7"/>
      <c r="N14" s="7"/>
      <c r="O14" s="7"/>
      <c r="P14" s="7"/>
    </row>
    <row r="15" spans="1:16" ht="9.75" customHeight="1">
      <c r="A15" s="84"/>
      <c r="C15" s="85"/>
      <c r="D15" s="18"/>
      <c r="E15" s="18"/>
      <c r="F15" s="7"/>
      <c r="G15" s="7"/>
      <c r="H15" s="7"/>
      <c r="I15" s="7"/>
      <c r="J15" s="7"/>
      <c r="K15" s="7"/>
      <c r="L15" s="7"/>
      <c r="M15" s="7"/>
      <c r="N15" s="18"/>
      <c r="O15" s="7"/>
      <c r="P15" s="7"/>
    </row>
    <row r="16" spans="1:16" ht="13.5" thickBot="1">
      <c r="A16" s="84">
        <f>A14+1</f>
        <v>5</v>
      </c>
      <c r="C16" s="86" t="s">
        <v>213</v>
      </c>
      <c r="D16" s="36">
        <f>D30+D42</f>
        <v>418993.5</v>
      </c>
      <c r="E16" s="8"/>
      <c r="F16" s="36">
        <f>F30+F42</f>
        <v>102987174.29713893</v>
      </c>
      <c r="H16" s="18"/>
      <c r="J16" s="18"/>
      <c r="K16" s="18"/>
      <c r="L16" s="18"/>
      <c r="M16" s="18"/>
      <c r="N16" s="7"/>
      <c r="O16" s="18"/>
      <c r="P16" s="18"/>
    </row>
    <row r="17" spans="1:16" ht="26.25" customHeight="1" thickTop="1">
      <c r="A17" s="84"/>
      <c r="D17" s="7"/>
      <c r="E17" s="7"/>
      <c r="F17" s="7"/>
      <c r="G17" s="7"/>
      <c r="H17" s="7"/>
      <c r="I17" s="7"/>
      <c r="J17" s="7"/>
      <c r="K17" s="7"/>
      <c r="L17" s="7"/>
      <c r="M17" s="7"/>
      <c r="N17" s="7"/>
      <c r="O17" s="7"/>
      <c r="P17" s="7"/>
    </row>
    <row r="18" spans="1:16">
      <c r="A18" s="84"/>
      <c r="D18" s="186" t="s">
        <v>52</v>
      </c>
      <c r="E18" s="232"/>
      <c r="F18" s="69" t="s">
        <v>173</v>
      </c>
      <c r="G18" s="7"/>
      <c r="H18" s="7"/>
      <c r="I18" s="7"/>
      <c r="J18" s="7"/>
      <c r="K18" s="7"/>
      <c r="L18" s="7"/>
      <c r="M18" s="7"/>
      <c r="N18" s="7"/>
      <c r="O18" s="7"/>
      <c r="P18" s="7"/>
    </row>
    <row r="19" spans="1:16">
      <c r="A19" s="84"/>
      <c r="C19" s="7"/>
      <c r="D19" s="186" t="s">
        <v>53</v>
      </c>
      <c r="E19" s="232"/>
      <c r="F19" s="233" t="s">
        <v>54</v>
      </c>
      <c r="G19" s="7"/>
      <c r="H19" s="7"/>
      <c r="I19" s="7"/>
      <c r="J19" s="7"/>
      <c r="K19" s="7"/>
      <c r="L19" s="7"/>
      <c r="M19" s="7"/>
      <c r="N19" s="7"/>
      <c r="O19" s="7"/>
      <c r="P19" s="7"/>
    </row>
    <row r="20" spans="1:16" ht="13.5" customHeight="1">
      <c r="A20" s="84"/>
      <c r="B20" s="82" t="s">
        <v>39</v>
      </c>
      <c r="C20" s="83"/>
      <c r="D20" s="35"/>
      <c r="F20" s="7"/>
      <c r="G20" s="7"/>
      <c r="H20" s="7"/>
      <c r="I20" s="7"/>
      <c r="J20" s="7"/>
      <c r="K20" s="7"/>
      <c r="L20" s="7"/>
      <c r="M20" s="7"/>
      <c r="N20" s="7"/>
      <c r="O20" s="7"/>
      <c r="P20" s="7"/>
    </row>
    <row r="21" spans="1:16">
      <c r="A21" s="84">
        <f>A16+1</f>
        <v>6</v>
      </c>
      <c r="C21" s="85" t="s">
        <v>207</v>
      </c>
      <c r="D21" s="26">
        <v>412677</v>
      </c>
      <c r="E21" s="26"/>
      <c r="F21" s="26">
        <v>77088789</v>
      </c>
      <c r="G21" s="7"/>
      <c r="H21" s="167"/>
      <c r="I21" s="7"/>
      <c r="J21" s="7"/>
      <c r="K21" s="7"/>
      <c r="L21" s="7"/>
      <c r="M21" s="7"/>
      <c r="N21" s="7"/>
      <c r="O21" s="7"/>
      <c r="P21" s="7"/>
    </row>
    <row r="22" spans="1:16">
      <c r="A22" s="84">
        <f>A21+1</f>
        <v>7</v>
      </c>
      <c r="C22" s="85" t="s">
        <v>363</v>
      </c>
      <c r="D22" s="26">
        <v>386995</v>
      </c>
      <c r="E22" s="26"/>
      <c r="F22" s="26">
        <v>83964342</v>
      </c>
      <c r="G22" s="7"/>
      <c r="H22" s="26"/>
      <c r="I22" s="7"/>
      <c r="J22" s="7"/>
      <c r="K22" s="7"/>
      <c r="L22" s="7"/>
      <c r="M22" s="7"/>
      <c r="N22" s="7"/>
      <c r="O22" s="7"/>
      <c r="P22" s="7"/>
    </row>
    <row r="23" spans="1:16" ht="7.5" customHeight="1">
      <c r="A23" s="84"/>
      <c r="C23" s="85"/>
      <c r="D23" s="34"/>
      <c r="E23" s="18"/>
      <c r="F23" s="34"/>
      <c r="G23" s="7"/>
      <c r="H23" s="26"/>
      <c r="I23" s="7"/>
      <c r="J23" s="7"/>
      <c r="K23" s="7"/>
      <c r="L23" s="7"/>
      <c r="M23" s="7"/>
      <c r="N23" s="7"/>
      <c r="O23" s="7"/>
      <c r="P23" s="7"/>
    </row>
    <row r="24" spans="1:16">
      <c r="A24" s="84">
        <f>A22+1</f>
        <v>8</v>
      </c>
      <c r="C24" s="85" t="s">
        <v>198</v>
      </c>
      <c r="D24" s="26"/>
      <c r="E24" s="26"/>
      <c r="F24" s="26"/>
      <c r="G24" s="7"/>
      <c r="H24" s="26"/>
      <c r="I24" s="7"/>
      <c r="J24" s="7"/>
      <c r="K24" s="7"/>
      <c r="L24" s="7"/>
      <c r="M24" s="7"/>
      <c r="N24" s="7"/>
      <c r="O24" s="7"/>
      <c r="P24" s="7"/>
    </row>
    <row r="25" spans="1:16" ht="7.5" customHeight="1">
      <c r="A25" s="84"/>
      <c r="C25" s="85"/>
      <c r="D25" s="34"/>
      <c r="E25" s="18"/>
      <c r="F25" s="34"/>
      <c r="G25" s="7"/>
      <c r="H25" s="165"/>
      <c r="I25" s="7"/>
      <c r="J25" s="7"/>
      <c r="K25" s="7"/>
      <c r="L25" s="7"/>
      <c r="M25" s="7"/>
      <c r="N25" s="7"/>
      <c r="O25" s="7"/>
      <c r="P25" s="7"/>
    </row>
    <row r="26" spans="1:16">
      <c r="A26" s="84">
        <f>A24+1</f>
        <v>9</v>
      </c>
      <c r="C26" s="166" t="s">
        <v>213</v>
      </c>
      <c r="D26" s="167">
        <f>SUM(D21:D22)/2+D24</f>
        <v>399836</v>
      </c>
      <c r="E26" s="165"/>
      <c r="F26" s="167">
        <f>SUM(F21:F22)/2</f>
        <v>80526565.5</v>
      </c>
      <c r="G26" s="7"/>
      <c r="H26" s="40"/>
      <c r="I26" s="7"/>
      <c r="J26" s="7"/>
      <c r="K26" s="7"/>
      <c r="L26" s="7"/>
      <c r="M26" s="7"/>
      <c r="N26" s="7"/>
      <c r="O26" s="7"/>
      <c r="P26" s="7"/>
    </row>
    <row r="27" spans="1:16">
      <c r="A27" s="84"/>
      <c r="C27" s="85" t="s">
        <v>242</v>
      </c>
      <c r="D27" s="7"/>
      <c r="E27" s="7"/>
      <c r="F27" s="7"/>
      <c r="G27" s="7"/>
      <c r="H27" s="7"/>
      <c r="I27" s="7"/>
      <c r="J27" s="7"/>
      <c r="K27" s="7"/>
      <c r="L27" s="7"/>
      <c r="M27" s="7"/>
      <c r="N27" s="7"/>
      <c r="O27" s="7"/>
      <c r="P27" s="7"/>
    </row>
    <row r="28" spans="1:16">
      <c r="A28" s="84">
        <f>A26+1</f>
        <v>10</v>
      </c>
      <c r="C28" s="85" t="s">
        <v>364</v>
      </c>
      <c r="D28" s="47"/>
      <c r="E28" s="7"/>
      <c r="F28" s="48">
        <f>F49</f>
        <v>0.94015515813972161</v>
      </c>
      <c r="G28" s="7"/>
      <c r="H28" s="7"/>
      <c r="I28" s="7"/>
      <c r="J28" s="7"/>
      <c r="K28" s="7"/>
      <c r="L28" s="7"/>
      <c r="M28" s="7"/>
      <c r="N28" s="7"/>
      <c r="O28" s="7"/>
      <c r="P28" s="7"/>
    </row>
    <row r="29" spans="1:16" ht="7.5" customHeight="1">
      <c r="A29" s="84"/>
      <c r="C29" s="85"/>
      <c r="D29" s="7"/>
      <c r="E29" s="7"/>
      <c r="F29" s="7"/>
      <c r="G29" s="7"/>
      <c r="H29" s="7"/>
      <c r="I29" s="7"/>
      <c r="J29" s="7"/>
      <c r="K29" s="7"/>
      <c r="L29" s="7"/>
      <c r="M29" s="7"/>
      <c r="N29" s="8"/>
      <c r="O29" s="7"/>
      <c r="P29" s="7"/>
    </row>
    <row r="30" spans="1:16" s="73" customFormat="1" ht="13.5" thickBot="1">
      <c r="A30" s="84">
        <f>A28+1</f>
        <v>11</v>
      </c>
      <c r="C30" s="86" t="s">
        <v>213</v>
      </c>
      <c r="D30" s="36">
        <f>D26</f>
        <v>399836</v>
      </c>
      <c r="E30" s="8"/>
      <c r="F30" s="36">
        <f>F26*F28</f>
        <v>75707465.922101155</v>
      </c>
      <c r="G30" s="8"/>
      <c r="H30" s="8"/>
      <c r="I30" s="8"/>
      <c r="J30" s="8"/>
      <c r="K30" s="8"/>
      <c r="L30" s="8"/>
      <c r="M30" s="8"/>
      <c r="N30" s="77"/>
      <c r="O30" s="8"/>
      <c r="P30" s="8"/>
    </row>
    <row r="31" spans="1:16" ht="26.25" customHeight="1" thickTop="1">
      <c r="A31" s="84"/>
      <c r="C31" s="7"/>
      <c r="D31" s="7"/>
      <c r="E31" s="7"/>
      <c r="F31" s="7"/>
      <c r="G31" s="7"/>
      <c r="K31" s="77"/>
      <c r="M31" s="77"/>
      <c r="N31" s="7"/>
      <c r="O31" s="77"/>
      <c r="P31" s="78"/>
    </row>
    <row r="32" spans="1:16">
      <c r="A32" s="84"/>
      <c r="C32" s="7"/>
      <c r="D32" s="186" t="s">
        <v>52</v>
      </c>
      <c r="E32" s="232"/>
      <c r="F32" s="69" t="s">
        <v>173</v>
      </c>
      <c r="G32" s="7"/>
      <c r="H32" s="7"/>
      <c r="I32" s="7"/>
      <c r="J32" s="7"/>
      <c r="K32" s="7"/>
      <c r="L32" s="7"/>
      <c r="M32" s="7"/>
      <c r="N32" s="7"/>
      <c r="O32" s="7"/>
      <c r="P32" s="7"/>
    </row>
    <row r="33" spans="1:16">
      <c r="A33" s="84"/>
      <c r="C33" s="7"/>
      <c r="D33" s="186" t="s">
        <v>53</v>
      </c>
      <c r="E33" s="232"/>
      <c r="F33" s="233" t="s">
        <v>54</v>
      </c>
      <c r="G33" s="7"/>
      <c r="H33" s="7"/>
      <c r="I33" s="7"/>
      <c r="J33" s="7"/>
      <c r="K33" s="7"/>
      <c r="L33" s="7"/>
      <c r="M33" s="7"/>
      <c r="N33" s="7"/>
      <c r="O33" s="7"/>
      <c r="P33" s="7"/>
    </row>
    <row r="34" spans="1:16">
      <c r="A34" s="84"/>
      <c r="B34" s="82" t="s">
        <v>40</v>
      </c>
      <c r="C34" s="83"/>
      <c r="D34" s="35"/>
      <c r="F34" s="7"/>
      <c r="G34" s="7"/>
      <c r="H34" s="7"/>
      <c r="I34" s="7"/>
      <c r="J34" s="7"/>
      <c r="K34" s="7"/>
      <c r="L34" s="7"/>
      <c r="M34" s="7"/>
      <c r="N34" s="7"/>
      <c r="O34" s="7"/>
      <c r="P34" s="7"/>
    </row>
    <row r="35" spans="1:16">
      <c r="A35" s="84">
        <f>A30+1</f>
        <v>12</v>
      </c>
      <c r="C35" s="85" t="s">
        <v>207</v>
      </c>
      <c r="D35" s="26">
        <v>24009</v>
      </c>
      <c r="E35" s="26"/>
      <c r="F35" s="26">
        <v>27886529</v>
      </c>
      <c r="G35" s="7"/>
      <c r="H35" s="7"/>
      <c r="I35" s="7"/>
      <c r="J35" s="7"/>
      <c r="K35" s="7"/>
      <c r="L35" s="7"/>
      <c r="M35" s="7"/>
      <c r="N35" s="7"/>
      <c r="O35" s="7"/>
      <c r="P35" s="7"/>
    </row>
    <row r="36" spans="1:16">
      <c r="A36" s="84">
        <f>A35+1</f>
        <v>13</v>
      </c>
      <c r="C36" s="85" t="s">
        <v>363</v>
      </c>
      <c r="D36" s="26">
        <v>14306</v>
      </c>
      <c r="E36" s="26"/>
      <c r="F36" s="26">
        <v>31555388</v>
      </c>
      <c r="G36" s="7"/>
      <c r="H36" s="7"/>
      <c r="I36" s="7"/>
      <c r="J36" s="7"/>
      <c r="K36" s="7"/>
      <c r="L36" s="7"/>
      <c r="M36" s="7"/>
      <c r="N36" s="7"/>
      <c r="O36" s="7"/>
      <c r="P36" s="7"/>
    </row>
    <row r="37" spans="1:16" ht="7.5" customHeight="1">
      <c r="A37" s="84"/>
      <c r="C37" s="85"/>
      <c r="D37" s="34"/>
      <c r="E37" s="18"/>
      <c r="F37" s="34"/>
      <c r="G37" s="7"/>
      <c r="H37" s="7"/>
      <c r="I37" s="7"/>
      <c r="J37" s="7"/>
      <c r="K37" s="7"/>
      <c r="L37" s="7"/>
      <c r="M37" s="7"/>
      <c r="N37" s="7"/>
      <c r="O37" s="7"/>
      <c r="P37" s="7"/>
    </row>
    <row r="38" spans="1:16">
      <c r="A38" s="84">
        <f>A36+1</f>
        <v>14</v>
      </c>
      <c r="C38" s="166" t="s">
        <v>213</v>
      </c>
      <c r="D38" s="167">
        <f>SUM(D35:D36)/2</f>
        <v>19157.5</v>
      </c>
      <c r="E38" s="165"/>
      <c r="F38" s="167">
        <f>SUM(F35:F36)/2</f>
        <v>29720958.5</v>
      </c>
      <c r="G38" s="7"/>
      <c r="H38" s="7"/>
      <c r="I38" s="7"/>
      <c r="J38" s="7"/>
      <c r="K38" s="7"/>
      <c r="L38" s="7"/>
      <c r="M38" s="7"/>
      <c r="N38" s="7"/>
      <c r="O38" s="7"/>
      <c r="P38" s="7"/>
    </row>
    <row r="39" spans="1:16">
      <c r="A39" s="84"/>
      <c r="C39" s="85" t="s">
        <v>242</v>
      </c>
      <c r="D39" s="7"/>
      <c r="E39" s="7"/>
      <c r="F39" s="7"/>
      <c r="G39" s="7"/>
      <c r="H39" s="7"/>
      <c r="I39" s="7"/>
      <c r="J39" s="7"/>
      <c r="K39" s="7"/>
      <c r="L39" s="7"/>
      <c r="M39" s="7"/>
      <c r="N39" s="7"/>
      <c r="O39" s="7"/>
      <c r="P39" s="7"/>
    </row>
    <row r="40" spans="1:16">
      <c r="A40" s="84">
        <f>A38+1</f>
        <v>15</v>
      </c>
      <c r="C40" s="85" t="s">
        <v>364</v>
      </c>
      <c r="D40" s="47"/>
      <c r="E40" s="7"/>
      <c r="F40" s="48">
        <f>F58</f>
        <v>0.91786098941047833</v>
      </c>
      <c r="G40" s="7"/>
      <c r="H40" s="7"/>
      <c r="I40" s="7"/>
      <c r="J40" s="7"/>
      <c r="K40" s="7"/>
      <c r="L40" s="7"/>
      <c r="M40" s="7"/>
      <c r="N40" s="7"/>
      <c r="O40" s="7"/>
      <c r="P40" s="7"/>
    </row>
    <row r="41" spans="1:16" ht="7.5" customHeight="1">
      <c r="A41" s="84"/>
      <c r="C41" s="85"/>
      <c r="D41" s="7"/>
      <c r="E41" s="7"/>
      <c r="F41" s="7"/>
    </row>
    <row r="42" spans="1:16" ht="13.5" thickBot="1">
      <c r="A42" s="84">
        <f>A40+1</f>
        <v>16</v>
      </c>
      <c r="C42" s="86" t="s">
        <v>213</v>
      </c>
      <c r="D42" s="36">
        <f>D38</f>
        <v>19157.5</v>
      </c>
      <c r="E42" s="8"/>
      <c r="F42" s="36">
        <f>F38*F40</f>
        <v>27279708.375037767</v>
      </c>
    </row>
    <row r="43" spans="1:16" ht="13.5" thickTop="1">
      <c r="A43" s="84"/>
    </row>
    <row r="44" spans="1:16" ht="25.5" customHeight="1">
      <c r="A44" s="84"/>
      <c r="C44" s="49" t="s">
        <v>243</v>
      </c>
      <c r="D44" s="49"/>
    </row>
    <row r="45" spans="1:16">
      <c r="A45" s="84">
        <f>A42+1</f>
        <v>17</v>
      </c>
      <c r="C45" s="50" t="s">
        <v>245</v>
      </c>
      <c r="F45" s="168">
        <v>9096511946</v>
      </c>
    </row>
    <row r="46" spans="1:16">
      <c r="A46" s="84">
        <f>+A45+1</f>
        <v>18</v>
      </c>
      <c r="C46" s="50" t="s">
        <v>246</v>
      </c>
      <c r="F46" s="168">
        <v>579031359</v>
      </c>
    </row>
    <row r="47" spans="1:16" ht="13.5" thickBot="1">
      <c r="A47" s="84">
        <f>+A46+1</f>
        <v>19</v>
      </c>
      <c r="C47" s="50"/>
      <c r="F47" s="51">
        <f>SUM(F45:F46)</f>
        <v>9675543305</v>
      </c>
    </row>
    <row r="48" spans="1:16" ht="6.75" customHeight="1" thickTop="1">
      <c r="A48" s="84"/>
    </row>
    <row r="49" spans="1:6">
      <c r="A49" s="84">
        <f>A47+1</f>
        <v>20</v>
      </c>
      <c r="C49" s="50" t="s">
        <v>136</v>
      </c>
      <c r="F49" s="48">
        <f>F45/F47</f>
        <v>0.94015515813972161</v>
      </c>
    </row>
    <row r="50" spans="1:6">
      <c r="A50" s="84">
        <f>+A49+1</f>
        <v>21</v>
      </c>
      <c r="C50" s="50" t="s">
        <v>125</v>
      </c>
      <c r="F50" s="215">
        <f>F46/F47</f>
        <v>5.9844841860278358E-2</v>
      </c>
    </row>
    <row r="51" spans="1:6" ht="13.5" thickBot="1">
      <c r="A51" s="84">
        <f>+A50+1</f>
        <v>22</v>
      </c>
      <c r="C51" s="50" t="s">
        <v>151</v>
      </c>
      <c r="F51" s="52">
        <f>SUM(F49:F50)</f>
        <v>1</v>
      </c>
    </row>
    <row r="52" spans="1:6" ht="6.75" customHeight="1" thickTop="1">
      <c r="A52" s="84"/>
    </row>
    <row r="53" spans="1:6">
      <c r="A53" s="84"/>
      <c r="C53" s="49" t="s">
        <v>244</v>
      </c>
      <c r="D53" s="49"/>
    </row>
    <row r="54" spans="1:6">
      <c r="A54" s="84">
        <f>A51+1</f>
        <v>23</v>
      </c>
      <c r="C54" s="50" t="s">
        <v>245</v>
      </c>
      <c r="F54" s="168">
        <v>1156911337</v>
      </c>
    </row>
    <row r="55" spans="1:6">
      <c r="A55" s="84">
        <f>+A54+1</f>
        <v>24</v>
      </c>
      <c r="C55" s="50" t="s">
        <v>246</v>
      </c>
      <c r="F55" s="168">
        <v>103531530</v>
      </c>
    </row>
    <row r="56" spans="1:6" ht="13.5" thickBot="1">
      <c r="A56" s="84">
        <f>+A55+1</f>
        <v>25</v>
      </c>
      <c r="C56" s="50"/>
      <c r="F56" s="51">
        <f>SUM(F54:F55)</f>
        <v>1260442867</v>
      </c>
    </row>
    <row r="57" spans="1:6" ht="6.75" customHeight="1" thickTop="1">
      <c r="A57" s="84"/>
    </row>
    <row r="58" spans="1:6">
      <c r="A58" s="84">
        <f>A56+1</f>
        <v>26</v>
      </c>
      <c r="C58" s="50" t="s">
        <v>136</v>
      </c>
      <c r="F58" s="48">
        <f>F54/F56</f>
        <v>0.91786098941047833</v>
      </c>
    </row>
    <row r="59" spans="1:6">
      <c r="A59" s="84">
        <f>+A58+1</f>
        <v>27</v>
      </c>
      <c r="C59" s="50" t="s">
        <v>125</v>
      </c>
      <c r="F59" s="215">
        <f>F55/F56</f>
        <v>8.2139010589521624E-2</v>
      </c>
    </row>
    <row r="60" spans="1:6" ht="13.5" thickBot="1">
      <c r="A60" s="84">
        <f>+A59+1</f>
        <v>28</v>
      </c>
      <c r="C60" s="50" t="s">
        <v>151</v>
      </c>
      <c r="F60" s="52">
        <f>SUM(F58:F59)</f>
        <v>1</v>
      </c>
    </row>
    <row r="61" spans="1:6" ht="13.5" thickTop="1"/>
  </sheetData>
  <phoneticPr fontId="10" type="noConversion"/>
  <printOptions horizontalCentered="1"/>
  <pageMargins left="0.5" right="0.25" top="0.5" bottom="0.4" header="0" footer="0.25"/>
  <pageSetup scale="97" orientation="portrait" r:id="rId1"/>
  <headerFooter alignWithMargins="0">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6"/>
  <sheetViews>
    <sheetView showGridLines="0" topLeftCell="A37" zoomScaleNormal="100" workbookViewId="0">
      <selection activeCell="F46" sqref="F46"/>
    </sheetView>
  </sheetViews>
  <sheetFormatPr defaultColWidth="8" defaultRowHeight="12.75"/>
  <cols>
    <col min="1" max="1" width="4.77734375" style="118" customWidth="1"/>
    <col min="2" max="2" width="5.77734375" style="118" customWidth="1"/>
    <col min="3" max="3" width="0.88671875" style="113" customWidth="1"/>
    <col min="4" max="4" width="44.77734375" style="113" customWidth="1"/>
    <col min="5" max="5" width="1.33203125" style="146" customWidth="1"/>
    <col min="6" max="6" width="10.77734375" style="113" customWidth="1"/>
    <col min="7" max="7" width="1.77734375" style="146" customWidth="1"/>
    <col min="8" max="8" width="10.77734375" style="113" customWidth="1"/>
    <col min="9" max="9" width="1.77734375" style="113" customWidth="1"/>
    <col min="10" max="10" width="11.77734375" style="114" customWidth="1"/>
    <col min="11" max="11" width="9.88671875" style="113" bestFit="1" customWidth="1"/>
    <col min="12" max="12" width="15.6640625" style="113" bestFit="1" customWidth="1"/>
    <col min="13" max="13" width="9.5546875" style="113" customWidth="1"/>
    <col min="14" max="16384" width="8" style="113"/>
  </cols>
  <sheetData>
    <row r="1" spans="1:12">
      <c r="A1" s="145" t="s">
        <v>36</v>
      </c>
      <c r="I1" s="115"/>
      <c r="J1" s="74" t="s">
        <v>360</v>
      </c>
    </row>
    <row r="2" spans="1:12">
      <c r="A2" s="115" t="s">
        <v>129</v>
      </c>
      <c r="I2" s="139"/>
      <c r="J2" s="116"/>
    </row>
    <row r="3" spans="1:12">
      <c r="A3" s="72" t="s">
        <v>361</v>
      </c>
      <c r="I3" s="115"/>
      <c r="J3" s="117"/>
    </row>
    <row r="4" spans="1:12">
      <c r="A4" s="231" t="s">
        <v>283</v>
      </c>
      <c r="I4" s="147"/>
    </row>
    <row r="5" spans="1:12" ht="3.75" customHeight="1">
      <c r="F5" s="148"/>
      <c r="G5" s="149"/>
      <c r="H5" s="148"/>
      <c r="I5" s="148"/>
      <c r="K5" s="148"/>
      <c r="L5" s="148"/>
    </row>
    <row r="6" spans="1:12">
      <c r="A6" s="120" t="s">
        <v>174</v>
      </c>
      <c r="B6" s="120" t="s">
        <v>355</v>
      </c>
      <c r="C6" s="139"/>
      <c r="D6" s="139"/>
      <c r="E6" s="144"/>
      <c r="F6" s="120"/>
      <c r="G6" s="121"/>
      <c r="H6" s="120"/>
      <c r="I6" s="120"/>
      <c r="J6" s="120" t="s">
        <v>151</v>
      </c>
      <c r="K6" s="148"/>
      <c r="L6" s="148"/>
    </row>
    <row r="7" spans="1:12">
      <c r="A7" s="124" t="s">
        <v>150</v>
      </c>
      <c r="B7" s="124" t="s">
        <v>150</v>
      </c>
      <c r="C7" s="115" t="s">
        <v>170</v>
      </c>
      <c r="D7" s="122" t="s">
        <v>160</v>
      </c>
      <c r="E7" s="144"/>
      <c r="F7" s="124" t="s">
        <v>57</v>
      </c>
      <c r="G7" s="121"/>
      <c r="H7" s="125" t="s">
        <v>58</v>
      </c>
      <c r="I7" s="120"/>
      <c r="J7" s="125" t="s">
        <v>59</v>
      </c>
      <c r="K7" s="148"/>
      <c r="L7" s="150"/>
    </row>
    <row r="8" spans="1:12" ht="7.5" customHeight="1">
      <c r="K8" s="148"/>
      <c r="L8" s="150"/>
    </row>
    <row r="9" spans="1:12">
      <c r="A9" s="118">
        <v>1</v>
      </c>
      <c r="D9" s="151" t="s">
        <v>34</v>
      </c>
      <c r="H9" s="19"/>
      <c r="K9" s="148"/>
      <c r="L9" s="150"/>
    </row>
    <row r="10" spans="1:12">
      <c r="A10" s="118">
        <f>+A9+1</f>
        <v>2</v>
      </c>
      <c r="D10" s="138" t="s">
        <v>171</v>
      </c>
      <c r="H10" s="19"/>
      <c r="K10" s="148"/>
      <c r="L10" s="150"/>
    </row>
    <row r="11" spans="1:12">
      <c r="A11" s="118">
        <f t="shared" ref="A11:A50" si="0">+A10+1</f>
        <v>3</v>
      </c>
      <c r="B11" s="118">
        <v>560</v>
      </c>
      <c r="D11" s="118" t="s">
        <v>167</v>
      </c>
      <c r="F11" s="152">
        <v>11061893</v>
      </c>
      <c r="G11" s="153"/>
      <c r="H11" s="152">
        <v>1687947</v>
      </c>
      <c r="I11" s="21"/>
      <c r="J11" s="152">
        <f>SUM(F11:I11)</f>
        <v>12749840</v>
      </c>
      <c r="K11" s="148"/>
      <c r="L11" s="150"/>
    </row>
    <row r="12" spans="1:12">
      <c r="A12" s="118">
        <f t="shared" si="0"/>
        <v>4</v>
      </c>
      <c r="B12" s="154" t="s">
        <v>60</v>
      </c>
      <c r="D12" s="118" t="s">
        <v>138</v>
      </c>
      <c r="F12" s="155">
        <v>0</v>
      </c>
      <c r="G12" s="132"/>
      <c r="H12" s="155">
        <v>0</v>
      </c>
      <c r="I12" s="19"/>
      <c r="J12" s="155">
        <f>SUM(F12:I12)</f>
        <v>0</v>
      </c>
      <c r="K12" s="148"/>
      <c r="L12" s="150"/>
    </row>
    <row r="13" spans="1:12">
      <c r="A13" s="118">
        <f t="shared" si="0"/>
        <v>5</v>
      </c>
      <c r="B13" s="154" t="s">
        <v>61</v>
      </c>
      <c r="D13" s="118" t="s">
        <v>67</v>
      </c>
      <c r="F13" s="155">
        <v>45004</v>
      </c>
      <c r="G13" s="132"/>
      <c r="H13" s="155">
        <v>0</v>
      </c>
      <c r="I13" s="19"/>
      <c r="J13" s="155">
        <f t="shared" ref="J13:J26" si="1">SUM(F13:I13)</f>
        <v>45004</v>
      </c>
      <c r="K13" s="148"/>
      <c r="L13" s="150"/>
    </row>
    <row r="14" spans="1:12">
      <c r="A14" s="118">
        <f t="shared" si="0"/>
        <v>6</v>
      </c>
      <c r="B14" s="154" t="s">
        <v>62</v>
      </c>
      <c r="D14" s="118" t="s">
        <v>68</v>
      </c>
      <c r="F14" s="155">
        <v>4734132</v>
      </c>
      <c r="G14" s="132"/>
      <c r="H14" s="155">
        <v>1923091</v>
      </c>
      <c r="I14" s="19"/>
      <c r="J14" s="155">
        <f t="shared" si="1"/>
        <v>6657223</v>
      </c>
      <c r="K14" s="148"/>
      <c r="L14" s="150"/>
    </row>
    <row r="15" spans="1:12">
      <c r="A15" s="118">
        <f t="shared" si="0"/>
        <v>7</v>
      </c>
      <c r="B15" s="154" t="s">
        <v>63</v>
      </c>
      <c r="D15" s="118" t="s">
        <v>69</v>
      </c>
      <c r="F15" s="155">
        <v>48474</v>
      </c>
      <c r="G15" s="132"/>
      <c r="H15" s="155">
        <v>0</v>
      </c>
      <c r="I15" s="19"/>
      <c r="J15" s="155">
        <f t="shared" si="1"/>
        <v>48474</v>
      </c>
      <c r="K15" s="148"/>
      <c r="L15" s="150"/>
    </row>
    <row r="16" spans="1:12">
      <c r="A16" s="118">
        <f t="shared" si="0"/>
        <v>8</v>
      </c>
      <c r="B16" s="154" t="s">
        <v>71</v>
      </c>
      <c r="D16" s="118" t="s">
        <v>70</v>
      </c>
      <c r="F16" s="155">
        <v>6498442</v>
      </c>
      <c r="G16" s="132"/>
      <c r="H16" s="155">
        <v>0</v>
      </c>
      <c r="I16" s="19"/>
      <c r="J16" s="155">
        <f t="shared" si="1"/>
        <v>6498442</v>
      </c>
      <c r="K16" s="148"/>
      <c r="L16" s="150"/>
    </row>
    <row r="17" spans="1:12">
      <c r="A17" s="118">
        <f t="shared" si="0"/>
        <v>9</v>
      </c>
      <c r="B17" s="154" t="s">
        <v>64</v>
      </c>
      <c r="D17" s="118" t="s">
        <v>72</v>
      </c>
      <c r="F17" s="155">
        <v>469114</v>
      </c>
      <c r="G17" s="132"/>
      <c r="H17" s="155">
        <v>3252</v>
      </c>
      <c r="I17" s="19"/>
      <c r="J17" s="155">
        <f t="shared" si="1"/>
        <v>472366</v>
      </c>
      <c r="K17" s="148"/>
      <c r="L17" s="150"/>
    </row>
    <row r="18" spans="1:12">
      <c r="A18" s="118">
        <f t="shared" si="0"/>
        <v>10</v>
      </c>
      <c r="B18" s="154" t="s">
        <v>65</v>
      </c>
      <c r="D18" s="118" t="s">
        <v>73</v>
      </c>
      <c r="F18" s="155">
        <v>-47027</v>
      </c>
      <c r="G18" s="132"/>
      <c r="H18" s="155">
        <v>0</v>
      </c>
      <c r="I18" s="19"/>
      <c r="J18" s="155">
        <f t="shared" si="1"/>
        <v>-47027</v>
      </c>
      <c r="K18" s="148"/>
      <c r="L18" s="150"/>
    </row>
    <row r="19" spans="1:12">
      <c r="A19" s="118">
        <f t="shared" si="0"/>
        <v>11</v>
      </c>
      <c r="B19" s="118">
        <v>561.70000000000005</v>
      </c>
      <c r="D19" s="118" t="s">
        <v>74</v>
      </c>
      <c r="F19" s="155">
        <v>53928</v>
      </c>
      <c r="G19" s="132"/>
      <c r="H19" s="155">
        <v>0</v>
      </c>
      <c r="I19" s="19"/>
      <c r="J19" s="155">
        <f t="shared" si="1"/>
        <v>53928</v>
      </c>
      <c r="K19" s="148"/>
      <c r="L19" s="150"/>
    </row>
    <row r="20" spans="1:12">
      <c r="A20" s="118">
        <f t="shared" si="0"/>
        <v>12</v>
      </c>
      <c r="B20" s="154" t="s">
        <v>66</v>
      </c>
      <c r="D20" s="118" t="s">
        <v>75</v>
      </c>
      <c r="F20" s="155">
        <v>2629000</v>
      </c>
      <c r="G20" s="132"/>
      <c r="H20" s="155">
        <v>0</v>
      </c>
      <c r="I20" s="19"/>
      <c r="J20" s="155">
        <f t="shared" si="1"/>
        <v>2629000</v>
      </c>
      <c r="K20" s="148"/>
      <c r="L20" s="150"/>
    </row>
    <row r="21" spans="1:12">
      <c r="A21" s="118">
        <f t="shared" si="0"/>
        <v>13</v>
      </c>
      <c r="B21" s="118">
        <v>562</v>
      </c>
      <c r="D21" s="118" t="s">
        <v>139</v>
      </c>
      <c r="F21" s="155">
        <v>1516407</v>
      </c>
      <c r="G21" s="132"/>
      <c r="H21" s="155">
        <v>354641</v>
      </c>
      <c r="I21" s="19"/>
      <c r="J21" s="155">
        <f t="shared" si="1"/>
        <v>1871048</v>
      </c>
      <c r="K21" s="19"/>
      <c r="L21" s="150"/>
    </row>
    <row r="22" spans="1:12">
      <c r="A22" s="118">
        <f t="shared" si="0"/>
        <v>14</v>
      </c>
      <c r="B22" s="118">
        <v>563</v>
      </c>
      <c r="D22" s="118" t="s">
        <v>140</v>
      </c>
      <c r="F22" s="155">
        <v>2377452</v>
      </c>
      <c r="G22" s="132"/>
      <c r="H22" s="155">
        <v>1235286</v>
      </c>
      <c r="I22" s="19"/>
      <c r="J22" s="155">
        <f t="shared" si="1"/>
        <v>3612738</v>
      </c>
      <c r="K22" s="19"/>
      <c r="L22" s="150"/>
    </row>
    <row r="23" spans="1:12">
      <c r="A23" s="118">
        <f t="shared" si="0"/>
        <v>15</v>
      </c>
      <c r="B23" s="154" t="s">
        <v>76</v>
      </c>
      <c r="D23" s="118" t="s">
        <v>77</v>
      </c>
      <c r="F23" s="155">
        <v>4001</v>
      </c>
      <c r="G23" s="132"/>
      <c r="H23" s="155">
        <v>18814</v>
      </c>
      <c r="I23" s="19"/>
      <c r="J23" s="155">
        <f t="shared" si="1"/>
        <v>22815</v>
      </c>
      <c r="K23" s="19"/>
      <c r="L23" s="150"/>
    </row>
    <row r="24" spans="1:12">
      <c r="A24" s="118">
        <f t="shared" si="0"/>
        <v>16</v>
      </c>
      <c r="B24" s="118">
        <v>565</v>
      </c>
      <c r="D24" s="118" t="s">
        <v>193</v>
      </c>
      <c r="F24" s="155">
        <v>125156287</v>
      </c>
      <c r="G24" s="132"/>
      <c r="H24" s="155">
        <v>0</v>
      </c>
      <c r="I24" s="19"/>
      <c r="J24" s="155">
        <f t="shared" si="1"/>
        <v>125156287</v>
      </c>
      <c r="K24" s="19"/>
      <c r="L24" s="150"/>
    </row>
    <row r="25" spans="1:12">
      <c r="A25" s="118">
        <f t="shared" si="0"/>
        <v>17</v>
      </c>
      <c r="B25" s="118">
        <v>566</v>
      </c>
      <c r="D25" s="118" t="s">
        <v>127</v>
      </c>
      <c r="F25" s="155">
        <v>71718773</v>
      </c>
      <c r="G25" s="132"/>
      <c r="H25" s="155">
        <v>37372409</v>
      </c>
      <c r="I25" s="19"/>
      <c r="J25" s="155">
        <f t="shared" si="1"/>
        <v>109091182</v>
      </c>
      <c r="K25" s="19"/>
      <c r="L25" s="150"/>
    </row>
    <row r="26" spans="1:12">
      <c r="A26" s="118">
        <f t="shared" si="0"/>
        <v>18</v>
      </c>
      <c r="B26" s="118">
        <v>567</v>
      </c>
      <c r="D26" s="118" t="s">
        <v>31</v>
      </c>
      <c r="F26" s="155">
        <v>2219542</v>
      </c>
      <c r="G26" s="132"/>
      <c r="H26" s="155">
        <v>553968</v>
      </c>
      <c r="I26" s="19"/>
      <c r="J26" s="155">
        <f t="shared" si="1"/>
        <v>2773510</v>
      </c>
      <c r="K26" s="19"/>
      <c r="L26" s="150"/>
    </row>
    <row r="27" spans="1:12">
      <c r="A27" s="118">
        <f t="shared" si="0"/>
        <v>19</v>
      </c>
      <c r="D27" s="118" t="s">
        <v>141</v>
      </c>
      <c r="F27" s="156">
        <f>SUM(F11:F26)</f>
        <v>228485422</v>
      </c>
      <c r="G27" s="153"/>
      <c r="H27" s="156">
        <f>SUM(H11:H26)</f>
        <v>43149408</v>
      </c>
      <c r="I27" s="21"/>
      <c r="J27" s="156">
        <f>SUM(J11:J26)</f>
        <v>271634830</v>
      </c>
      <c r="K27" s="19"/>
      <c r="L27" s="150"/>
    </row>
    <row r="28" spans="1:12" ht="3.75" customHeight="1">
      <c r="F28" s="155"/>
      <c r="G28" s="132"/>
      <c r="H28" s="155"/>
      <c r="I28" s="19"/>
      <c r="J28" s="155"/>
      <c r="K28" s="19"/>
      <c r="L28" s="150"/>
    </row>
    <row r="29" spans="1:12">
      <c r="A29" s="118">
        <f>A27+1</f>
        <v>20</v>
      </c>
      <c r="D29" s="138" t="s">
        <v>142</v>
      </c>
      <c r="F29" s="155"/>
      <c r="G29" s="132"/>
      <c r="H29" s="155"/>
      <c r="I29" s="19"/>
      <c r="J29" s="155"/>
      <c r="K29" s="19"/>
      <c r="L29" s="150"/>
    </row>
    <row r="30" spans="1:12">
      <c r="A30" s="118">
        <f t="shared" si="0"/>
        <v>21</v>
      </c>
      <c r="B30" s="118">
        <v>568</v>
      </c>
      <c r="D30" s="118" t="s">
        <v>167</v>
      </c>
      <c r="F30" s="152">
        <v>169705</v>
      </c>
      <c r="G30" s="153"/>
      <c r="H30" s="152">
        <v>45386</v>
      </c>
      <c r="I30" s="21"/>
      <c r="J30" s="152">
        <f t="shared" ref="J30:J39" si="2">SUM(F30:I30)</f>
        <v>215091</v>
      </c>
      <c r="K30" s="19"/>
      <c r="L30" s="150"/>
    </row>
    <row r="31" spans="1:12">
      <c r="A31" s="118">
        <f t="shared" si="0"/>
        <v>22</v>
      </c>
      <c r="B31" s="118">
        <v>569</v>
      </c>
      <c r="D31" s="118" t="s">
        <v>27</v>
      </c>
      <c r="F31" s="155">
        <v>0</v>
      </c>
      <c r="G31" s="132"/>
      <c r="H31" s="155">
        <v>0</v>
      </c>
      <c r="I31" s="19"/>
      <c r="J31" s="155">
        <f t="shared" si="2"/>
        <v>0</v>
      </c>
      <c r="K31" s="19"/>
      <c r="L31" s="150"/>
    </row>
    <row r="32" spans="1:12">
      <c r="A32" s="118">
        <f t="shared" si="0"/>
        <v>23</v>
      </c>
      <c r="B32" s="154" t="s">
        <v>78</v>
      </c>
      <c r="D32" s="118" t="s">
        <v>79</v>
      </c>
      <c r="F32" s="155">
        <v>0</v>
      </c>
      <c r="G32" s="132"/>
      <c r="H32" s="155">
        <v>0</v>
      </c>
      <c r="I32" s="19"/>
      <c r="J32" s="155">
        <f t="shared" si="2"/>
        <v>0</v>
      </c>
      <c r="K32" s="19"/>
      <c r="L32" s="150"/>
    </row>
    <row r="33" spans="1:12">
      <c r="A33" s="118">
        <f t="shared" si="0"/>
        <v>24</v>
      </c>
      <c r="B33" s="154" t="s">
        <v>80</v>
      </c>
      <c r="D33" s="118" t="s">
        <v>126</v>
      </c>
      <c r="F33" s="155">
        <v>0</v>
      </c>
      <c r="G33" s="132"/>
      <c r="H33" s="155">
        <v>0</v>
      </c>
      <c r="I33" s="19"/>
      <c r="J33" s="155">
        <f t="shared" si="2"/>
        <v>0</v>
      </c>
      <c r="K33" s="19"/>
      <c r="L33" s="150"/>
    </row>
    <row r="34" spans="1:12" ht="13.5" customHeight="1">
      <c r="A34" s="118">
        <f t="shared" si="0"/>
        <v>25</v>
      </c>
      <c r="B34" s="154" t="s">
        <v>81</v>
      </c>
      <c r="D34" s="118" t="s">
        <v>131</v>
      </c>
      <c r="F34" s="155">
        <v>0</v>
      </c>
      <c r="G34" s="132"/>
      <c r="H34" s="155">
        <v>0</v>
      </c>
      <c r="I34" s="19"/>
      <c r="J34" s="155">
        <f t="shared" si="2"/>
        <v>0</v>
      </c>
      <c r="K34" s="19"/>
      <c r="L34" s="150"/>
    </row>
    <row r="35" spans="1:12">
      <c r="A35" s="118">
        <f t="shared" si="0"/>
        <v>26</v>
      </c>
      <c r="B35" s="154" t="s">
        <v>82</v>
      </c>
      <c r="D35" s="118" t="s">
        <v>83</v>
      </c>
      <c r="F35" s="155">
        <v>0</v>
      </c>
      <c r="G35" s="132"/>
      <c r="H35" s="155">
        <v>0</v>
      </c>
      <c r="I35" s="19"/>
      <c r="J35" s="155">
        <f t="shared" si="2"/>
        <v>0</v>
      </c>
      <c r="K35" s="19"/>
      <c r="L35" s="150"/>
    </row>
    <row r="36" spans="1:12">
      <c r="A36" s="118">
        <f t="shared" si="0"/>
        <v>27</v>
      </c>
      <c r="B36" s="118">
        <v>570</v>
      </c>
      <c r="D36" s="118" t="s">
        <v>162</v>
      </c>
      <c r="F36" s="155">
        <v>7232671</v>
      </c>
      <c r="G36" s="132"/>
      <c r="H36" s="155">
        <v>1581741</v>
      </c>
      <c r="I36" s="19"/>
      <c r="J36" s="155">
        <f t="shared" si="2"/>
        <v>8814412</v>
      </c>
      <c r="K36" s="19"/>
      <c r="L36" s="150"/>
    </row>
    <row r="37" spans="1:12">
      <c r="A37" s="118">
        <f t="shared" si="0"/>
        <v>28</v>
      </c>
      <c r="B37" s="118">
        <v>571</v>
      </c>
      <c r="D37" s="118" t="s">
        <v>30</v>
      </c>
      <c r="F37" s="155">
        <v>8443209</v>
      </c>
      <c r="G37" s="132"/>
      <c r="H37" s="155">
        <v>2275422</v>
      </c>
      <c r="I37" s="19"/>
      <c r="J37" s="155">
        <f t="shared" si="2"/>
        <v>10718631</v>
      </c>
      <c r="K37" s="19"/>
      <c r="L37" s="150"/>
    </row>
    <row r="38" spans="1:12">
      <c r="A38" s="118">
        <f t="shared" si="0"/>
        <v>29</v>
      </c>
      <c r="B38" s="118">
        <v>572</v>
      </c>
      <c r="D38" s="118" t="s">
        <v>32</v>
      </c>
      <c r="F38" s="155">
        <v>7215</v>
      </c>
      <c r="G38" s="132"/>
      <c r="H38" s="155">
        <v>3064</v>
      </c>
      <c r="I38" s="19"/>
      <c r="J38" s="155">
        <f t="shared" si="2"/>
        <v>10279</v>
      </c>
      <c r="K38" s="19"/>
      <c r="L38" s="150"/>
    </row>
    <row r="39" spans="1:12">
      <c r="A39" s="118">
        <f t="shared" si="0"/>
        <v>30</v>
      </c>
      <c r="B39" s="118">
        <v>573</v>
      </c>
      <c r="D39" s="118" t="s">
        <v>128</v>
      </c>
      <c r="F39" s="157">
        <v>2198</v>
      </c>
      <c r="G39" s="132"/>
      <c r="H39" s="157">
        <v>8568</v>
      </c>
      <c r="I39" s="132"/>
      <c r="J39" s="158">
        <f t="shared" si="2"/>
        <v>10766</v>
      </c>
      <c r="K39" s="19"/>
      <c r="L39" s="150"/>
    </row>
    <row r="40" spans="1:12">
      <c r="A40" s="118">
        <f t="shared" si="0"/>
        <v>31</v>
      </c>
      <c r="D40" s="118" t="s">
        <v>143</v>
      </c>
      <c r="F40" s="156">
        <f>SUM(F30:F39)</f>
        <v>15854998</v>
      </c>
      <c r="G40" s="132"/>
      <c r="H40" s="156">
        <f>SUM(H30:H39)</f>
        <v>3914181</v>
      </c>
      <c r="I40" s="132"/>
      <c r="J40" s="156">
        <f>SUM(J30:J39)</f>
        <v>19769179</v>
      </c>
      <c r="K40" s="19"/>
      <c r="L40" s="150"/>
    </row>
    <row r="41" spans="1:12" ht="3.75" customHeight="1">
      <c r="F41" s="155"/>
      <c r="G41" s="132"/>
      <c r="H41" s="155"/>
      <c r="I41" s="19"/>
      <c r="J41" s="155"/>
      <c r="K41" s="19"/>
      <c r="L41" s="150"/>
    </row>
    <row r="42" spans="1:12" ht="13.5" thickBot="1">
      <c r="A42" s="118">
        <f>A40+1</f>
        <v>32</v>
      </c>
      <c r="D42" s="118" t="s">
        <v>284</v>
      </c>
      <c r="F42" s="159">
        <f>F27+F40</f>
        <v>244340420</v>
      </c>
      <c r="G42" s="153"/>
      <c r="H42" s="159">
        <f>H27+H40</f>
        <v>47063589</v>
      </c>
      <c r="I42" s="21"/>
      <c r="J42" s="159">
        <f>J27+J40</f>
        <v>291404009</v>
      </c>
      <c r="K42" s="19"/>
      <c r="L42" s="150"/>
    </row>
    <row r="43" spans="1:12" ht="3.75" customHeight="1" thickTop="1">
      <c r="D43" s="118"/>
      <c r="F43" s="24"/>
      <c r="G43" s="153"/>
      <c r="H43" s="24"/>
      <c r="I43" s="21"/>
      <c r="J43" s="24"/>
      <c r="K43" s="19"/>
      <c r="L43" s="150"/>
    </row>
    <row r="44" spans="1:12">
      <c r="A44" s="118">
        <f>A42+1</f>
        <v>33</v>
      </c>
      <c r="D44" s="118" t="s">
        <v>353</v>
      </c>
      <c r="F44" s="152"/>
      <c r="G44" s="153"/>
      <c r="H44" s="152"/>
      <c r="I44" s="21"/>
      <c r="J44" s="152"/>
      <c r="K44" s="19"/>
      <c r="L44" s="150"/>
    </row>
    <row r="45" spans="1:12">
      <c r="A45" s="118">
        <f t="shared" si="0"/>
        <v>34</v>
      </c>
      <c r="D45" s="118" t="s">
        <v>354</v>
      </c>
      <c r="F45" s="152">
        <v>68398469</v>
      </c>
      <c r="G45" s="153"/>
      <c r="H45" s="152">
        <v>36789427</v>
      </c>
      <c r="I45" s="21"/>
      <c r="J45" s="152">
        <f>F45+H45</f>
        <v>105187896</v>
      </c>
      <c r="K45" s="19"/>
      <c r="L45" s="150"/>
    </row>
    <row r="46" spans="1:12" ht="13.5" thickBot="1">
      <c r="A46" s="118">
        <f t="shared" si="0"/>
        <v>35</v>
      </c>
      <c r="D46" s="118" t="s">
        <v>210</v>
      </c>
      <c r="F46" s="160">
        <f>F42-F45</f>
        <v>175941951</v>
      </c>
      <c r="G46" s="153"/>
      <c r="H46" s="160">
        <f>H42-H45</f>
        <v>10274162</v>
      </c>
      <c r="I46" s="21"/>
      <c r="J46" s="160">
        <f>J42-J45</f>
        <v>186216113</v>
      </c>
      <c r="K46" s="19"/>
      <c r="L46" s="150"/>
    </row>
    <row r="47" spans="1:12" ht="13.5" thickTop="1">
      <c r="A47" s="118">
        <f t="shared" si="0"/>
        <v>36</v>
      </c>
      <c r="D47" s="118" t="s">
        <v>235</v>
      </c>
      <c r="F47" s="152"/>
      <c r="G47" s="153"/>
      <c r="H47" s="152"/>
      <c r="I47" s="21"/>
      <c r="J47" s="152"/>
      <c r="K47" s="19"/>
      <c r="L47" s="150"/>
    </row>
    <row r="48" spans="1:12">
      <c r="A48" s="118">
        <f t="shared" si="0"/>
        <v>37</v>
      </c>
      <c r="D48" s="118" t="s">
        <v>351</v>
      </c>
      <c r="F48" s="152">
        <f>F16</f>
        <v>6498442</v>
      </c>
      <c r="G48" s="153"/>
      <c r="H48" s="152">
        <f>+H16</f>
        <v>0</v>
      </c>
      <c r="I48" s="21"/>
      <c r="J48" s="152">
        <f>F48+H48</f>
        <v>6498442</v>
      </c>
      <c r="K48" s="19"/>
      <c r="L48" s="150"/>
    </row>
    <row r="49" spans="1:12">
      <c r="A49" s="118">
        <f t="shared" si="0"/>
        <v>38</v>
      </c>
      <c r="D49" s="118" t="s">
        <v>352</v>
      </c>
      <c r="F49" s="157">
        <f>F20</f>
        <v>2629000</v>
      </c>
      <c r="G49" s="132"/>
      <c r="H49" s="157">
        <f>H20</f>
        <v>0</v>
      </c>
      <c r="I49" s="132"/>
      <c r="J49" s="161">
        <f>F49+H49</f>
        <v>2629000</v>
      </c>
      <c r="K49" s="19"/>
      <c r="L49" s="150"/>
    </row>
    <row r="50" spans="1:12">
      <c r="A50" s="118">
        <f t="shared" si="0"/>
        <v>39</v>
      </c>
      <c r="D50" s="118"/>
      <c r="F50" s="155">
        <f>SUM(F48:F49)</f>
        <v>9127442</v>
      </c>
      <c r="G50" s="132"/>
      <c r="H50" s="155">
        <f>SUM(H48:H49)</f>
        <v>0</v>
      </c>
      <c r="I50" s="19"/>
      <c r="J50" s="155">
        <f>SUM(J48:J49)</f>
        <v>9127442</v>
      </c>
      <c r="K50" s="19"/>
      <c r="L50" s="150"/>
    </row>
    <row r="51" spans="1:12" ht="4.5" customHeight="1">
      <c r="D51" s="118"/>
      <c r="F51" s="155"/>
      <c r="G51" s="132"/>
      <c r="H51" s="155"/>
      <c r="I51" s="19"/>
      <c r="J51" s="152"/>
      <c r="K51" s="19"/>
      <c r="L51" s="150"/>
    </row>
    <row r="52" spans="1:12">
      <c r="A52" s="118">
        <f>A50+1</f>
        <v>40</v>
      </c>
      <c r="D52" s="118" t="s">
        <v>84</v>
      </c>
      <c r="F52" s="157">
        <f>F24</f>
        <v>125156287</v>
      </c>
      <c r="G52" s="132"/>
      <c r="H52" s="157">
        <f>+H24</f>
        <v>0</v>
      </c>
      <c r="I52" s="19"/>
      <c r="J52" s="161">
        <f>F52+H52</f>
        <v>125156287</v>
      </c>
      <c r="K52" s="19"/>
      <c r="L52" s="150"/>
    </row>
    <row r="53" spans="1:12" ht="4.5" customHeight="1">
      <c r="D53" s="118"/>
      <c r="F53" s="24"/>
      <c r="G53" s="153"/>
      <c r="H53" s="24"/>
      <c r="I53" s="21"/>
      <c r="J53" s="24"/>
      <c r="K53" s="19"/>
      <c r="L53" s="150"/>
    </row>
    <row r="54" spans="1:12" ht="13.5" thickBot="1">
      <c r="A54" s="118">
        <f>A52+1</f>
        <v>41</v>
      </c>
      <c r="D54" s="118" t="s">
        <v>85</v>
      </c>
      <c r="F54" s="160">
        <f>F46-F50-F52</f>
        <v>41658222</v>
      </c>
      <c r="G54" s="153"/>
      <c r="H54" s="160">
        <f>H46-H50-H52</f>
        <v>10274162</v>
      </c>
      <c r="I54" s="21"/>
      <c r="J54" s="160">
        <f>J46-J50-J52</f>
        <v>51932384</v>
      </c>
      <c r="K54" s="19"/>
      <c r="L54" s="150"/>
    </row>
    <row r="55" spans="1:12" ht="9" customHeight="1" thickTop="1">
      <c r="D55" s="118"/>
      <c r="F55" s="24"/>
      <c r="G55" s="153"/>
      <c r="H55" s="24"/>
      <c r="I55" s="21"/>
      <c r="J55" s="24"/>
      <c r="K55" s="19"/>
      <c r="L55" s="150"/>
    </row>
    <row r="56" spans="1:12">
      <c r="A56" s="120" t="s">
        <v>174</v>
      </c>
      <c r="B56" s="120" t="s">
        <v>355</v>
      </c>
      <c r="C56" s="139"/>
      <c r="D56" s="139"/>
      <c r="E56" s="144"/>
      <c r="F56" s="120"/>
      <c r="G56" s="121"/>
      <c r="H56" s="120"/>
      <c r="I56" s="120"/>
      <c r="J56" s="120" t="s">
        <v>151</v>
      </c>
      <c r="K56" s="148"/>
      <c r="L56" s="150"/>
    </row>
    <row r="57" spans="1:12">
      <c r="A57" s="124" t="s">
        <v>150</v>
      </c>
      <c r="B57" s="124" t="s">
        <v>150</v>
      </c>
      <c r="C57" s="115" t="s">
        <v>170</v>
      </c>
      <c r="D57" s="122" t="s">
        <v>160</v>
      </c>
      <c r="E57" s="144"/>
      <c r="F57" s="124" t="s">
        <v>57</v>
      </c>
      <c r="G57" s="121"/>
      <c r="H57" s="125" t="s">
        <v>58</v>
      </c>
      <c r="I57" s="120"/>
      <c r="J57" s="125" t="s">
        <v>59</v>
      </c>
      <c r="K57" s="148"/>
      <c r="L57" s="150"/>
    </row>
    <row r="58" spans="1:12" ht="6" customHeight="1">
      <c r="F58" s="162"/>
      <c r="H58" s="19"/>
      <c r="K58" s="148"/>
      <c r="L58" s="150"/>
    </row>
    <row r="59" spans="1:12">
      <c r="A59" s="118">
        <v>1</v>
      </c>
      <c r="D59" s="151" t="s">
        <v>161</v>
      </c>
      <c r="F59" s="162"/>
      <c r="H59" s="19"/>
      <c r="K59" s="148"/>
      <c r="L59" s="150"/>
    </row>
    <row r="60" spans="1:12">
      <c r="A60" s="118">
        <f t="shared" ref="A60:A87" si="3">+A59+1</f>
        <v>2</v>
      </c>
      <c r="D60" s="138" t="s">
        <v>171</v>
      </c>
      <c r="F60" s="162"/>
      <c r="H60" s="19"/>
      <c r="K60" s="148"/>
      <c r="L60" s="150"/>
    </row>
    <row r="61" spans="1:12">
      <c r="A61" s="118">
        <f t="shared" si="3"/>
        <v>3</v>
      </c>
      <c r="B61" s="118">
        <v>920</v>
      </c>
      <c r="D61" s="118" t="s">
        <v>145</v>
      </c>
      <c r="F61" s="152">
        <v>62253657</v>
      </c>
      <c r="G61" s="153"/>
      <c r="H61" s="152">
        <v>10601570</v>
      </c>
      <c r="I61" s="21"/>
      <c r="J61" s="152">
        <f>SUM(F61:I61)</f>
        <v>72855227</v>
      </c>
      <c r="K61" s="155"/>
      <c r="L61" s="150"/>
    </row>
    <row r="62" spans="1:12">
      <c r="A62" s="118">
        <f t="shared" si="3"/>
        <v>4</v>
      </c>
      <c r="B62" s="118">
        <v>921</v>
      </c>
      <c r="D62" s="118" t="s">
        <v>146</v>
      </c>
      <c r="F62" s="155">
        <v>50411953</v>
      </c>
      <c r="G62" s="132"/>
      <c r="H62" s="155">
        <v>7223013</v>
      </c>
      <c r="I62" s="19"/>
      <c r="J62" s="155">
        <f>SUM(F62:I62)</f>
        <v>57634966</v>
      </c>
      <c r="K62" s="19"/>
      <c r="L62" s="150"/>
    </row>
    <row r="63" spans="1:12">
      <c r="A63" s="118">
        <f t="shared" si="3"/>
        <v>5</v>
      </c>
      <c r="B63" s="118">
        <v>922</v>
      </c>
      <c r="D63" s="118" t="s">
        <v>147</v>
      </c>
      <c r="F63" s="155">
        <v>-27075633</v>
      </c>
      <c r="G63" s="132"/>
      <c r="H63" s="155">
        <v>-3121529</v>
      </c>
      <c r="I63" s="19"/>
      <c r="J63" s="155">
        <f t="shared" ref="J63:J74" si="4">SUM(F63:I63)</f>
        <v>-30197162</v>
      </c>
      <c r="K63" s="19"/>
      <c r="L63" s="150"/>
    </row>
    <row r="64" spans="1:12">
      <c r="A64" s="118">
        <f t="shared" si="3"/>
        <v>6</v>
      </c>
      <c r="B64" s="118">
        <v>923</v>
      </c>
      <c r="D64" s="118" t="s">
        <v>148</v>
      </c>
      <c r="F64" s="155">
        <v>19911849</v>
      </c>
      <c r="G64" s="132"/>
      <c r="H64" s="155">
        <v>2311116</v>
      </c>
      <c r="I64" s="19"/>
      <c r="J64" s="155">
        <f t="shared" si="4"/>
        <v>22222965</v>
      </c>
      <c r="K64" s="19"/>
      <c r="L64" s="19"/>
    </row>
    <row r="65" spans="1:12">
      <c r="A65" s="118">
        <f t="shared" si="3"/>
        <v>7</v>
      </c>
      <c r="B65" s="118">
        <v>924</v>
      </c>
      <c r="D65" s="118" t="s">
        <v>130</v>
      </c>
      <c r="F65" s="155">
        <v>9580526</v>
      </c>
      <c r="G65" s="132"/>
      <c r="H65" s="155">
        <v>1360648</v>
      </c>
      <c r="I65" s="19"/>
      <c r="J65" s="155">
        <f t="shared" si="4"/>
        <v>10941174</v>
      </c>
      <c r="K65" s="19"/>
      <c r="L65" s="19"/>
    </row>
    <row r="66" spans="1:12">
      <c r="A66" s="118">
        <f t="shared" si="3"/>
        <v>8</v>
      </c>
      <c r="B66" s="118">
        <v>925</v>
      </c>
      <c r="D66" s="118" t="s">
        <v>186</v>
      </c>
      <c r="F66" s="155">
        <v>15077824</v>
      </c>
      <c r="G66" s="132"/>
      <c r="H66" s="155">
        <v>1742857</v>
      </c>
      <c r="I66" s="19"/>
      <c r="J66" s="155">
        <f t="shared" si="4"/>
        <v>16820681</v>
      </c>
      <c r="K66" s="19"/>
      <c r="L66" s="19"/>
    </row>
    <row r="67" spans="1:12">
      <c r="A67" s="118">
        <f t="shared" si="3"/>
        <v>9</v>
      </c>
      <c r="B67" s="118">
        <v>926</v>
      </c>
      <c r="D67" s="118" t="s">
        <v>187</v>
      </c>
      <c r="F67" s="155">
        <v>83339100</v>
      </c>
      <c r="G67" s="132"/>
      <c r="H67" s="155">
        <v>15864018</v>
      </c>
      <c r="I67" s="19"/>
      <c r="J67" s="155">
        <f t="shared" si="4"/>
        <v>99203118</v>
      </c>
      <c r="K67" s="19"/>
      <c r="L67" s="19"/>
    </row>
    <row r="68" spans="1:12">
      <c r="A68" s="118">
        <f t="shared" si="3"/>
        <v>10</v>
      </c>
      <c r="B68" s="118">
        <v>928</v>
      </c>
      <c r="D68" s="118" t="s">
        <v>164</v>
      </c>
      <c r="F68" s="155">
        <v>40019</v>
      </c>
      <c r="G68" s="132"/>
      <c r="H68" s="155">
        <v>0</v>
      </c>
      <c r="I68" s="19"/>
      <c r="J68" s="155">
        <f t="shared" si="4"/>
        <v>40019</v>
      </c>
      <c r="K68" s="19"/>
      <c r="L68" s="19"/>
    </row>
    <row r="69" spans="1:12">
      <c r="A69" s="118">
        <f t="shared" si="3"/>
        <v>11</v>
      </c>
      <c r="B69" s="118">
        <v>928</v>
      </c>
      <c r="D69" s="118" t="s">
        <v>86</v>
      </c>
      <c r="F69" s="155">
        <f>16005202-F68-F70</f>
        <v>15920185</v>
      </c>
      <c r="G69" s="132"/>
      <c r="H69" s="155">
        <f>1303944-H68-H70</f>
        <v>1303944</v>
      </c>
      <c r="I69" s="19"/>
      <c r="J69" s="155">
        <f t="shared" si="4"/>
        <v>17224129</v>
      </c>
      <c r="K69" s="19"/>
      <c r="L69" s="19"/>
    </row>
    <row r="70" spans="1:12">
      <c r="A70" s="118">
        <f t="shared" si="3"/>
        <v>12</v>
      </c>
      <c r="B70" s="118">
        <v>928</v>
      </c>
      <c r="D70" s="118" t="s">
        <v>87</v>
      </c>
      <c r="F70" s="155">
        <v>44998</v>
      </c>
      <c r="G70" s="132"/>
      <c r="H70" s="155">
        <v>0</v>
      </c>
      <c r="I70" s="19"/>
      <c r="J70" s="155">
        <f t="shared" si="4"/>
        <v>44998</v>
      </c>
      <c r="K70" s="19"/>
      <c r="L70" s="19"/>
    </row>
    <row r="71" spans="1:12">
      <c r="A71" s="118">
        <f t="shared" si="3"/>
        <v>13</v>
      </c>
      <c r="B71" s="118">
        <v>929</v>
      </c>
      <c r="D71" s="118" t="s">
        <v>188</v>
      </c>
      <c r="F71" s="155">
        <v>-3991631</v>
      </c>
      <c r="G71" s="132"/>
      <c r="H71" s="155">
        <v>-628872</v>
      </c>
      <c r="I71" s="19"/>
      <c r="J71" s="155">
        <f t="shared" si="4"/>
        <v>-4620503</v>
      </c>
      <c r="K71" s="19"/>
      <c r="L71" s="19"/>
    </row>
    <row r="72" spans="1:12">
      <c r="A72" s="118">
        <f t="shared" si="3"/>
        <v>14</v>
      </c>
      <c r="B72" s="118">
        <v>930.1</v>
      </c>
      <c r="D72" s="113" t="s">
        <v>88</v>
      </c>
      <c r="F72" s="155">
        <v>3535056</v>
      </c>
      <c r="G72" s="132"/>
      <c r="H72" s="155">
        <v>584326</v>
      </c>
      <c r="I72" s="19"/>
      <c r="J72" s="155">
        <f t="shared" si="4"/>
        <v>4119382</v>
      </c>
      <c r="K72" s="19"/>
      <c r="L72" s="19"/>
    </row>
    <row r="73" spans="1:12">
      <c r="A73" s="118">
        <f t="shared" si="3"/>
        <v>15</v>
      </c>
      <c r="B73" s="118">
        <v>930.2</v>
      </c>
      <c r="D73" s="118" t="s">
        <v>89</v>
      </c>
      <c r="F73" s="155">
        <v>2934683</v>
      </c>
      <c r="G73" s="132"/>
      <c r="H73" s="155">
        <v>474464</v>
      </c>
      <c r="I73" s="19"/>
      <c r="J73" s="155">
        <f t="shared" si="4"/>
        <v>3409147</v>
      </c>
      <c r="K73" s="19"/>
      <c r="L73" s="19"/>
    </row>
    <row r="74" spans="1:12">
      <c r="A74" s="118">
        <f t="shared" si="3"/>
        <v>16</v>
      </c>
      <c r="B74" s="118">
        <v>931</v>
      </c>
      <c r="D74" s="118" t="s">
        <v>31</v>
      </c>
      <c r="F74" s="155">
        <v>22035880</v>
      </c>
      <c r="G74" s="132"/>
      <c r="H74" s="155">
        <v>3779806</v>
      </c>
      <c r="I74" s="19"/>
      <c r="J74" s="155">
        <f t="shared" si="4"/>
        <v>25815686</v>
      </c>
      <c r="K74" s="19"/>
      <c r="L74" s="19"/>
    </row>
    <row r="75" spans="1:12">
      <c r="A75" s="118">
        <f t="shared" si="3"/>
        <v>17</v>
      </c>
      <c r="D75" s="118" t="s">
        <v>141</v>
      </c>
      <c r="F75" s="156">
        <f>SUM(F61:F74)</f>
        <v>254018466</v>
      </c>
      <c r="G75" s="132"/>
      <c r="H75" s="156">
        <f>SUM(H61:H74)</f>
        <v>41495361</v>
      </c>
      <c r="I75" s="19"/>
      <c r="J75" s="156">
        <f>SUM(J61:J74)</f>
        <v>295513827</v>
      </c>
      <c r="K75" s="19"/>
      <c r="L75" s="19"/>
    </row>
    <row r="76" spans="1:12" ht="4.5" customHeight="1">
      <c r="F76" s="155"/>
      <c r="G76" s="132"/>
      <c r="H76" s="155"/>
      <c r="I76" s="19"/>
      <c r="J76" s="155"/>
      <c r="K76" s="19"/>
      <c r="L76" s="19"/>
    </row>
    <row r="77" spans="1:12">
      <c r="A77" s="118">
        <f>A75+1</f>
        <v>18</v>
      </c>
      <c r="D77" s="138" t="s">
        <v>142</v>
      </c>
      <c r="F77" s="155"/>
      <c r="G77" s="132"/>
      <c r="H77" s="155"/>
      <c r="I77" s="19"/>
      <c r="J77" s="155"/>
      <c r="K77" s="19"/>
      <c r="L77" s="19"/>
    </row>
    <row r="78" spans="1:12">
      <c r="A78" s="118">
        <f t="shared" si="3"/>
        <v>19</v>
      </c>
      <c r="B78" s="118">
        <v>935</v>
      </c>
      <c r="D78" s="118" t="s">
        <v>189</v>
      </c>
      <c r="F78" s="161">
        <v>694264</v>
      </c>
      <c r="G78" s="153"/>
      <c r="H78" s="161">
        <v>108087</v>
      </c>
      <c r="I78" s="21"/>
      <c r="J78" s="157">
        <f>SUM(F78:I78)</f>
        <v>802351</v>
      </c>
      <c r="K78" s="19"/>
      <c r="L78" s="19"/>
    </row>
    <row r="79" spans="1:12">
      <c r="F79" s="155"/>
      <c r="G79" s="132"/>
      <c r="H79" s="155"/>
      <c r="I79" s="19"/>
      <c r="J79" s="155"/>
      <c r="K79" s="19"/>
      <c r="L79" s="19"/>
    </row>
    <row r="80" spans="1:12" ht="13.5" thickBot="1">
      <c r="A80" s="118">
        <f>A78+1</f>
        <v>20</v>
      </c>
      <c r="D80" s="118" t="s">
        <v>192</v>
      </c>
      <c r="F80" s="159">
        <f>SUM(F75:F78)</f>
        <v>254712730</v>
      </c>
      <c r="G80" s="153"/>
      <c r="H80" s="159">
        <f>SUM(H75:H78)</f>
        <v>41603448</v>
      </c>
      <c r="I80" s="21"/>
      <c r="J80" s="159">
        <f>SUM(J75:J78)</f>
        <v>296316178</v>
      </c>
      <c r="K80" s="19"/>
      <c r="L80" s="19"/>
    </row>
    <row r="81" spans="1:12" ht="4.5" customHeight="1" thickTop="1">
      <c r="D81" s="118"/>
      <c r="F81" s="155"/>
      <c r="G81" s="132"/>
      <c r="H81" s="155"/>
      <c r="I81" s="19"/>
      <c r="J81" s="155"/>
      <c r="K81" s="19"/>
      <c r="L81" s="19"/>
    </row>
    <row r="82" spans="1:12">
      <c r="A82" s="118">
        <f>A80+1</f>
        <v>21</v>
      </c>
      <c r="C82" s="163"/>
      <c r="D82" s="118" t="s">
        <v>347</v>
      </c>
      <c r="F82" s="155">
        <f>+F68</f>
        <v>40019</v>
      </c>
      <c r="G82" s="132"/>
      <c r="H82" s="155">
        <f>+H68</f>
        <v>0</v>
      </c>
      <c r="I82" s="19"/>
      <c r="J82" s="155">
        <f>+J68</f>
        <v>40019</v>
      </c>
      <c r="K82" s="19"/>
      <c r="L82" s="19"/>
    </row>
    <row r="83" spans="1:12" ht="4.5" customHeight="1">
      <c r="C83" s="163"/>
      <c r="D83" s="118"/>
      <c r="F83" s="155"/>
      <c r="G83" s="132"/>
      <c r="H83" s="155"/>
      <c r="I83" s="19"/>
      <c r="J83" s="155"/>
      <c r="K83" s="19"/>
      <c r="L83" s="19"/>
    </row>
    <row r="84" spans="1:12">
      <c r="A84" s="118">
        <f>A82+1</f>
        <v>22</v>
      </c>
      <c r="D84" s="118" t="s">
        <v>348</v>
      </c>
      <c r="F84" s="155">
        <f>22010+346544</f>
        <v>368554</v>
      </c>
      <c r="G84" s="132"/>
      <c r="H84" s="155">
        <v>52813</v>
      </c>
      <c r="I84" s="19"/>
      <c r="J84" s="155">
        <f>F84+H84</f>
        <v>421367</v>
      </c>
      <c r="K84" s="19"/>
      <c r="L84" s="19"/>
    </row>
    <row r="85" spans="1:12">
      <c r="A85" s="118">
        <f t="shared" si="3"/>
        <v>23</v>
      </c>
      <c r="C85" s="7"/>
      <c r="D85" s="118" t="s">
        <v>349</v>
      </c>
      <c r="E85" s="7"/>
      <c r="F85" s="53">
        <f>F69+F70</f>
        <v>15965183</v>
      </c>
      <c r="G85" s="7"/>
      <c r="H85" s="53">
        <f>+H69</f>
        <v>1303944</v>
      </c>
      <c r="I85" s="7"/>
      <c r="J85" s="53">
        <f>+J69+J70</f>
        <v>17269127</v>
      </c>
      <c r="K85" s="19"/>
      <c r="L85" s="19"/>
    </row>
    <row r="86" spans="1:12">
      <c r="A86" s="118">
        <f t="shared" si="3"/>
        <v>24</v>
      </c>
      <c r="C86" s="7"/>
      <c r="D86" s="118" t="s">
        <v>350</v>
      </c>
      <c r="E86" s="7"/>
      <c r="F86" s="54">
        <f>+F72</f>
        <v>3535056</v>
      </c>
      <c r="G86" s="7"/>
      <c r="H86" s="54">
        <f>+H72</f>
        <v>584326</v>
      </c>
      <c r="I86" s="7"/>
      <c r="J86" s="54">
        <f>+J72</f>
        <v>4119382</v>
      </c>
    </row>
    <row r="87" spans="1:12">
      <c r="A87" s="118">
        <f t="shared" si="3"/>
        <v>25</v>
      </c>
      <c r="C87" s="7"/>
      <c r="D87" s="118"/>
      <c r="E87" s="7"/>
      <c r="F87" s="55">
        <f>SUM(F84:F86)</f>
        <v>19868793</v>
      </c>
      <c r="G87" s="7"/>
      <c r="H87" s="55">
        <f>SUM(H84:H86)</f>
        <v>1941083</v>
      </c>
      <c r="I87" s="7"/>
      <c r="J87" s="55">
        <f>SUM(J84:J86)</f>
        <v>21809876</v>
      </c>
    </row>
    <row r="88" spans="1:12" ht="4.5" customHeight="1">
      <c r="C88" s="7"/>
      <c r="D88" s="118"/>
      <c r="E88" s="7"/>
      <c r="F88" s="55"/>
      <c r="G88" s="7"/>
      <c r="H88" s="55"/>
      <c r="I88" s="7"/>
      <c r="J88" s="55"/>
    </row>
    <row r="89" spans="1:12">
      <c r="A89" s="118">
        <f>A87+1</f>
        <v>26</v>
      </c>
      <c r="C89" s="7"/>
      <c r="D89" s="118" t="s">
        <v>253</v>
      </c>
      <c r="E89" s="7"/>
      <c r="F89" s="55">
        <f>F70</f>
        <v>44998</v>
      </c>
      <c r="G89" s="7"/>
      <c r="H89" s="55">
        <f>H70</f>
        <v>0</v>
      </c>
      <c r="I89" s="7"/>
      <c r="J89" s="55">
        <f>J70</f>
        <v>44998</v>
      </c>
    </row>
    <row r="90" spans="1:12" ht="4.5" customHeight="1">
      <c r="D90" s="139"/>
      <c r="J90" s="113"/>
    </row>
    <row r="91" spans="1:12" ht="13.5" thickBot="1">
      <c r="A91" s="118">
        <f>A89+1</f>
        <v>27</v>
      </c>
      <c r="D91" s="113" t="s">
        <v>90</v>
      </c>
      <c r="F91" s="133">
        <f>F80-F82-F87+F89</f>
        <v>234848916</v>
      </c>
      <c r="H91" s="133">
        <f>H80-H82-H87+H89</f>
        <v>39662365</v>
      </c>
      <c r="J91" s="133">
        <f>J80-J82-J87+J89</f>
        <v>274511281</v>
      </c>
    </row>
    <row r="92" spans="1:12" ht="4.5" customHeight="1" thickTop="1">
      <c r="J92" s="113"/>
    </row>
    <row r="93" spans="1:12" ht="13.5" thickBot="1">
      <c r="A93" s="118">
        <f>A91+1</f>
        <v>28</v>
      </c>
      <c r="D93" s="113" t="s">
        <v>91</v>
      </c>
      <c r="F93" s="133">
        <f>+F91+F54</f>
        <v>276507138</v>
      </c>
      <c r="H93" s="133">
        <f>+H91+H54</f>
        <v>49936527</v>
      </c>
      <c r="J93" s="133">
        <f>+J91+J54</f>
        <v>326443665</v>
      </c>
      <c r="L93" s="21"/>
    </row>
    <row r="94" spans="1:12" ht="13.5" thickTop="1"/>
    <row r="96" spans="1:12">
      <c r="F96" s="12"/>
    </row>
  </sheetData>
  <phoneticPr fontId="16" type="noConversion"/>
  <printOptions horizontalCentered="1"/>
  <pageMargins left="0.5" right="0.25" top="0.5" bottom="0.4" header="0" footer="0.25"/>
  <pageSetup scale="68" orientation="portrait" r:id="rId1"/>
  <headerFooter alignWithMargins="0">
    <oddFoote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showGridLines="0" workbookViewId="0">
      <selection activeCell="A4" sqref="A4"/>
    </sheetView>
  </sheetViews>
  <sheetFormatPr defaultColWidth="8" defaultRowHeight="12.75"/>
  <cols>
    <col min="1" max="1" width="3.77734375" style="118" customWidth="1"/>
    <col min="2" max="2" width="1.33203125" style="113" customWidth="1"/>
    <col min="3" max="3" width="2.77734375" style="113" customWidth="1"/>
    <col min="4" max="4" width="30.77734375" style="113" customWidth="1"/>
    <col min="5" max="5" width="0.88671875" style="113" customWidth="1"/>
    <col min="6" max="6" width="10.5546875" style="113" customWidth="1"/>
    <col min="7" max="7" width="1.77734375" style="113" customWidth="1"/>
    <col min="8" max="8" width="10.5546875" style="114" customWidth="1"/>
    <col min="9" max="9" width="1.77734375" style="113" customWidth="1"/>
    <col min="10" max="10" width="10.77734375" style="113" customWidth="1"/>
    <col min="11" max="16384" width="8" style="113"/>
  </cols>
  <sheetData>
    <row r="1" spans="1:11">
      <c r="A1" s="56" t="s">
        <v>36</v>
      </c>
      <c r="J1" s="74" t="s">
        <v>360</v>
      </c>
    </row>
    <row r="2" spans="1:11">
      <c r="A2" s="56" t="s">
        <v>194</v>
      </c>
      <c r="J2" s="116"/>
    </row>
    <row r="3" spans="1:11">
      <c r="A3" s="72" t="s">
        <v>361</v>
      </c>
      <c r="J3" s="117"/>
    </row>
    <row r="4" spans="1:11">
      <c r="A4" s="231" t="s">
        <v>283</v>
      </c>
      <c r="B4" s="4"/>
    </row>
    <row r="5" spans="1:11">
      <c r="E5" s="119"/>
    </row>
    <row r="6" spans="1:11">
      <c r="D6" s="119"/>
      <c r="E6" s="119"/>
      <c r="J6" s="120"/>
    </row>
    <row r="7" spans="1:11">
      <c r="A7" s="115" t="s">
        <v>174</v>
      </c>
      <c r="F7" s="120"/>
      <c r="G7" s="121"/>
      <c r="H7" s="120"/>
      <c r="I7" s="120"/>
      <c r="J7" s="120" t="s">
        <v>151</v>
      </c>
    </row>
    <row r="8" spans="1:11">
      <c r="A8" s="122" t="s">
        <v>150</v>
      </c>
      <c r="C8" s="123"/>
      <c r="D8" s="122" t="s">
        <v>160</v>
      </c>
      <c r="E8" s="121"/>
      <c r="F8" s="124" t="s">
        <v>57</v>
      </c>
      <c r="G8" s="121"/>
      <c r="H8" s="125" t="s">
        <v>58</v>
      </c>
      <c r="I8" s="120"/>
      <c r="J8" s="125" t="s">
        <v>59</v>
      </c>
    </row>
    <row r="9" spans="1:11">
      <c r="F9" s="126"/>
      <c r="H9" s="126"/>
      <c r="J9" s="126"/>
    </row>
    <row r="10" spans="1:11">
      <c r="A10" s="118">
        <v>1</v>
      </c>
      <c r="C10" s="113" t="s">
        <v>396</v>
      </c>
      <c r="F10" s="24">
        <v>42667614</v>
      </c>
      <c r="G10" s="24"/>
      <c r="H10" s="24">
        <v>17908078</v>
      </c>
      <c r="I10" s="24"/>
      <c r="J10" s="24">
        <f>F10+H10</f>
        <v>60575692</v>
      </c>
      <c r="K10" s="24"/>
    </row>
    <row r="11" spans="1:11">
      <c r="A11" s="118">
        <f t="shared" ref="A11:A20" si="0">+A10+1</f>
        <v>2</v>
      </c>
    </row>
    <row r="12" spans="1:11">
      <c r="A12" s="118">
        <f t="shared" si="0"/>
        <v>3</v>
      </c>
      <c r="C12" s="113" t="s">
        <v>255</v>
      </c>
      <c r="F12" s="24">
        <v>-217131.77500591701</v>
      </c>
      <c r="H12" s="24">
        <v>0</v>
      </c>
      <c r="J12" s="214">
        <f>SUM(F12:H12)</f>
        <v>-217131.77500591701</v>
      </c>
    </row>
    <row r="13" spans="1:11">
      <c r="A13" s="118">
        <f t="shared" si="0"/>
        <v>4</v>
      </c>
    </row>
    <row r="14" spans="1:11">
      <c r="A14" s="118">
        <f t="shared" si="0"/>
        <v>5</v>
      </c>
      <c r="C14" s="113" t="s">
        <v>232</v>
      </c>
      <c r="F14" s="24">
        <v>0</v>
      </c>
      <c r="G14" s="24"/>
      <c r="H14" s="24">
        <v>0</v>
      </c>
      <c r="I14" s="24"/>
      <c r="J14" s="24">
        <f>SUM(F14:H14)</f>
        <v>0</v>
      </c>
    </row>
    <row r="15" spans="1:11">
      <c r="A15" s="118">
        <f t="shared" si="0"/>
        <v>6</v>
      </c>
    </row>
    <row r="16" spans="1:11">
      <c r="A16" s="118">
        <f t="shared" si="0"/>
        <v>7</v>
      </c>
      <c r="C16" s="113" t="s">
        <v>397</v>
      </c>
      <c r="F16" s="24">
        <f>8306981+12067753</f>
        <v>20374734</v>
      </c>
      <c r="G16" s="24"/>
      <c r="H16" s="24">
        <f>2438672+358270+23829</f>
        <v>2820771</v>
      </c>
      <c r="I16" s="24"/>
      <c r="J16" s="24">
        <f>SUM(F16:H16)</f>
        <v>23195505</v>
      </c>
    </row>
    <row r="17" spans="1:10">
      <c r="A17" s="118">
        <f t="shared" si="0"/>
        <v>8</v>
      </c>
    </row>
    <row r="18" spans="1:10">
      <c r="A18" s="118">
        <f t="shared" si="0"/>
        <v>9</v>
      </c>
      <c r="C18" s="113" t="s">
        <v>398</v>
      </c>
      <c r="F18" s="24">
        <f>15528192+16775885</f>
        <v>32304077</v>
      </c>
      <c r="G18" s="24"/>
      <c r="H18" s="24">
        <f>3043360+2183526</f>
        <v>5226886</v>
      </c>
      <c r="I18" s="24"/>
      <c r="J18" s="24">
        <f>SUM(F18:H18)</f>
        <v>37530963</v>
      </c>
    </row>
    <row r="19" spans="1:10">
      <c r="A19" s="118">
        <f t="shared" si="0"/>
        <v>10</v>
      </c>
    </row>
    <row r="20" spans="1:10" ht="13.5" thickBot="1">
      <c r="A20" s="118">
        <f t="shared" si="0"/>
        <v>11</v>
      </c>
      <c r="B20" s="144" t="s">
        <v>163</v>
      </c>
      <c r="C20" s="144"/>
      <c r="D20" s="144"/>
      <c r="F20" s="216">
        <f>SUM(F10:F18)</f>
        <v>95129293.224994093</v>
      </c>
      <c r="G20" s="19"/>
      <c r="H20" s="216">
        <f>SUM(H10:H18)</f>
        <v>25955735</v>
      </c>
      <c r="I20" s="19"/>
      <c r="J20" s="216">
        <f>SUM(J10:J18)</f>
        <v>121085028.22499409</v>
      </c>
    </row>
    <row r="21" spans="1:10" ht="13.5" thickTop="1"/>
    <row r="22" spans="1:10">
      <c r="E22" s="118"/>
    </row>
    <row r="23" spans="1:10">
      <c r="A23" s="113"/>
    </row>
    <row r="24" spans="1:10">
      <c r="A24" s="113"/>
    </row>
    <row r="25" spans="1:10">
      <c r="C25" s="113" t="s">
        <v>258</v>
      </c>
    </row>
    <row r="27" spans="1:10" ht="15.75">
      <c r="D27" s="217"/>
    </row>
    <row r="34" ht="13.5" customHeight="1"/>
  </sheetData>
  <phoneticPr fontId="16" type="noConversion"/>
  <printOptions horizontalCentered="1"/>
  <pageMargins left="0.5" right="0.25" top="0.75" bottom="0.4" header="0" footer="0.25"/>
  <pageSetup orientation="portrait" r:id="rId1"/>
  <headerFooter alignWithMargins="0">
    <oddFoote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showGridLines="0" workbookViewId="0">
      <selection activeCell="F12" sqref="F12"/>
    </sheetView>
  </sheetViews>
  <sheetFormatPr defaultColWidth="8" defaultRowHeight="12.75"/>
  <cols>
    <col min="1" max="1" width="4" style="118" customWidth="1"/>
    <col min="2" max="2" width="1.77734375" style="113" customWidth="1"/>
    <col min="3" max="3" width="3.21875" style="113" customWidth="1"/>
    <col min="4" max="4" width="25.77734375" style="113" customWidth="1"/>
    <col min="5" max="5" width="0.88671875" style="113" customWidth="1"/>
    <col min="6" max="6" width="11.77734375" style="113" customWidth="1"/>
    <col min="7" max="7" width="1.33203125" style="113" customWidth="1"/>
    <col min="8" max="8" width="10.44140625" style="114" customWidth="1"/>
    <col min="9" max="9" width="1.33203125" style="113" customWidth="1"/>
    <col min="10" max="10" width="10.44140625" style="113" bestFit="1" customWidth="1"/>
    <col min="11" max="16384" width="8" style="113"/>
  </cols>
  <sheetData>
    <row r="1" spans="1:10">
      <c r="A1" s="56" t="s">
        <v>36</v>
      </c>
      <c r="J1" s="74" t="s">
        <v>360</v>
      </c>
    </row>
    <row r="2" spans="1:10">
      <c r="A2" s="115" t="s">
        <v>97</v>
      </c>
      <c r="J2" s="116"/>
    </row>
    <row r="3" spans="1:10">
      <c r="A3" s="72" t="s">
        <v>361</v>
      </c>
      <c r="J3" s="117"/>
    </row>
    <row r="4" spans="1:10">
      <c r="A4" s="231" t="s">
        <v>283</v>
      </c>
      <c r="B4" s="4"/>
    </row>
    <row r="5" spans="1:10">
      <c r="E5" s="119"/>
    </row>
    <row r="6" spans="1:10">
      <c r="D6" s="119"/>
      <c r="E6" s="119"/>
      <c r="J6" s="120"/>
    </row>
    <row r="7" spans="1:10">
      <c r="A7" s="115" t="s">
        <v>174</v>
      </c>
      <c r="F7" s="120"/>
      <c r="G7" s="121"/>
      <c r="H7" s="120"/>
      <c r="I7" s="120"/>
      <c r="J7" s="120" t="s">
        <v>151</v>
      </c>
    </row>
    <row r="8" spans="1:10">
      <c r="A8" s="122" t="s">
        <v>150</v>
      </c>
      <c r="C8" s="123"/>
      <c r="D8" s="122" t="s">
        <v>160</v>
      </c>
      <c r="E8" s="121"/>
      <c r="F8" s="124" t="s">
        <v>57</v>
      </c>
      <c r="G8" s="121"/>
      <c r="H8" s="125" t="s">
        <v>58</v>
      </c>
      <c r="I8" s="120"/>
      <c r="J8" s="125" t="s">
        <v>59</v>
      </c>
    </row>
    <row r="9" spans="1:10">
      <c r="F9" s="126"/>
      <c r="H9" s="126"/>
      <c r="J9" s="126"/>
    </row>
    <row r="10" spans="1:10">
      <c r="A10" s="118">
        <v>1</v>
      </c>
      <c r="B10" s="127" t="s">
        <v>197</v>
      </c>
      <c r="C10" s="128"/>
      <c r="D10" s="128"/>
      <c r="F10" s="129"/>
      <c r="H10" s="129"/>
      <c r="J10" s="129"/>
    </row>
    <row r="11" spans="1:10">
      <c r="A11" s="118">
        <f t="shared" ref="A11:A26" si="0">+A10+1</f>
        <v>2</v>
      </c>
      <c r="C11" s="138" t="s">
        <v>168</v>
      </c>
      <c r="F11" s="57"/>
      <c r="G11" s="19"/>
      <c r="H11" s="57"/>
      <c r="I11" s="19"/>
      <c r="J11" s="57"/>
    </row>
    <row r="12" spans="1:10">
      <c r="A12" s="118">
        <f t="shared" si="0"/>
        <v>3</v>
      </c>
      <c r="D12" s="113" t="s">
        <v>92</v>
      </c>
      <c r="F12" s="9">
        <v>33608991</v>
      </c>
      <c r="G12" s="19"/>
      <c r="H12" s="9">
        <v>3181565</v>
      </c>
      <c r="I12" s="19"/>
      <c r="J12" s="9">
        <f>SUM(F12:H12)</f>
        <v>36790556</v>
      </c>
    </row>
    <row r="13" spans="1:10">
      <c r="A13" s="118">
        <f t="shared" si="0"/>
        <v>4</v>
      </c>
      <c r="C13" s="130"/>
      <c r="D13" s="113" t="s">
        <v>93</v>
      </c>
      <c r="F13" s="20">
        <v>57408</v>
      </c>
      <c r="G13" s="19"/>
      <c r="H13" s="20">
        <v>0</v>
      </c>
      <c r="I13" s="19"/>
      <c r="J13" s="20">
        <f>SUM(F13:H13)</f>
        <v>57408</v>
      </c>
    </row>
    <row r="14" spans="1:10">
      <c r="A14" s="118">
        <f t="shared" si="0"/>
        <v>5</v>
      </c>
      <c r="C14" s="118"/>
      <c r="F14" s="57"/>
      <c r="G14" s="19"/>
      <c r="H14" s="57"/>
      <c r="I14" s="19"/>
      <c r="J14" s="57"/>
    </row>
    <row r="15" spans="1:10">
      <c r="A15" s="118">
        <f t="shared" si="0"/>
        <v>6</v>
      </c>
      <c r="D15" s="118"/>
      <c r="E15" s="118"/>
      <c r="F15" s="20"/>
      <c r="G15" s="19"/>
      <c r="H15" s="20"/>
      <c r="I15" s="19"/>
      <c r="J15" s="20"/>
    </row>
    <row r="16" spans="1:10">
      <c r="A16" s="118">
        <f t="shared" si="0"/>
        <v>7</v>
      </c>
      <c r="C16" s="141" t="s">
        <v>35</v>
      </c>
      <c r="F16" s="20"/>
      <c r="G16" s="19"/>
      <c r="H16" s="20"/>
      <c r="I16" s="19"/>
      <c r="J16" s="20"/>
    </row>
    <row r="17" spans="1:10">
      <c r="A17" s="118">
        <f t="shared" si="0"/>
        <v>8</v>
      </c>
      <c r="C17" s="118"/>
      <c r="D17" s="113" t="s">
        <v>94</v>
      </c>
      <c r="F17" s="20">
        <v>153098453</v>
      </c>
      <c r="G17" s="19"/>
      <c r="H17" s="20">
        <v>807702</v>
      </c>
      <c r="I17" s="19"/>
      <c r="J17" s="20">
        <f>SUM(F17:H17)</f>
        <v>153906155</v>
      </c>
    </row>
    <row r="18" spans="1:10">
      <c r="A18" s="118">
        <f t="shared" si="0"/>
        <v>9</v>
      </c>
      <c r="D18" s="113" t="s">
        <v>95</v>
      </c>
      <c r="F18" s="20">
        <v>0</v>
      </c>
      <c r="G18" s="19"/>
      <c r="H18" s="20">
        <v>19118300</v>
      </c>
      <c r="I18" s="19"/>
      <c r="J18" s="20">
        <f>SUM(F18:H18)</f>
        <v>19118300</v>
      </c>
    </row>
    <row r="19" spans="1:10">
      <c r="A19" s="118">
        <f t="shared" si="0"/>
        <v>10</v>
      </c>
      <c r="C19" s="130"/>
      <c r="D19" s="113" t="s">
        <v>172</v>
      </c>
      <c r="F19" s="20">
        <v>111777</v>
      </c>
      <c r="G19" s="19"/>
      <c r="H19" s="20">
        <v>40033</v>
      </c>
      <c r="I19" s="19"/>
      <c r="J19" s="20">
        <f>SUM(F19:H19)</f>
        <v>151810</v>
      </c>
    </row>
    <row r="20" spans="1:10">
      <c r="A20" s="118">
        <f t="shared" si="0"/>
        <v>11</v>
      </c>
      <c r="D20" s="113" t="s">
        <v>96</v>
      </c>
      <c r="F20" s="20">
        <v>0</v>
      </c>
      <c r="G20" s="19"/>
      <c r="H20" s="20">
        <v>0</v>
      </c>
      <c r="I20" s="19"/>
      <c r="J20" s="20">
        <f>SUM(F20:H20)</f>
        <v>0</v>
      </c>
    </row>
    <row r="21" spans="1:10">
      <c r="A21" s="118">
        <f t="shared" si="0"/>
        <v>12</v>
      </c>
      <c r="F21" s="58"/>
      <c r="G21" s="19"/>
      <c r="H21" s="58"/>
      <c r="I21" s="19"/>
      <c r="J21" s="58"/>
    </row>
    <row r="22" spans="1:10">
      <c r="A22" s="118">
        <f t="shared" si="0"/>
        <v>13</v>
      </c>
      <c r="F22" s="20"/>
      <c r="G22" s="19"/>
      <c r="H22" s="20"/>
      <c r="I22" s="19"/>
      <c r="J22" s="20"/>
    </row>
    <row r="23" spans="1:10" ht="13.5" thickBot="1">
      <c r="A23" s="118">
        <f t="shared" si="0"/>
        <v>14</v>
      </c>
      <c r="D23" s="118" t="s">
        <v>137</v>
      </c>
      <c r="E23" s="118"/>
      <c r="F23" s="142">
        <f>SUM(F11:F21)</f>
        <v>186876629</v>
      </c>
      <c r="G23" s="19"/>
      <c r="H23" s="142">
        <f>SUM(H11:H21)</f>
        <v>23147600</v>
      </c>
      <c r="I23" s="19"/>
      <c r="J23" s="142">
        <f>SUM(F23:H23)</f>
        <v>210024229</v>
      </c>
    </row>
    <row r="24" spans="1:10" ht="13.5" thickTop="1">
      <c r="A24" s="118">
        <f t="shared" si="0"/>
        <v>15</v>
      </c>
      <c r="F24" s="114"/>
      <c r="J24" s="143"/>
    </row>
    <row r="25" spans="1:10">
      <c r="A25" s="118">
        <f t="shared" si="0"/>
        <v>16</v>
      </c>
    </row>
    <row r="26" spans="1:10" ht="13.5" thickBot="1">
      <c r="A26" s="118">
        <f t="shared" si="0"/>
        <v>17</v>
      </c>
      <c r="B26" s="144" t="s">
        <v>98</v>
      </c>
      <c r="C26" s="144"/>
      <c r="D26" s="144"/>
      <c r="F26" s="59">
        <v>-1488792</v>
      </c>
      <c r="H26" s="59">
        <v>-629950</v>
      </c>
      <c r="I26" s="19"/>
      <c r="J26" s="59">
        <f>SUM(F26:H26)</f>
        <v>-2118742</v>
      </c>
    </row>
    <row r="27" spans="1:10" ht="13.5" thickTop="1"/>
    <row r="29" spans="1:10">
      <c r="E29" s="118"/>
      <c r="H29" s="9"/>
    </row>
    <row r="30" spans="1:10">
      <c r="A30" s="113"/>
      <c r="F30" s="21"/>
    </row>
    <row r="31" spans="1:10">
      <c r="A31" s="113"/>
    </row>
    <row r="34" spans="6:8" ht="13.5" customHeight="1"/>
    <row r="36" spans="6:8">
      <c r="H36" s="9"/>
    </row>
    <row r="37" spans="6:8">
      <c r="F37" s="21"/>
    </row>
    <row r="38" spans="6:8">
      <c r="F38" s="21"/>
      <c r="H38" s="9"/>
    </row>
  </sheetData>
  <phoneticPr fontId="16" type="noConversion"/>
  <printOptions horizontalCentered="1"/>
  <pageMargins left="0.75" right="0.25" top="0.75" bottom="0.4" header="0" footer="0.25"/>
  <pageSetup orientation="portrait" r:id="rId1"/>
  <headerFooter alignWithMargins="0">
    <oddFoote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showGridLines="0" zoomScaleNormal="100" workbookViewId="0">
      <selection activeCell="H12" sqref="H12"/>
    </sheetView>
  </sheetViews>
  <sheetFormatPr defaultColWidth="8" defaultRowHeight="12.75"/>
  <cols>
    <col min="1" max="1" width="4" style="118" customWidth="1"/>
    <col min="2" max="2" width="2.33203125" style="113" customWidth="1"/>
    <col min="3" max="3" width="3.21875" style="113" customWidth="1"/>
    <col min="4" max="4" width="50.6640625" style="113" bestFit="1" customWidth="1"/>
    <col min="5" max="5" width="0.88671875" style="113" customWidth="1"/>
    <col min="6" max="6" width="12.77734375" style="113" customWidth="1"/>
    <col min="7" max="7" width="2.109375" style="113" customWidth="1"/>
    <col min="8" max="8" width="11.6640625" style="114" customWidth="1"/>
    <col min="9" max="9" width="1.6640625" style="113" customWidth="1"/>
    <col min="10" max="10" width="12.5546875" style="113" customWidth="1"/>
    <col min="11" max="11" width="8" style="113" customWidth="1"/>
    <col min="12" max="12" width="17.6640625" style="113" bestFit="1" customWidth="1"/>
    <col min="13" max="16384" width="8" style="113"/>
  </cols>
  <sheetData>
    <row r="1" spans="1:10">
      <c r="A1" s="56" t="s">
        <v>36</v>
      </c>
      <c r="J1" s="74" t="s">
        <v>360</v>
      </c>
    </row>
    <row r="2" spans="1:10">
      <c r="A2" s="115" t="s">
        <v>99</v>
      </c>
      <c r="J2" s="116"/>
    </row>
    <row r="3" spans="1:10">
      <c r="A3" s="72" t="s">
        <v>361</v>
      </c>
      <c r="J3" s="117"/>
    </row>
    <row r="4" spans="1:10">
      <c r="A4" s="231" t="s">
        <v>283</v>
      </c>
      <c r="B4" s="4"/>
    </row>
    <row r="5" spans="1:10">
      <c r="E5" s="119"/>
    </row>
    <row r="6" spans="1:10">
      <c r="D6" s="119"/>
      <c r="E6" s="119"/>
      <c r="J6" s="120"/>
    </row>
    <row r="7" spans="1:10">
      <c r="A7" s="115" t="s">
        <v>174</v>
      </c>
      <c r="F7" s="120"/>
      <c r="G7" s="121"/>
      <c r="H7" s="120"/>
      <c r="I7" s="120"/>
      <c r="J7" s="120" t="s">
        <v>151</v>
      </c>
    </row>
    <row r="8" spans="1:10">
      <c r="A8" s="122" t="s">
        <v>150</v>
      </c>
      <c r="C8" s="123"/>
      <c r="D8" s="122" t="s">
        <v>160</v>
      </c>
      <c r="E8" s="121"/>
      <c r="F8" s="124" t="s">
        <v>57</v>
      </c>
      <c r="G8" s="121"/>
      <c r="H8" s="125" t="s">
        <v>58</v>
      </c>
      <c r="I8" s="120"/>
      <c r="J8" s="125" t="s">
        <v>59</v>
      </c>
    </row>
    <row r="9" spans="1:10">
      <c r="F9" s="126"/>
      <c r="H9" s="126"/>
      <c r="J9" s="126"/>
    </row>
    <row r="10" spans="1:10">
      <c r="A10" s="118">
        <v>1</v>
      </c>
      <c r="B10" s="127" t="s">
        <v>102</v>
      </c>
      <c r="C10" s="128"/>
      <c r="D10" s="128"/>
      <c r="F10" s="129"/>
      <c r="H10" s="129"/>
      <c r="J10" s="129"/>
    </row>
    <row r="11" spans="1:10">
      <c r="A11" s="118">
        <f t="shared" ref="A11:A39" si="0">+A10+1</f>
        <v>2</v>
      </c>
      <c r="C11" s="138"/>
      <c r="D11" s="113" t="s">
        <v>101</v>
      </c>
      <c r="F11" s="9">
        <v>0</v>
      </c>
      <c r="G11" s="19"/>
      <c r="H11" s="9">
        <v>0</v>
      </c>
      <c r="I11" s="19"/>
      <c r="J11" s="9">
        <f>SUM(F11:H11)</f>
        <v>0</v>
      </c>
    </row>
    <row r="12" spans="1:10">
      <c r="A12" s="118">
        <f t="shared" si="0"/>
        <v>3</v>
      </c>
      <c r="D12" s="113" t="s">
        <v>100</v>
      </c>
      <c r="F12" s="20">
        <v>72021703</v>
      </c>
      <c r="G12" s="19"/>
      <c r="H12" s="20">
        <v>9219934</v>
      </c>
      <c r="I12" s="19"/>
      <c r="J12" s="20">
        <f>SUM(F12:H12)</f>
        <v>81241637</v>
      </c>
    </row>
    <row r="13" spans="1:10">
      <c r="A13" s="118">
        <f t="shared" si="0"/>
        <v>4</v>
      </c>
      <c r="C13" s="130"/>
    </row>
    <row r="14" spans="1:10">
      <c r="A14" s="118">
        <f t="shared" si="0"/>
        <v>5</v>
      </c>
      <c r="C14" s="118"/>
      <c r="F14" s="57"/>
      <c r="G14" s="19"/>
      <c r="H14" s="57"/>
      <c r="I14" s="19"/>
      <c r="J14" s="57"/>
    </row>
    <row r="15" spans="1:10">
      <c r="A15" s="118">
        <f t="shared" si="0"/>
        <v>6</v>
      </c>
      <c r="B15" s="127" t="s">
        <v>108</v>
      </c>
      <c r="C15" s="127"/>
      <c r="D15" s="140"/>
      <c r="E15" s="118"/>
      <c r="F15" s="20"/>
      <c r="G15" s="19"/>
      <c r="H15" s="20"/>
      <c r="I15" s="19"/>
      <c r="J15" s="20"/>
    </row>
    <row r="16" spans="1:10">
      <c r="A16" s="118">
        <f t="shared" si="0"/>
        <v>7</v>
      </c>
      <c r="C16" s="141"/>
      <c r="D16" s="113" t="s">
        <v>103</v>
      </c>
      <c r="F16" s="20"/>
      <c r="G16" s="19"/>
      <c r="H16" s="20"/>
      <c r="I16" s="19"/>
      <c r="J16" s="20"/>
    </row>
    <row r="17" spans="1:10">
      <c r="C17" s="141"/>
      <c r="D17" s="113" t="s">
        <v>233</v>
      </c>
      <c r="F17" s="9">
        <f>'WP O&amp;M'!F12</f>
        <v>0</v>
      </c>
      <c r="G17" s="19"/>
      <c r="H17" s="9">
        <f>'WP O&amp;M'!H12</f>
        <v>0</v>
      </c>
      <c r="I17" s="19"/>
      <c r="J17" s="9">
        <f>SUM(F17:H17)</f>
        <v>0</v>
      </c>
    </row>
    <row r="18" spans="1:10">
      <c r="A18" s="118">
        <f>+A16+1</f>
        <v>8</v>
      </c>
      <c r="C18" s="118"/>
      <c r="D18" s="113" t="s">
        <v>104</v>
      </c>
      <c r="F18" s="20">
        <f>'WP O&amp;M'!F13</f>
        <v>45004</v>
      </c>
      <c r="G18" s="21"/>
      <c r="H18" s="20">
        <f>'WP O&amp;M'!H13</f>
        <v>0</v>
      </c>
      <c r="I18" s="21"/>
      <c r="J18" s="20">
        <f>SUM(F18:H18)</f>
        <v>45004</v>
      </c>
    </row>
    <row r="19" spans="1:10">
      <c r="A19" s="118">
        <f t="shared" si="0"/>
        <v>9</v>
      </c>
      <c r="D19" s="113" t="s">
        <v>105</v>
      </c>
      <c r="F19" s="20">
        <f>'WP O&amp;M'!F14</f>
        <v>4734132</v>
      </c>
      <c r="G19" s="19"/>
      <c r="H19" s="20">
        <f>'WP O&amp;M'!H14</f>
        <v>1923091</v>
      </c>
      <c r="I19" s="19"/>
      <c r="J19" s="20">
        <f>SUM(F19:H19)</f>
        <v>6657223</v>
      </c>
    </row>
    <row r="20" spans="1:10">
      <c r="A20" s="118">
        <f t="shared" si="0"/>
        <v>10</v>
      </c>
      <c r="C20" s="130"/>
      <c r="D20" s="113" t="s">
        <v>106</v>
      </c>
      <c r="F20" s="22">
        <f>'WP O&amp;M'!F15</f>
        <v>48474</v>
      </c>
      <c r="G20" s="19"/>
      <c r="H20" s="22">
        <f>'WP O&amp;M'!H15</f>
        <v>0</v>
      </c>
      <c r="I20" s="19"/>
      <c r="J20" s="22">
        <f>SUM(F20:H20)</f>
        <v>48474</v>
      </c>
    </row>
    <row r="21" spans="1:10">
      <c r="A21" s="118">
        <f t="shared" si="0"/>
        <v>11</v>
      </c>
      <c r="F21" s="7"/>
      <c r="G21" s="7"/>
      <c r="H21" s="7"/>
      <c r="I21" s="7"/>
      <c r="J21" s="7"/>
    </row>
    <row r="22" spans="1:10" ht="13.5" thickBot="1">
      <c r="A22" s="118">
        <f t="shared" si="0"/>
        <v>12</v>
      </c>
      <c r="D22" s="113" t="s">
        <v>107</v>
      </c>
      <c r="F22" s="60">
        <f>SUM(F17:F20)</f>
        <v>4827610</v>
      </c>
      <c r="G22" s="7"/>
      <c r="H22" s="60">
        <f>SUM(H17:H20)</f>
        <v>1923091</v>
      </c>
      <c r="I22" s="7"/>
      <c r="J22" s="60">
        <f>SUM(J17:J20)</f>
        <v>6750701</v>
      </c>
    </row>
    <row r="23" spans="1:10" ht="13.5" thickTop="1">
      <c r="A23" s="118">
        <f t="shared" si="0"/>
        <v>13</v>
      </c>
      <c r="F23" s="20"/>
      <c r="G23" s="19"/>
      <c r="H23" s="20"/>
      <c r="I23" s="19"/>
      <c r="J23" s="20"/>
    </row>
    <row r="24" spans="1:10">
      <c r="A24" s="118">
        <f t="shared" si="0"/>
        <v>14</v>
      </c>
      <c r="B24" s="7"/>
      <c r="C24" s="7"/>
      <c r="D24" s="7"/>
      <c r="E24" s="7"/>
      <c r="F24" s="7"/>
      <c r="G24" s="7"/>
      <c r="H24" s="7"/>
      <c r="I24" s="7"/>
      <c r="J24" s="7"/>
    </row>
    <row r="25" spans="1:10">
      <c r="A25" s="118">
        <f t="shared" si="0"/>
        <v>15</v>
      </c>
      <c r="B25" s="61" t="s">
        <v>109</v>
      </c>
      <c r="C25" s="61"/>
      <c r="D25" s="61"/>
      <c r="E25" s="7"/>
      <c r="F25" s="7"/>
      <c r="G25" s="7"/>
      <c r="H25" s="7"/>
      <c r="I25" s="7"/>
      <c r="J25" s="7"/>
    </row>
    <row r="26" spans="1:10">
      <c r="A26" s="118">
        <f t="shared" si="0"/>
        <v>16</v>
      </c>
      <c r="B26" s="7"/>
      <c r="C26" s="7"/>
      <c r="D26" s="7" t="s">
        <v>132</v>
      </c>
      <c r="E26" s="7"/>
      <c r="F26" s="9">
        <v>306283937</v>
      </c>
      <c r="G26" s="21"/>
      <c r="H26" s="9">
        <v>12164086</v>
      </c>
      <c r="I26" s="21"/>
      <c r="J26" s="9">
        <f>SUM(F26:H26)</f>
        <v>318448023</v>
      </c>
    </row>
    <row r="27" spans="1:10">
      <c r="A27" s="118">
        <f t="shared" si="0"/>
        <v>17</v>
      </c>
      <c r="B27" s="7"/>
      <c r="C27" s="7"/>
      <c r="D27" s="7" t="s">
        <v>152</v>
      </c>
      <c r="E27" s="7"/>
      <c r="F27" s="20">
        <v>16860627</v>
      </c>
      <c r="G27" s="19"/>
      <c r="H27" s="20">
        <v>4863608</v>
      </c>
      <c r="I27" s="19"/>
      <c r="J27" s="20">
        <f>SUM(F27:H27)</f>
        <v>21724235</v>
      </c>
    </row>
    <row r="28" spans="1:10">
      <c r="A28" s="118">
        <f t="shared" si="0"/>
        <v>18</v>
      </c>
      <c r="D28" s="113" t="s">
        <v>153</v>
      </c>
      <c r="F28" s="20">
        <v>53486736</v>
      </c>
      <c r="G28" s="19"/>
      <c r="H28" s="20">
        <v>12550266</v>
      </c>
      <c r="I28" s="19"/>
      <c r="J28" s="20">
        <f>SUM(F28:H28)</f>
        <v>66037002</v>
      </c>
    </row>
    <row r="29" spans="1:10">
      <c r="A29" s="118">
        <f t="shared" si="0"/>
        <v>19</v>
      </c>
      <c r="D29" s="113" t="s">
        <v>172</v>
      </c>
      <c r="F29" s="22">
        <f>14737945+1450287+13958</f>
        <v>16202190</v>
      </c>
      <c r="G29" s="19"/>
      <c r="H29" s="22">
        <f>2638085+982205+66314</f>
        <v>3686604</v>
      </c>
      <c r="I29" s="19"/>
      <c r="J29" s="22">
        <f>SUM(F29:H29)</f>
        <v>19888794</v>
      </c>
    </row>
    <row r="30" spans="1:10">
      <c r="A30" s="118">
        <f t="shared" si="0"/>
        <v>20</v>
      </c>
      <c r="E30" s="118"/>
    </row>
    <row r="31" spans="1:10" ht="13.5" thickBot="1">
      <c r="A31" s="118">
        <f t="shared" si="0"/>
        <v>21</v>
      </c>
      <c r="D31" s="113" t="s">
        <v>110</v>
      </c>
      <c r="F31" s="133">
        <f>SUM(F26:F29)</f>
        <v>392833490</v>
      </c>
      <c r="H31" s="133">
        <f>SUM(H26:H29)</f>
        <v>33264564</v>
      </c>
      <c r="J31" s="133">
        <f>SUM(J26:J29)</f>
        <v>426098054</v>
      </c>
    </row>
    <row r="32" spans="1:10" ht="13.5" thickTop="1">
      <c r="A32" s="118">
        <f t="shared" si="0"/>
        <v>22</v>
      </c>
    </row>
    <row r="33" spans="1:10">
      <c r="A33" s="118">
        <f t="shared" si="0"/>
        <v>23</v>
      </c>
    </row>
    <row r="34" spans="1:10" ht="13.5" customHeight="1">
      <c r="A34" s="118">
        <f t="shared" si="0"/>
        <v>24</v>
      </c>
      <c r="B34" s="127" t="s">
        <v>111</v>
      </c>
      <c r="C34" s="128"/>
      <c r="D34" s="128"/>
    </row>
    <row r="35" spans="1:10">
      <c r="A35" s="118">
        <f t="shared" si="0"/>
        <v>25</v>
      </c>
      <c r="D35" s="113" t="s">
        <v>136</v>
      </c>
      <c r="F35" s="9">
        <v>12282791522</v>
      </c>
      <c r="G35" s="21"/>
      <c r="H35" s="9">
        <v>1751218744</v>
      </c>
      <c r="I35" s="21"/>
      <c r="J35" s="9">
        <f>SUM(F35:H35)</f>
        <v>14034010266</v>
      </c>
    </row>
    <row r="36" spans="1:10">
      <c r="A36" s="118">
        <f t="shared" si="0"/>
        <v>26</v>
      </c>
      <c r="D36" s="113" t="s">
        <v>125</v>
      </c>
      <c r="F36" s="20">
        <v>1020907484</v>
      </c>
      <c r="G36" s="19"/>
      <c r="H36" s="20">
        <v>226955600</v>
      </c>
      <c r="I36" s="19"/>
      <c r="J36" s="20">
        <f>SUM(F36:H36)</f>
        <v>1247863084</v>
      </c>
    </row>
    <row r="37" spans="1:10">
      <c r="A37" s="118">
        <f t="shared" si="0"/>
        <v>27</v>
      </c>
      <c r="D37" s="113" t="s">
        <v>112</v>
      </c>
      <c r="F37" s="22">
        <v>0</v>
      </c>
      <c r="G37" s="19"/>
      <c r="H37" s="22">
        <v>0</v>
      </c>
      <c r="I37" s="19"/>
      <c r="J37" s="22">
        <f>SUM(F37:H37)</f>
        <v>0</v>
      </c>
    </row>
    <row r="38" spans="1:10">
      <c r="A38" s="118">
        <f t="shared" si="0"/>
        <v>28</v>
      </c>
      <c r="F38" s="7"/>
      <c r="G38" s="7"/>
      <c r="H38" s="7"/>
      <c r="I38" s="7"/>
      <c r="J38" s="7"/>
    </row>
    <row r="39" spans="1:10" ht="13.5" thickBot="1">
      <c r="A39" s="118">
        <f t="shared" si="0"/>
        <v>29</v>
      </c>
      <c r="D39" s="113" t="s">
        <v>113</v>
      </c>
      <c r="F39" s="60">
        <f>SUM(F35:F37)</f>
        <v>13303699006</v>
      </c>
      <c r="G39" s="7"/>
      <c r="H39" s="60">
        <f>SUM(H35:H37)</f>
        <v>1978174344</v>
      </c>
      <c r="I39" s="7"/>
      <c r="J39" s="60">
        <f>SUM(J35:J37)</f>
        <v>15281873350</v>
      </c>
    </row>
    <row r="40" spans="1:10" ht="13.5" thickTop="1"/>
  </sheetData>
  <phoneticPr fontId="16" type="noConversion"/>
  <printOptions horizontalCentered="1"/>
  <pageMargins left="0.75" right="0.25" top="0.75" bottom="0.4" header="0" footer="0.25"/>
  <pageSetup scale="78" orientation="portrait" r:id="rId1"/>
  <headerFooter alignWithMargins="0">
    <oddFooter>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showGridLines="0" zoomScaleNormal="100" workbookViewId="0">
      <selection activeCell="D43" sqref="D43"/>
    </sheetView>
  </sheetViews>
  <sheetFormatPr defaultColWidth="8" defaultRowHeight="12.75"/>
  <cols>
    <col min="1" max="1" width="4" style="118" customWidth="1"/>
    <col min="2" max="2" width="2.33203125" style="113" customWidth="1"/>
    <col min="3" max="3" width="3.21875" style="113" customWidth="1"/>
    <col min="4" max="4" width="46.5546875" style="113" customWidth="1"/>
    <col min="5" max="5" width="0.88671875" style="113" customWidth="1"/>
    <col min="6" max="6" width="11.77734375" style="113" customWidth="1"/>
    <col min="7" max="7" width="0.88671875" style="113" customWidth="1"/>
    <col min="8" max="8" width="11.33203125" style="114" customWidth="1"/>
    <col min="9" max="9" width="0.88671875" style="113" customWidth="1"/>
    <col min="10" max="10" width="11.6640625" style="113" customWidth="1"/>
    <col min="11" max="11" width="2" style="113" customWidth="1"/>
    <col min="12" max="12" width="10.33203125" style="113" customWidth="1"/>
    <col min="13" max="16384" width="8" style="113"/>
  </cols>
  <sheetData>
    <row r="1" spans="1:12">
      <c r="A1" s="56" t="s">
        <v>36</v>
      </c>
      <c r="L1" s="74" t="s">
        <v>360</v>
      </c>
    </row>
    <row r="2" spans="1:12">
      <c r="A2" s="115" t="s">
        <v>122</v>
      </c>
      <c r="L2" s="116"/>
    </row>
    <row r="3" spans="1:12">
      <c r="A3" s="72" t="s">
        <v>361</v>
      </c>
      <c r="L3" s="117"/>
    </row>
    <row r="4" spans="1:12">
      <c r="A4" s="231" t="s">
        <v>283</v>
      </c>
    </row>
    <row r="5" spans="1:12">
      <c r="E5" s="119"/>
    </row>
    <row r="6" spans="1:12">
      <c r="D6" s="119"/>
      <c r="E6" s="119"/>
      <c r="J6" s="120"/>
    </row>
    <row r="7" spans="1:12">
      <c r="A7" s="115" t="s">
        <v>174</v>
      </c>
      <c r="F7" s="120"/>
      <c r="G7" s="121"/>
      <c r="H7" s="120"/>
      <c r="I7" s="120"/>
      <c r="J7" s="120" t="s">
        <v>151</v>
      </c>
    </row>
    <row r="8" spans="1:12">
      <c r="A8" s="122" t="s">
        <v>150</v>
      </c>
      <c r="C8" s="123"/>
      <c r="D8" s="122" t="s">
        <v>160</v>
      </c>
      <c r="E8" s="121"/>
      <c r="F8" s="124" t="s">
        <v>57</v>
      </c>
      <c r="G8" s="121"/>
      <c r="H8" s="125" t="s">
        <v>58</v>
      </c>
      <c r="I8" s="120"/>
      <c r="J8" s="125" t="s">
        <v>59</v>
      </c>
    </row>
    <row r="9" spans="1:12">
      <c r="F9" s="126"/>
      <c r="H9" s="126"/>
      <c r="J9" s="126"/>
    </row>
    <row r="10" spans="1:12">
      <c r="A10" s="118">
        <v>1</v>
      </c>
      <c r="B10" s="61" t="s">
        <v>114</v>
      </c>
      <c r="C10" s="61"/>
      <c r="D10" s="61"/>
      <c r="F10" s="129"/>
      <c r="H10" s="129"/>
      <c r="J10" s="129"/>
    </row>
    <row r="11" spans="1:12">
      <c r="A11" s="118">
        <f t="shared" ref="A11:A34" si="0">+A10+1</f>
        <v>2</v>
      </c>
      <c r="B11" s="7"/>
      <c r="C11" s="7"/>
      <c r="D11" s="7" t="s">
        <v>115</v>
      </c>
      <c r="F11" s="9">
        <f>3900000000+47711</f>
        <v>3900047711</v>
      </c>
      <c r="H11" s="9">
        <f>450000000+19157450</f>
        <v>469157450</v>
      </c>
      <c r="I11" s="19"/>
      <c r="J11" s="9">
        <f>SUM(F11:H11)</f>
        <v>4369205161</v>
      </c>
    </row>
    <row r="12" spans="1:12">
      <c r="A12" s="118">
        <f t="shared" si="0"/>
        <v>3</v>
      </c>
      <c r="B12" s="7"/>
      <c r="C12" s="7"/>
      <c r="D12" s="7" t="s">
        <v>116</v>
      </c>
      <c r="F12" s="20">
        <f>177909869+3280444+1927811+272033</f>
        <v>183390157</v>
      </c>
      <c r="H12" s="20">
        <f>25608847+349882+800645+20865</f>
        <v>26780239</v>
      </c>
      <c r="I12" s="19"/>
      <c r="J12" s="20">
        <f>SUM(F12:H12)</f>
        <v>210170396</v>
      </c>
    </row>
    <row r="13" spans="1:12">
      <c r="A13" s="118">
        <f t="shared" si="0"/>
        <v>4</v>
      </c>
      <c r="B13" s="7"/>
      <c r="C13" s="7"/>
      <c r="D13" s="7" t="s">
        <v>117</v>
      </c>
      <c r="J13" s="134">
        <f>+J12/J11</f>
        <v>4.8102661297758177E-2</v>
      </c>
    </row>
    <row r="14" spans="1:12">
      <c r="A14" s="118">
        <f t="shared" si="0"/>
        <v>5</v>
      </c>
      <c r="B14" s="7"/>
      <c r="C14" s="7"/>
      <c r="D14" s="7"/>
      <c r="F14" s="57"/>
      <c r="G14" s="19"/>
      <c r="H14" s="57"/>
      <c r="I14" s="19"/>
      <c r="J14" s="57"/>
    </row>
    <row r="15" spans="1:12">
      <c r="A15" s="118">
        <f t="shared" si="0"/>
        <v>6</v>
      </c>
      <c r="B15" s="7"/>
      <c r="C15" s="7"/>
      <c r="D15" s="7"/>
      <c r="E15" s="118"/>
      <c r="F15" s="20"/>
      <c r="G15" s="19"/>
      <c r="H15" s="20"/>
      <c r="I15" s="19"/>
      <c r="J15" s="20"/>
    </row>
    <row r="16" spans="1:12">
      <c r="A16" s="118">
        <f t="shared" si="0"/>
        <v>7</v>
      </c>
      <c r="B16" s="61" t="s">
        <v>29</v>
      </c>
      <c r="C16" s="61"/>
      <c r="D16" s="61"/>
      <c r="F16" s="20"/>
      <c r="G16" s="19"/>
      <c r="H16" s="20"/>
      <c r="I16" s="19"/>
      <c r="J16" s="20"/>
    </row>
    <row r="17" spans="1:12">
      <c r="A17" s="118">
        <f t="shared" si="0"/>
        <v>8</v>
      </c>
      <c r="B17" s="7"/>
      <c r="C17" s="7"/>
      <c r="D17" s="7" t="s">
        <v>118</v>
      </c>
      <c r="F17" s="9">
        <v>4480793973</v>
      </c>
      <c r="G17" s="21"/>
      <c r="H17" s="9">
        <v>604281290</v>
      </c>
      <c r="I17" s="21"/>
      <c r="J17" s="9">
        <f>SUM(F17:H17)</f>
        <v>5085075263</v>
      </c>
    </row>
    <row r="18" spans="1:12">
      <c r="A18" s="118">
        <f t="shared" si="0"/>
        <v>9</v>
      </c>
      <c r="B18" s="7"/>
      <c r="C18" s="7"/>
      <c r="D18" s="7" t="s">
        <v>119</v>
      </c>
      <c r="F18" s="20">
        <v>0</v>
      </c>
      <c r="G18" s="19"/>
      <c r="H18" s="20">
        <v>0</v>
      </c>
      <c r="I18" s="19"/>
      <c r="J18" s="20">
        <f>SUM(F18:H18)</f>
        <v>0</v>
      </c>
    </row>
    <row r="19" spans="1:12">
      <c r="A19" s="118">
        <f t="shared" si="0"/>
        <v>10</v>
      </c>
      <c r="B19" s="7"/>
      <c r="C19" s="7"/>
      <c r="D19" s="7" t="s">
        <v>120</v>
      </c>
      <c r="F19" s="22">
        <v>2570659</v>
      </c>
      <c r="G19" s="19"/>
      <c r="H19" s="22">
        <v>-2398042</v>
      </c>
      <c r="I19" s="19"/>
      <c r="J19" s="22">
        <f>SUM(F19:H19)</f>
        <v>172617</v>
      </c>
    </row>
    <row r="20" spans="1:12">
      <c r="A20" s="118">
        <f t="shared" si="0"/>
        <v>11</v>
      </c>
      <c r="B20" s="7"/>
      <c r="C20" s="7"/>
      <c r="D20" s="7"/>
      <c r="F20" s="7"/>
      <c r="G20" s="7"/>
      <c r="H20" s="7"/>
      <c r="I20" s="7"/>
      <c r="J20" s="7"/>
    </row>
    <row r="21" spans="1:12" ht="13.5" thickBot="1">
      <c r="A21" s="118">
        <f t="shared" si="0"/>
        <v>12</v>
      </c>
      <c r="B21" s="7"/>
      <c r="C21" s="7"/>
      <c r="D21" s="7" t="s">
        <v>121</v>
      </c>
      <c r="F21" s="60">
        <f>SUM(F17:F19)</f>
        <v>4483364632</v>
      </c>
      <c r="G21" s="7"/>
      <c r="H21" s="60">
        <f>SUM(H17:H19)</f>
        <v>601883248</v>
      </c>
      <c r="I21" s="7"/>
      <c r="J21" s="60">
        <f>SUM(J17:J19)</f>
        <v>5085247880</v>
      </c>
    </row>
    <row r="22" spans="1:12" ht="13.5" thickTop="1">
      <c r="A22" s="118">
        <f t="shared" si="0"/>
        <v>13</v>
      </c>
      <c r="B22" s="7"/>
      <c r="C22" s="7"/>
      <c r="D22" s="7"/>
      <c r="F22" s="20"/>
      <c r="G22" s="19"/>
      <c r="H22" s="20"/>
      <c r="I22" s="19"/>
      <c r="J22" s="20"/>
    </row>
    <row r="23" spans="1:12">
      <c r="A23" s="118">
        <f t="shared" si="0"/>
        <v>14</v>
      </c>
      <c r="B23" s="7"/>
      <c r="C23" s="7"/>
      <c r="D23" s="7"/>
      <c r="E23" s="7"/>
      <c r="F23" s="7"/>
      <c r="G23" s="7"/>
      <c r="H23" s="7"/>
      <c r="I23" s="7"/>
      <c r="J23" s="7"/>
    </row>
    <row r="24" spans="1:12">
      <c r="A24" s="118">
        <f t="shared" si="0"/>
        <v>15</v>
      </c>
      <c r="F24" s="7"/>
      <c r="G24" s="7"/>
      <c r="H24" s="7"/>
      <c r="I24" s="7"/>
      <c r="J24" s="7"/>
    </row>
    <row r="25" spans="1:12">
      <c r="A25" s="118">
        <f t="shared" si="0"/>
        <v>16</v>
      </c>
      <c r="F25" s="7"/>
      <c r="G25" s="7"/>
      <c r="H25" s="7"/>
      <c r="I25" s="7"/>
      <c r="J25" s="7"/>
    </row>
    <row r="26" spans="1:12">
      <c r="A26" s="118">
        <f t="shared" si="0"/>
        <v>17</v>
      </c>
      <c r="B26" s="61" t="s">
        <v>122</v>
      </c>
      <c r="C26" s="61"/>
      <c r="D26" s="61"/>
      <c r="E26" s="7"/>
      <c r="F26" s="39" t="s">
        <v>196</v>
      </c>
      <c r="G26" s="46"/>
      <c r="H26" s="39" t="s">
        <v>144</v>
      </c>
      <c r="I26" s="46"/>
      <c r="J26" s="39" t="s">
        <v>166</v>
      </c>
      <c r="K26" s="120"/>
      <c r="L26" s="125" t="s">
        <v>165</v>
      </c>
    </row>
    <row r="27" spans="1:12">
      <c r="A27" s="118">
        <f t="shared" si="0"/>
        <v>18</v>
      </c>
      <c r="B27" s="7"/>
      <c r="C27" s="7"/>
      <c r="D27" s="7"/>
      <c r="E27" s="7"/>
      <c r="F27" s="7"/>
      <c r="G27" s="7"/>
      <c r="H27" s="7"/>
      <c r="I27" s="7"/>
      <c r="J27" s="7"/>
    </row>
    <row r="28" spans="1:12">
      <c r="A28" s="118">
        <f t="shared" si="0"/>
        <v>19</v>
      </c>
      <c r="B28" s="7"/>
      <c r="C28" s="7"/>
      <c r="D28" s="7" t="s">
        <v>114</v>
      </c>
      <c r="E28" s="7"/>
      <c r="F28" s="37">
        <f>+J11</f>
        <v>4369205161</v>
      </c>
      <c r="G28" s="7"/>
      <c r="H28" s="62">
        <f>+F28/$F$34</f>
        <v>0.46213198606546446</v>
      </c>
      <c r="I28" s="7"/>
      <c r="J28" s="63">
        <f>+J13</f>
        <v>4.8102661297758177E-2</v>
      </c>
      <c r="L28" s="135">
        <f>+H28*J28</f>
        <v>2.2229778400567338E-2</v>
      </c>
    </row>
    <row r="29" spans="1:12">
      <c r="A29" s="118">
        <f t="shared" si="0"/>
        <v>20</v>
      </c>
      <c r="B29" s="7"/>
      <c r="C29" s="7"/>
      <c r="D29" s="7"/>
      <c r="E29" s="118"/>
      <c r="F29" s="7"/>
      <c r="G29" s="7"/>
      <c r="H29" s="7"/>
      <c r="I29" s="7"/>
      <c r="J29" s="64"/>
      <c r="L29" s="135"/>
    </row>
    <row r="30" spans="1:12">
      <c r="A30" s="118">
        <f t="shared" si="0"/>
        <v>21</v>
      </c>
      <c r="B30" s="7"/>
      <c r="C30" s="7"/>
      <c r="D30" s="7" t="s">
        <v>28</v>
      </c>
      <c r="F30" s="53">
        <f>-J18</f>
        <v>0</v>
      </c>
      <c r="G30" s="7"/>
      <c r="H30" s="62">
        <f>+F30/$F$34</f>
        <v>0</v>
      </c>
      <c r="I30" s="7"/>
      <c r="J30" s="63">
        <v>0</v>
      </c>
      <c r="L30" s="135">
        <f>+H30*J30</f>
        <v>0</v>
      </c>
    </row>
    <row r="31" spans="1:12">
      <c r="A31" s="118">
        <f t="shared" si="0"/>
        <v>22</v>
      </c>
      <c r="B31" s="7"/>
      <c r="C31" s="7"/>
      <c r="D31" s="7"/>
      <c r="F31" s="7"/>
      <c r="G31" s="7"/>
      <c r="H31" s="7"/>
      <c r="I31" s="7"/>
      <c r="J31" s="64"/>
      <c r="L31" s="135"/>
    </row>
    <row r="32" spans="1:12">
      <c r="A32" s="118">
        <f t="shared" si="0"/>
        <v>23</v>
      </c>
      <c r="B32" s="7"/>
      <c r="C32" s="7"/>
      <c r="D32" s="7" t="s">
        <v>123</v>
      </c>
      <c r="F32" s="54">
        <f>+J21</f>
        <v>5085247880</v>
      </c>
      <c r="G32" s="7"/>
      <c r="H32" s="65">
        <f>+F32/$F$34</f>
        <v>0.53786801393453554</v>
      </c>
      <c r="I32" s="7"/>
      <c r="J32" s="63">
        <v>0.12379999999999999</v>
      </c>
      <c r="L32" s="136">
        <f>+H32*J32</f>
        <v>6.6588060125095494E-2</v>
      </c>
    </row>
    <row r="33" spans="1:12">
      <c r="A33" s="118">
        <f t="shared" si="0"/>
        <v>24</v>
      </c>
      <c r="B33" s="7"/>
      <c r="C33" s="7"/>
      <c r="D33" s="7"/>
      <c r="F33" s="7"/>
      <c r="G33" s="7"/>
      <c r="H33" s="7"/>
      <c r="I33" s="7"/>
      <c r="J33" s="7"/>
      <c r="L33" s="135"/>
    </row>
    <row r="34" spans="1:12" ht="13.5" customHeight="1" thickBot="1">
      <c r="A34" s="118">
        <f t="shared" si="0"/>
        <v>25</v>
      </c>
      <c r="B34" s="7"/>
      <c r="C34" s="7"/>
      <c r="D34" s="7" t="s">
        <v>124</v>
      </c>
      <c r="F34" s="60">
        <f>SUM(F28:F32)</f>
        <v>9454453041</v>
      </c>
      <c r="G34" s="7"/>
      <c r="H34" s="62">
        <f>+F34/$F$34</f>
        <v>1</v>
      </c>
      <c r="I34" s="7"/>
      <c r="J34" s="7"/>
      <c r="L34" s="137">
        <f>SUM(L28:L32)</f>
        <v>8.8817838525662829E-2</v>
      </c>
    </row>
    <row r="35" spans="1:12" ht="13.5" thickTop="1">
      <c r="B35" s="7"/>
      <c r="C35" s="7"/>
      <c r="D35" s="7"/>
      <c r="F35" s="7"/>
      <c r="G35" s="7"/>
      <c r="H35" s="7"/>
      <c r="I35" s="7"/>
      <c r="J35" s="7"/>
    </row>
    <row r="36" spans="1:12">
      <c r="B36" s="7"/>
      <c r="C36" s="7"/>
      <c r="D36" s="7"/>
      <c r="F36" s="7"/>
      <c r="G36" s="7"/>
      <c r="H36" s="7"/>
      <c r="I36" s="7"/>
      <c r="J36" s="7"/>
    </row>
    <row r="37" spans="1:12">
      <c r="B37" s="7"/>
      <c r="C37" s="7"/>
      <c r="D37" s="7"/>
      <c r="F37" s="7"/>
      <c r="G37" s="7"/>
      <c r="H37" s="7"/>
      <c r="I37" s="7"/>
      <c r="J37" s="7"/>
    </row>
    <row r="38" spans="1:12">
      <c r="B38" s="7"/>
      <c r="C38" s="7"/>
      <c r="D38" s="7"/>
      <c r="F38" s="7"/>
      <c r="G38" s="7"/>
      <c r="H38" s="7"/>
      <c r="I38" s="7"/>
      <c r="J38" s="7"/>
    </row>
    <row r="39" spans="1:12">
      <c r="F39" s="7"/>
      <c r="G39" s="7"/>
      <c r="H39" s="7"/>
      <c r="I39" s="7"/>
      <c r="J39" s="7"/>
    </row>
  </sheetData>
  <phoneticPr fontId="16" type="noConversion"/>
  <printOptions horizontalCentered="1"/>
  <pageMargins left="0.75" right="0.25" top="0.75" bottom="0.4" header="0" footer="0.25"/>
  <pageSetup scale="75" orientation="portrait" r:id="rId1"/>
  <headerFooter alignWithMargins="0">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3"/>
    <pageSetUpPr fitToPage="1"/>
  </sheetPr>
  <dimension ref="A1:D25"/>
  <sheetViews>
    <sheetView showGridLines="0" tabSelected="1" workbookViewId="0"/>
  </sheetViews>
  <sheetFormatPr defaultRowHeight="15"/>
  <cols>
    <col min="3" max="3" width="1.77734375" customWidth="1"/>
    <col min="4" max="4" width="60.77734375" customWidth="1"/>
  </cols>
  <sheetData>
    <row r="1" spans="1:4">
      <c r="A1" t="s">
        <v>669</v>
      </c>
      <c r="B1" t="s">
        <v>670</v>
      </c>
      <c r="D1" t="s">
        <v>671</v>
      </c>
    </row>
    <row r="3" spans="1:4" ht="51" customHeight="1">
      <c r="A3" s="529" t="s">
        <v>663</v>
      </c>
      <c r="B3" s="530" t="s">
        <v>662</v>
      </c>
      <c r="D3" s="531" t="s">
        <v>419</v>
      </c>
    </row>
    <row r="4" spans="1:4" ht="67.5" customHeight="1">
      <c r="D4" s="531" t="s">
        <v>672</v>
      </c>
    </row>
    <row r="5" spans="1:4" ht="60">
      <c r="D5" s="531" t="s">
        <v>420</v>
      </c>
    </row>
    <row r="6" spans="1:4" ht="20.25" customHeight="1">
      <c r="D6" t="s">
        <v>664</v>
      </c>
    </row>
    <row r="7" spans="1:4">
      <c r="D7" t="s">
        <v>665</v>
      </c>
    </row>
    <row r="8" spans="1:4">
      <c r="D8" t="s">
        <v>666</v>
      </c>
    </row>
    <row r="9" spans="1:4">
      <c r="D9" t="s">
        <v>667</v>
      </c>
    </row>
    <row r="10" spans="1:4">
      <c r="D10" t="s">
        <v>668</v>
      </c>
    </row>
    <row r="12" spans="1:4" ht="45">
      <c r="A12" s="537" t="s">
        <v>937</v>
      </c>
      <c r="B12" s="530" t="s">
        <v>929</v>
      </c>
      <c r="D12" s="534" t="s">
        <v>930</v>
      </c>
    </row>
    <row r="14" spans="1:4" ht="45">
      <c r="D14" s="531" t="s">
        <v>931</v>
      </c>
    </row>
    <row r="16" spans="1:4" ht="45">
      <c r="D16" s="534" t="s">
        <v>932</v>
      </c>
    </row>
    <row r="18" spans="4:4" ht="60">
      <c r="D18" s="534" t="s">
        <v>938</v>
      </c>
    </row>
    <row r="19" spans="4:4" s="532" customFormat="1"/>
    <row r="20" spans="4:4">
      <c r="D20" s="532" t="s">
        <v>664</v>
      </c>
    </row>
    <row r="21" spans="4:4">
      <c r="D21" s="533" t="s">
        <v>933</v>
      </c>
    </row>
    <row r="22" spans="4:4">
      <c r="D22" s="533" t="s">
        <v>934</v>
      </c>
    </row>
    <row r="23" spans="4:4">
      <c r="D23" s="533" t="s">
        <v>943</v>
      </c>
    </row>
    <row r="24" spans="4:4">
      <c r="D24" s="533" t="s">
        <v>935</v>
      </c>
    </row>
    <row r="25" spans="4:4">
      <c r="D25" s="533" t="s">
        <v>936</v>
      </c>
    </row>
  </sheetData>
  <phoneticPr fontId="13" type="noConversion"/>
  <pageMargins left="0.75" right="0.75" top="1" bottom="1" header="0.5" footer="0.5"/>
  <pageSetup scale="93"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8B"/>
    <pageSetUpPr fitToPage="1"/>
  </sheetPr>
  <dimension ref="A1:M51"/>
  <sheetViews>
    <sheetView showGridLines="0" workbookViewId="0">
      <selection activeCell="F30" sqref="F30"/>
    </sheetView>
  </sheetViews>
  <sheetFormatPr defaultColWidth="8" defaultRowHeight="12.75"/>
  <cols>
    <col min="1" max="1" width="4" style="118" customWidth="1"/>
    <col min="2" max="2" width="2.33203125" style="113" customWidth="1"/>
    <col min="3" max="3" width="3.21875" style="113" customWidth="1"/>
    <col min="4" max="4" width="36.44140625" style="113" bestFit="1" customWidth="1"/>
    <col min="5" max="5" width="0.88671875" style="113" customWidth="1"/>
    <col min="6" max="6" width="11.77734375" style="113" customWidth="1"/>
    <col min="7" max="7" width="0.88671875" style="113" customWidth="1"/>
    <col min="8" max="8" width="10.44140625" style="114" customWidth="1"/>
    <col min="9" max="9" width="0.88671875" style="113" customWidth="1"/>
    <col min="10" max="10" width="10.44140625" style="113" bestFit="1" customWidth="1"/>
    <col min="11" max="16384" width="8" style="113"/>
  </cols>
  <sheetData>
    <row r="1" spans="1:10">
      <c r="A1" s="56" t="s">
        <v>36</v>
      </c>
      <c r="J1" s="74" t="s">
        <v>360</v>
      </c>
    </row>
    <row r="2" spans="1:10">
      <c r="A2" s="115" t="s">
        <v>216</v>
      </c>
      <c r="J2" s="116"/>
    </row>
    <row r="3" spans="1:10">
      <c r="A3" s="72" t="s">
        <v>361</v>
      </c>
      <c r="J3" s="117"/>
    </row>
    <row r="4" spans="1:10">
      <c r="A4" s="231" t="s">
        <v>283</v>
      </c>
    </row>
    <row r="5" spans="1:10">
      <c r="E5" s="119"/>
    </row>
    <row r="6" spans="1:10">
      <c r="D6" s="119"/>
      <c r="E6" s="119"/>
      <c r="J6" s="120"/>
    </row>
    <row r="7" spans="1:10">
      <c r="A7" s="115" t="s">
        <v>174</v>
      </c>
      <c r="F7" s="120"/>
      <c r="G7" s="121"/>
      <c r="H7" s="120"/>
      <c r="I7" s="120"/>
      <c r="J7" s="120" t="s">
        <v>151</v>
      </c>
    </row>
    <row r="8" spans="1:10">
      <c r="A8" s="122" t="s">
        <v>150</v>
      </c>
      <c r="C8" s="123"/>
      <c r="D8" s="122" t="s">
        <v>160</v>
      </c>
      <c r="E8" s="121"/>
      <c r="F8" s="124" t="s">
        <v>57</v>
      </c>
      <c r="G8" s="121"/>
      <c r="H8" s="125" t="s">
        <v>58</v>
      </c>
      <c r="I8" s="120"/>
      <c r="J8" s="125" t="s">
        <v>59</v>
      </c>
    </row>
    <row r="9" spans="1:10">
      <c r="F9" s="126"/>
      <c r="H9" s="126"/>
      <c r="J9" s="126"/>
    </row>
    <row r="10" spans="1:10">
      <c r="A10" s="188">
        <v>1</v>
      </c>
      <c r="B10" s="189" t="s">
        <v>236</v>
      </c>
      <c r="C10" s="190"/>
      <c r="D10" s="190"/>
      <c r="E10" s="191"/>
      <c r="F10" s="192"/>
      <c r="G10" s="193"/>
      <c r="H10" s="192"/>
      <c r="I10" s="194"/>
      <c r="J10" s="192"/>
    </row>
    <row r="11" spans="1:10">
      <c r="A11" s="188">
        <f t="shared" ref="A11:A25" si="0">+A10+1</f>
        <v>2</v>
      </c>
      <c r="B11" s="191"/>
      <c r="C11" s="191" t="s">
        <v>217</v>
      </c>
      <c r="D11" s="191" t="s">
        <v>218</v>
      </c>
      <c r="E11" s="191"/>
      <c r="F11" s="218">
        <v>1816105</v>
      </c>
      <c r="G11" s="19"/>
      <c r="H11" s="9">
        <v>0</v>
      </c>
      <c r="I11" s="195"/>
      <c r="J11" s="218">
        <f>SUM(F11:H11)</f>
        <v>1816105</v>
      </c>
    </row>
    <row r="12" spans="1:10">
      <c r="A12" s="188">
        <f t="shared" si="0"/>
        <v>3</v>
      </c>
      <c r="B12" s="191"/>
      <c r="C12" s="196" t="s">
        <v>219</v>
      </c>
      <c r="D12" s="191" t="s">
        <v>220</v>
      </c>
      <c r="E12" s="191"/>
      <c r="F12" s="219">
        <v>1816105</v>
      </c>
      <c r="G12" s="19"/>
      <c r="H12" s="22">
        <v>0</v>
      </c>
      <c r="I12" s="195"/>
      <c r="J12" s="219">
        <f>SUM(F12:H12)</f>
        <v>1816105</v>
      </c>
    </row>
    <row r="13" spans="1:10">
      <c r="A13" s="188">
        <f t="shared" si="0"/>
        <v>4</v>
      </c>
      <c r="B13" s="191"/>
      <c r="C13" s="196"/>
      <c r="D13" s="191"/>
      <c r="E13" s="191"/>
      <c r="F13" s="220"/>
      <c r="G13" s="19"/>
      <c r="H13" s="20"/>
      <c r="I13" s="195"/>
      <c r="J13" s="220"/>
    </row>
    <row r="14" spans="1:10">
      <c r="A14" s="188">
        <f t="shared" si="0"/>
        <v>5</v>
      </c>
      <c r="B14" s="191"/>
      <c r="C14" s="188"/>
      <c r="D14" s="191" t="s">
        <v>221</v>
      </c>
      <c r="E14" s="191"/>
      <c r="F14" s="221">
        <f>F11-F12</f>
        <v>0</v>
      </c>
      <c r="G14" s="19"/>
      <c r="H14" s="222">
        <f>H11-H12</f>
        <v>0</v>
      </c>
      <c r="I14" s="195"/>
      <c r="J14" s="221">
        <f>J11-J12</f>
        <v>0</v>
      </c>
    </row>
    <row r="15" spans="1:10">
      <c r="A15" s="188">
        <f t="shared" si="0"/>
        <v>6</v>
      </c>
      <c r="B15" s="191"/>
      <c r="C15" s="188"/>
      <c r="D15" s="191"/>
      <c r="E15" s="191"/>
      <c r="F15" s="221"/>
      <c r="G15" s="19"/>
      <c r="H15" s="222"/>
      <c r="I15" s="195"/>
      <c r="J15" s="221"/>
    </row>
    <row r="16" spans="1:10">
      <c r="A16" s="188">
        <f t="shared" si="0"/>
        <v>7</v>
      </c>
      <c r="B16" s="191"/>
      <c r="C16" s="191"/>
      <c r="D16" s="188"/>
      <c r="E16" s="188"/>
      <c r="F16" s="220"/>
      <c r="G16" s="19"/>
      <c r="H16" s="20"/>
      <c r="I16" s="195"/>
      <c r="J16" s="220"/>
    </row>
    <row r="17" spans="1:13">
      <c r="A17" s="188">
        <f t="shared" si="0"/>
        <v>8</v>
      </c>
      <c r="B17" s="189" t="s">
        <v>222</v>
      </c>
      <c r="C17" s="197"/>
      <c r="D17" s="189"/>
      <c r="E17" s="191"/>
      <c r="F17" s="220"/>
      <c r="G17" s="19"/>
      <c r="H17" s="20"/>
      <c r="I17" s="195"/>
      <c r="J17" s="220"/>
    </row>
    <row r="18" spans="1:13">
      <c r="A18" s="188">
        <f t="shared" si="0"/>
        <v>9</v>
      </c>
      <c r="B18" s="191"/>
      <c r="C18" s="188"/>
      <c r="D18" s="191" t="s">
        <v>378</v>
      </c>
      <c r="E18" s="191"/>
      <c r="F18" s="218">
        <v>831810.58</v>
      </c>
      <c r="G18" s="21"/>
      <c r="H18" s="9">
        <v>0</v>
      </c>
      <c r="I18" s="198"/>
      <c r="J18" s="218">
        <f>SUM(F18:H18)</f>
        <v>831810.58</v>
      </c>
      <c r="M18" s="131"/>
    </row>
    <row r="19" spans="1:13">
      <c r="A19" s="188">
        <f t="shared" si="0"/>
        <v>10</v>
      </c>
      <c r="B19" s="27"/>
      <c r="C19" s="27"/>
      <c r="D19" s="191"/>
      <c r="E19" s="27"/>
      <c r="F19" s="27"/>
      <c r="G19" s="199"/>
      <c r="H19" s="199"/>
      <c r="I19" s="200"/>
      <c r="J19" s="27"/>
    </row>
    <row r="20" spans="1:13">
      <c r="A20" s="188">
        <f t="shared" si="0"/>
        <v>11</v>
      </c>
      <c r="B20" s="27"/>
      <c r="C20" s="27"/>
      <c r="D20" s="27"/>
      <c r="E20" s="27"/>
      <c r="F20" s="27"/>
      <c r="G20" s="199"/>
      <c r="H20" s="199"/>
      <c r="I20" s="200"/>
      <c r="J20" s="27"/>
    </row>
    <row r="21" spans="1:13">
      <c r="A21" s="188">
        <f t="shared" si="0"/>
        <v>12</v>
      </c>
      <c r="B21" s="189" t="s">
        <v>599</v>
      </c>
      <c r="C21" s="197"/>
      <c r="D21" s="189"/>
      <c r="E21" s="27"/>
      <c r="F21" s="27"/>
      <c r="G21" s="199"/>
      <c r="H21" s="199"/>
      <c r="I21" s="200"/>
      <c r="J21" s="27"/>
    </row>
    <row r="22" spans="1:13">
      <c r="A22" s="188">
        <f t="shared" si="0"/>
        <v>13</v>
      </c>
      <c r="B22" s="191"/>
      <c r="C22" s="188" t="s">
        <v>217</v>
      </c>
      <c r="D22" s="191" t="s">
        <v>223</v>
      </c>
      <c r="E22" s="27"/>
      <c r="F22" s="218">
        <v>160278684.59893948</v>
      </c>
      <c r="G22" s="19"/>
      <c r="H22" s="9">
        <v>0</v>
      </c>
      <c r="I22" s="195"/>
      <c r="J22" s="218">
        <f>SUM(F22:H22)</f>
        <v>160278684.59893948</v>
      </c>
    </row>
    <row r="23" spans="1:13">
      <c r="A23" s="188">
        <f t="shared" si="0"/>
        <v>14</v>
      </c>
      <c r="B23" s="27"/>
      <c r="C23" s="27" t="s">
        <v>219</v>
      </c>
      <c r="D23" s="27" t="s">
        <v>223</v>
      </c>
      <c r="E23" s="27"/>
      <c r="F23" s="223">
        <v>70487229.5</v>
      </c>
      <c r="G23" s="132"/>
      <c r="H23" s="240">
        <v>0</v>
      </c>
      <c r="I23" s="195"/>
      <c r="J23" s="223">
        <f>SUM(F23:H23)</f>
        <v>70487229.5</v>
      </c>
    </row>
    <row r="24" spans="1:13">
      <c r="A24" s="188">
        <f t="shared" si="0"/>
        <v>15</v>
      </c>
      <c r="B24" s="27"/>
      <c r="C24" s="191"/>
      <c r="D24" s="27" t="s">
        <v>337</v>
      </c>
      <c r="E24" s="27"/>
      <c r="F24" s="224"/>
      <c r="G24" s="19"/>
      <c r="H24" s="113"/>
      <c r="I24" s="195"/>
      <c r="J24" s="224"/>
    </row>
    <row r="25" spans="1:13">
      <c r="A25" s="188">
        <f t="shared" si="0"/>
        <v>16</v>
      </c>
      <c r="B25" s="27"/>
      <c r="C25" s="27" t="s">
        <v>238</v>
      </c>
      <c r="D25" s="27" t="s">
        <v>239</v>
      </c>
      <c r="E25" s="27"/>
      <c r="F25" s="223">
        <v>33892605.238939486</v>
      </c>
      <c r="G25" s="132"/>
      <c r="H25" s="240">
        <v>0</v>
      </c>
      <c r="I25" s="195"/>
      <c r="J25" s="223">
        <f>SUM(F25:H25)</f>
        <v>33892605.238939486</v>
      </c>
    </row>
    <row r="26" spans="1:13">
      <c r="A26" s="188">
        <f>+A25+1</f>
        <v>17</v>
      </c>
      <c r="B26" s="27"/>
      <c r="C26" s="27" t="s">
        <v>238</v>
      </c>
      <c r="D26" s="27" t="s">
        <v>342</v>
      </c>
      <c r="E26" s="27"/>
      <c r="F26" s="223">
        <v>27612949</v>
      </c>
      <c r="G26" s="132"/>
      <c r="H26" s="240">
        <v>0</v>
      </c>
      <c r="I26" s="195"/>
      <c r="J26" s="223">
        <f>SUM(F26:H26)</f>
        <v>27612949</v>
      </c>
    </row>
    <row r="27" spans="1:13">
      <c r="A27" s="188">
        <f>+A25+1</f>
        <v>17</v>
      </c>
      <c r="B27" s="27"/>
      <c r="C27" s="27"/>
      <c r="D27" s="27" t="s">
        <v>224</v>
      </c>
      <c r="E27" s="27"/>
      <c r="F27" s="225">
        <f>F22-F23-F25-F26</f>
        <v>28285900.859999992</v>
      </c>
      <c r="G27" s="195"/>
      <c r="H27" s="225">
        <f>H22-H23-H25-H26</f>
        <v>0</v>
      </c>
      <c r="I27" s="195"/>
      <c r="J27" s="225">
        <f>J22-J23-J25-J26</f>
        <v>28285900.859999992</v>
      </c>
    </row>
    <row r="28" spans="1:13">
      <c r="A28" s="188"/>
      <c r="B28" s="27"/>
      <c r="C28" s="27"/>
      <c r="D28" s="191"/>
      <c r="E28" s="27"/>
      <c r="F28" s="27"/>
      <c r="G28" s="27"/>
      <c r="H28" s="200"/>
      <c r="I28" s="200"/>
      <c r="J28" s="200"/>
    </row>
    <row r="29" spans="1:13">
      <c r="A29" s="188">
        <v>18</v>
      </c>
      <c r="B29" s="189" t="s">
        <v>338</v>
      </c>
      <c r="C29" s="189"/>
      <c r="D29" s="189"/>
      <c r="E29" s="191"/>
      <c r="F29" s="191"/>
      <c r="G29" s="27"/>
      <c r="H29" s="200"/>
      <c r="I29" s="200"/>
      <c r="J29" s="200"/>
    </row>
    <row r="30" spans="1:13" ht="13.5" thickBot="1">
      <c r="A30" s="188">
        <v>19</v>
      </c>
      <c r="B30" s="191"/>
      <c r="C30" s="191"/>
      <c r="D30" s="191" t="s">
        <v>379</v>
      </c>
      <c r="E30" s="191"/>
      <c r="F30" s="508">
        <v>32430779.23893949</v>
      </c>
      <c r="G30" s="193"/>
      <c r="H30" s="201" t="s">
        <v>868</v>
      </c>
      <c r="I30" s="193"/>
      <c r="J30" s="193"/>
    </row>
    <row r="31" spans="1:13" ht="13.5" thickTop="1">
      <c r="A31" s="188"/>
      <c r="B31" s="191"/>
      <c r="C31" s="191"/>
      <c r="D31" s="191"/>
      <c r="E31" s="188"/>
      <c r="F31" s="191"/>
      <c r="G31" s="193"/>
      <c r="H31" s="201"/>
      <c r="I31" s="193"/>
      <c r="J31" s="193"/>
    </row>
    <row r="32" spans="1:13">
      <c r="A32" s="188">
        <v>20</v>
      </c>
      <c r="B32" s="189" t="s">
        <v>339</v>
      </c>
      <c r="C32" s="189"/>
      <c r="D32" s="189"/>
      <c r="E32" s="191"/>
      <c r="F32" s="191"/>
      <c r="G32" s="193"/>
      <c r="H32" s="201"/>
      <c r="I32" s="193"/>
      <c r="J32" s="193"/>
    </row>
    <row r="33" spans="1:10" ht="13.5" thickBot="1">
      <c r="A33" s="188">
        <v>21</v>
      </c>
      <c r="B33" s="191"/>
      <c r="C33" s="191"/>
      <c r="D33" s="191" t="s">
        <v>380</v>
      </c>
      <c r="E33" s="191"/>
      <c r="F33" s="508">
        <v>27612949</v>
      </c>
      <c r="G33" s="193"/>
      <c r="H33" s="201" t="s">
        <v>869</v>
      </c>
      <c r="I33" s="193"/>
      <c r="J33" s="193"/>
    </row>
    <row r="34" spans="1:10" ht="13.5" customHeight="1" thickTop="1">
      <c r="A34" s="188"/>
      <c r="B34" s="191"/>
      <c r="C34" s="191"/>
      <c r="D34" s="191"/>
      <c r="E34" s="191"/>
      <c r="F34" s="191"/>
      <c r="G34" s="193"/>
      <c r="H34" s="201"/>
      <c r="I34" s="193"/>
      <c r="J34" s="193"/>
    </row>
    <row r="35" spans="1:10">
      <c r="A35" s="188"/>
      <c r="B35" s="191"/>
      <c r="C35" s="191"/>
      <c r="D35" s="191"/>
      <c r="E35" s="191"/>
      <c r="F35" s="191"/>
      <c r="G35" s="193"/>
      <c r="H35" s="201"/>
      <c r="I35" s="193"/>
      <c r="J35" s="193"/>
    </row>
    <row r="36" spans="1:10">
      <c r="A36" s="188"/>
      <c r="B36" s="191"/>
      <c r="C36" s="191"/>
      <c r="D36" s="191"/>
      <c r="E36" s="191"/>
      <c r="F36" s="191"/>
      <c r="G36" s="193"/>
      <c r="H36" s="201"/>
      <c r="I36" s="193"/>
      <c r="J36" s="193"/>
    </row>
    <row r="37" spans="1:10">
      <c r="A37" s="188"/>
      <c r="B37" s="191"/>
      <c r="C37" s="191"/>
      <c r="D37" s="191"/>
      <c r="E37" s="191"/>
      <c r="F37" s="191"/>
      <c r="G37" s="193"/>
      <c r="H37" s="201"/>
      <c r="I37" s="193"/>
      <c r="J37" s="193"/>
    </row>
    <row r="38" spans="1:10">
      <c r="A38" s="188">
        <v>22</v>
      </c>
      <c r="B38" s="474" t="s">
        <v>515</v>
      </c>
      <c r="C38" s="191"/>
      <c r="D38" s="191" t="s">
        <v>600</v>
      </c>
      <c r="E38" s="191"/>
      <c r="F38" s="475">
        <f>F22</f>
        <v>160278684.59893948</v>
      </c>
      <c r="G38" s="193"/>
      <c r="H38" s="201"/>
      <c r="I38" s="193"/>
      <c r="J38" s="193"/>
    </row>
    <row r="39" spans="1:10" ht="6.75" customHeight="1">
      <c r="A39" s="188"/>
      <c r="B39" s="191"/>
      <c r="C39" s="191"/>
      <c r="D39" s="191"/>
      <c r="E39" s="191"/>
      <c r="F39" s="191"/>
      <c r="G39" s="193"/>
      <c r="H39" s="201"/>
      <c r="I39" s="193"/>
      <c r="J39" s="193"/>
    </row>
    <row r="40" spans="1:10">
      <c r="A40" s="188">
        <v>23</v>
      </c>
      <c r="B40" s="191"/>
      <c r="C40" s="191"/>
      <c r="D40" s="1" t="s">
        <v>661</v>
      </c>
      <c r="F40" s="239">
        <f>-F25</f>
        <v>-33892605.238939486</v>
      </c>
      <c r="G40" s="193"/>
      <c r="H40" s="201"/>
      <c r="I40" s="193"/>
      <c r="J40" s="193"/>
    </row>
    <row r="41" spans="1:10">
      <c r="A41" s="188">
        <v>24</v>
      </c>
      <c r="B41" s="191"/>
      <c r="C41" s="191"/>
      <c r="D41" s="1" t="s">
        <v>673</v>
      </c>
      <c r="F41" s="239">
        <f>-F26</f>
        <v>-27612949</v>
      </c>
      <c r="G41" s="193"/>
      <c r="H41" s="201"/>
      <c r="I41" s="193"/>
      <c r="J41" s="193"/>
    </row>
    <row r="42" spans="1:10">
      <c r="D42" s="1"/>
      <c r="F42" s="239"/>
      <c r="G42" s="193"/>
      <c r="H42" s="201"/>
      <c r="I42" s="193"/>
      <c r="J42" s="193"/>
    </row>
    <row r="43" spans="1:10">
      <c r="A43" s="118">
        <v>25</v>
      </c>
      <c r="D43" s="1" t="s">
        <v>602</v>
      </c>
      <c r="F43" s="239">
        <v>40064827.189999998</v>
      </c>
      <c r="G43" s="191"/>
      <c r="H43" s="205"/>
      <c r="I43" s="191"/>
      <c r="J43" s="191"/>
    </row>
    <row r="44" spans="1:10">
      <c r="A44" s="188">
        <v>26</v>
      </c>
      <c r="B44" s="191"/>
      <c r="C44" s="191"/>
      <c r="D44" s="1" t="s">
        <v>603</v>
      </c>
      <c r="F44" s="239">
        <v>28916456.949999999</v>
      </c>
      <c r="G44" s="191"/>
      <c r="H44" s="205"/>
      <c r="I44" s="191"/>
      <c r="J44" s="191"/>
    </row>
    <row r="45" spans="1:10" ht="16.5" customHeight="1">
      <c r="A45" s="188">
        <v>27</v>
      </c>
      <c r="B45" s="191"/>
      <c r="C45" s="191"/>
      <c r="D45" s="1" t="s">
        <v>601</v>
      </c>
      <c r="F45" s="243">
        <f>F38+F40+F41+F43+F44</f>
        <v>167754414.49999997</v>
      </c>
      <c r="G45" s="191"/>
      <c r="H45" s="205"/>
      <c r="I45" s="191"/>
      <c r="J45" s="191"/>
    </row>
    <row r="46" spans="1:10">
      <c r="B46" s="6"/>
      <c r="C46" s="5"/>
      <c r="H46" s="205"/>
    </row>
    <row r="50" spans="1:4" ht="15">
      <c r="A50" s="188"/>
      <c r="B50" s="202" t="s">
        <v>237</v>
      </c>
      <c r="C50" s="203" t="s">
        <v>340</v>
      </c>
      <c r="D50" s="191"/>
    </row>
    <row r="51" spans="1:4" ht="15">
      <c r="A51" s="188"/>
      <c r="B51" s="204"/>
      <c r="C51" s="203" t="s">
        <v>341</v>
      </c>
      <c r="D51" s="191"/>
    </row>
  </sheetData>
  <phoneticPr fontId="16" type="noConversion"/>
  <printOptions horizontalCentered="1"/>
  <pageMargins left="0.75" right="0.25" top="0.75" bottom="0.4" header="0" footer="0.25"/>
  <pageSetup scale="89" orientation="portrait" r:id="rId1"/>
  <headerFooter alignWithMargins="0">
    <oddFooter>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L42"/>
  <sheetViews>
    <sheetView showGridLines="0" zoomScaleNormal="75" workbookViewId="0">
      <selection activeCell="H32" sqref="H32"/>
    </sheetView>
  </sheetViews>
  <sheetFormatPr defaultColWidth="14.44140625" defaultRowHeight="12.75"/>
  <cols>
    <col min="1" max="1" width="4.77734375" style="91" customWidth="1"/>
    <col min="2" max="2" width="2.77734375" style="67" customWidth="1"/>
    <col min="3" max="3" width="33.5546875" style="67" customWidth="1"/>
    <col min="4" max="4" width="9.88671875" style="67" bestFit="1" customWidth="1"/>
    <col min="5" max="5" width="0.88671875" style="67" customWidth="1"/>
    <col min="6" max="6" width="10.77734375" style="67" customWidth="1"/>
    <col min="7" max="7" width="0.88671875" style="67" customWidth="1"/>
    <col min="8" max="8" width="10.77734375" style="67" customWidth="1"/>
    <col min="9" max="9" width="0.88671875" style="67" customWidth="1"/>
    <col min="10" max="10" width="13.77734375" style="67" customWidth="1"/>
    <col min="11" max="11" width="0.6640625" style="67" customWidth="1"/>
    <col min="12" max="12" width="14.44140625" style="67" bestFit="1" customWidth="1"/>
    <col min="13" max="16384" width="14.44140625" style="67"/>
  </cols>
  <sheetData>
    <row r="1" spans="1:12">
      <c r="A1" s="87" t="s">
        <v>36</v>
      </c>
      <c r="B1" s="88"/>
      <c r="C1" s="88"/>
      <c r="D1" s="88"/>
      <c r="E1" s="88"/>
      <c r="F1" s="88"/>
      <c r="G1" s="88"/>
      <c r="H1" s="88"/>
      <c r="I1" s="88"/>
      <c r="J1" s="88"/>
      <c r="K1" s="88"/>
      <c r="L1" s="74" t="s">
        <v>360</v>
      </c>
    </row>
    <row r="2" spans="1:12">
      <c r="A2" s="87" t="s">
        <v>225</v>
      </c>
      <c r="B2" s="88"/>
      <c r="C2" s="88"/>
      <c r="D2" s="88"/>
      <c r="E2" s="88"/>
      <c r="F2" s="88"/>
      <c r="G2" s="88"/>
      <c r="H2" s="88"/>
      <c r="I2" s="88"/>
      <c r="J2" s="88"/>
      <c r="K2" s="88"/>
      <c r="L2" s="89"/>
    </row>
    <row r="3" spans="1:12">
      <c r="A3" s="87" t="s">
        <v>361</v>
      </c>
      <c r="B3" s="88"/>
      <c r="C3" s="88"/>
      <c r="D3" s="88" t="s">
        <v>133</v>
      </c>
      <c r="E3" s="88"/>
      <c r="F3" s="88"/>
      <c r="G3" s="88"/>
      <c r="H3" s="88"/>
      <c r="I3" s="88"/>
      <c r="J3" s="88"/>
      <c r="K3" s="88"/>
    </row>
    <row r="4" spans="1:12">
      <c r="A4" s="231" t="s">
        <v>283</v>
      </c>
    </row>
    <row r="5" spans="1:12">
      <c r="B5" s="92"/>
    </row>
    <row r="6" spans="1:12">
      <c r="B6" s="92"/>
    </row>
    <row r="7" spans="1:12">
      <c r="A7" s="53"/>
      <c r="B7" s="53"/>
      <c r="C7" s="53"/>
      <c r="J7" s="66" t="s">
        <v>226</v>
      </c>
      <c r="K7" s="93"/>
    </row>
    <row r="8" spans="1:12">
      <c r="D8" s="53"/>
      <c r="E8" s="53"/>
      <c r="F8" s="66"/>
      <c r="G8" s="53"/>
      <c r="H8" s="66"/>
      <c r="I8" s="53"/>
      <c r="J8" s="93" t="s">
        <v>228</v>
      </c>
      <c r="K8" s="93"/>
      <c r="L8" s="94"/>
    </row>
    <row r="9" spans="1:12">
      <c r="A9" s="91" t="s">
        <v>174</v>
      </c>
      <c r="D9" s="93" t="s">
        <v>227</v>
      </c>
      <c r="E9" s="95"/>
      <c r="F9" s="93" t="s">
        <v>247</v>
      </c>
      <c r="G9" s="95"/>
      <c r="H9" s="93" t="s">
        <v>151</v>
      </c>
      <c r="I9" s="95"/>
      <c r="J9" s="93" t="s">
        <v>229</v>
      </c>
      <c r="L9" s="94"/>
    </row>
    <row r="10" spans="1:12">
      <c r="A10" s="96" t="s">
        <v>150</v>
      </c>
      <c r="D10" s="97" t="s">
        <v>248</v>
      </c>
      <c r="E10" s="95"/>
      <c r="F10" s="97" t="s">
        <v>249</v>
      </c>
      <c r="G10" s="95"/>
      <c r="H10" s="97" t="s">
        <v>250</v>
      </c>
      <c r="I10" s="95"/>
      <c r="J10" s="98" t="s">
        <v>251</v>
      </c>
      <c r="K10" s="94"/>
      <c r="L10" s="99" t="s">
        <v>230</v>
      </c>
    </row>
    <row r="11" spans="1:12">
      <c r="A11" s="100" t="s">
        <v>154</v>
      </c>
      <c r="B11" s="101" t="s">
        <v>37</v>
      </c>
      <c r="C11" s="102"/>
      <c r="D11" s="103"/>
      <c r="F11" s="103"/>
      <c r="H11" s="103"/>
      <c r="J11" s="103"/>
      <c r="L11" s="103"/>
    </row>
    <row r="12" spans="1:12">
      <c r="A12" s="104">
        <f t="shared" ref="A12:A25" si="0">+A11+1</f>
        <v>2</v>
      </c>
      <c r="C12" s="105" t="s">
        <v>362</v>
      </c>
      <c r="D12" s="38">
        <v>6433000</v>
      </c>
      <c r="E12" s="38"/>
      <c r="F12" s="38">
        <v>72000</v>
      </c>
      <c r="G12" s="38"/>
      <c r="H12" s="38">
        <f>D12+F12</f>
        <v>6505000</v>
      </c>
      <c r="I12" s="38"/>
      <c r="J12" s="38">
        <v>460000</v>
      </c>
      <c r="K12" s="38"/>
      <c r="L12" s="18">
        <f>H12+J12</f>
        <v>6965000</v>
      </c>
    </row>
    <row r="13" spans="1:12">
      <c r="A13" s="104">
        <f t="shared" si="0"/>
        <v>3</v>
      </c>
      <c r="C13" s="106" t="s">
        <v>175</v>
      </c>
      <c r="D13" s="38">
        <v>6104000</v>
      </c>
      <c r="E13" s="38"/>
      <c r="F13" s="38">
        <v>72000</v>
      </c>
      <c r="G13" s="38"/>
      <c r="H13" s="38">
        <f t="shared" ref="H13:H23" si="1">D13+F13</f>
        <v>6176000</v>
      </c>
      <c r="I13" s="38"/>
      <c r="J13" s="38">
        <v>468000</v>
      </c>
      <c r="K13" s="38"/>
      <c r="L13" s="18">
        <f t="shared" ref="L13:L23" si="2">H13+J13</f>
        <v>6644000</v>
      </c>
    </row>
    <row r="14" spans="1:12">
      <c r="A14" s="104">
        <f t="shared" si="0"/>
        <v>4</v>
      </c>
      <c r="C14" s="106" t="s">
        <v>176</v>
      </c>
      <c r="D14" s="38">
        <v>5792000</v>
      </c>
      <c r="E14" s="38"/>
      <c r="F14" s="38">
        <v>61000</v>
      </c>
      <c r="G14" s="38"/>
      <c r="H14" s="38">
        <f t="shared" si="1"/>
        <v>5853000</v>
      </c>
      <c r="I14" s="38"/>
      <c r="J14" s="38">
        <v>449000</v>
      </c>
      <c r="K14" s="38"/>
      <c r="L14" s="18">
        <f t="shared" si="2"/>
        <v>6302000</v>
      </c>
    </row>
    <row r="15" spans="1:12">
      <c r="A15" s="104">
        <f t="shared" si="0"/>
        <v>5</v>
      </c>
      <c r="C15" s="106" t="s">
        <v>177</v>
      </c>
      <c r="D15" s="38">
        <v>5483000</v>
      </c>
      <c r="E15" s="38"/>
      <c r="F15" s="38">
        <v>54000</v>
      </c>
      <c r="G15" s="38"/>
      <c r="H15" s="38">
        <f t="shared" si="1"/>
        <v>5537000</v>
      </c>
      <c r="I15" s="38"/>
      <c r="J15" s="38">
        <v>385000</v>
      </c>
      <c r="K15" s="38"/>
      <c r="L15" s="18">
        <f t="shared" si="2"/>
        <v>5922000</v>
      </c>
    </row>
    <row r="16" spans="1:12">
      <c r="A16" s="104">
        <f t="shared" si="0"/>
        <v>6</v>
      </c>
      <c r="C16" s="106" t="s">
        <v>149</v>
      </c>
      <c r="D16" s="38">
        <v>6084000</v>
      </c>
      <c r="E16" s="38"/>
      <c r="F16" s="38">
        <v>54000</v>
      </c>
      <c r="G16" s="38"/>
      <c r="H16" s="38">
        <f t="shared" si="1"/>
        <v>6138000</v>
      </c>
      <c r="I16" s="38"/>
      <c r="J16" s="38">
        <v>384000</v>
      </c>
      <c r="K16" s="38"/>
      <c r="L16" s="18">
        <f t="shared" si="2"/>
        <v>6522000</v>
      </c>
    </row>
    <row r="17" spans="1:12">
      <c r="A17" s="104">
        <f t="shared" si="0"/>
        <v>7</v>
      </c>
      <c r="C17" s="106" t="s">
        <v>178</v>
      </c>
      <c r="D17" s="38">
        <v>7710000</v>
      </c>
      <c r="E17" s="38"/>
      <c r="F17" s="38">
        <v>93000</v>
      </c>
      <c r="G17" s="38"/>
      <c r="H17" s="38">
        <f t="shared" si="1"/>
        <v>7803000</v>
      </c>
      <c r="I17" s="38"/>
      <c r="J17" s="38">
        <v>483000</v>
      </c>
      <c r="K17" s="38"/>
      <c r="L17" s="18">
        <f t="shared" si="2"/>
        <v>8286000</v>
      </c>
    </row>
    <row r="18" spans="1:12">
      <c r="A18" s="104">
        <f t="shared" si="0"/>
        <v>8</v>
      </c>
      <c r="C18" s="106" t="s">
        <v>179</v>
      </c>
      <c r="D18" s="38">
        <v>8947000</v>
      </c>
      <c r="E18" s="38"/>
      <c r="F18" s="38">
        <v>81000</v>
      </c>
      <c r="G18" s="38"/>
      <c r="H18" s="38">
        <f t="shared" si="1"/>
        <v>9028000</v>
      </c>
      <c r="I18" s="38"/>
      <c r="J18" s="38">
        <v>582000</v>
      </c>
      <c r="K18" s="38"/>
      <c r="L18" s="18">
        <f t="shared" si="2"/>
        <v>9610000</v>
      </c>
    </row>
    <row r="19" spans="1:12">
      <c r="A19" s="104">
        <f t="shared" si="0"/>
        <v>9</v>
      </c>
      <c r="C19" s="106" t="s">
        <v>180</v>
      </c>
      <c r="D19" s="38">
        <v>9219000</v>
      </c>
      <c r="E19" s="38"/>
      <c r="F19" s="38">
        <v>79000</v>
      </c>
      <c r="G19" s="38"/>
      <c r="H19" s="38">
        <f t="shared" si="1"/>
        <v>9298000</v>
      </c>
      <c r="I19" s="38"/>
      <c r="J19" s="67">
        <v>596000</v>
      </c>
      <c r="K19" s="38"/>
      <c r="L19" s="18">
        <f t="shared" si="2"/>
        <v>9894000</v>
      </c>
    </row>
    <row r="20" spans="1:12">
      <c r="A20" s="104">
        <f t="shared" si="0"/>
        <v>10</v>
      </c>
      <c r="C20" s="106" t="s">
        <v>181</v>
      </c>
      <c r="D20" s="38">
        <v>8220000</v>
      </c>
      <c r="E20" s="38"/>
      <c r="F20" s="38">
        <v>86000</v>
      </c>
      <c r="G20" s="38"/>
      <c r="H20" s="38">
        <f t="shared" si="1"/>
        <v>8306000</v>
      </c>
      <c r="I20" s="38"/>
      <c r="J20" s="38">
        <v>540000</v>
      </c>
      <c r="K20" s="38"/>
      <c r="L20" s="18">
        <f t="shared" si="2"/>
        <v>8846000</v>
      </c>
    </row>
    <row r="21" spans="1:12">
      <c r="A21" s="104">
        <f t="shared" si="0"/>
        <v>11</v>
      </c>
      <c r="C21" s="106" t="s">
        <v>182</v>
      </c>
      <c r="D21" s="38">
        <v>5718000</v>
      </c>
      <c r="E21" s="38"/>
      <c r="F21" s="38">
        <v>55000</v>
      </c>
      <c r="G21" s="38"/>
      <c r="H21" s="38">
        <f t="shared" si="1"/>
        <v>5773000</v>
      </c>
      <c r="I21" s="38"/>
      <c r="J21" s="38">
        <v>386000</v>
      </c>
      <c r="K21" s="38"/>
      <c r="L21" s="18">
        <f t="shared" si="2"/>
        <v>6159000</v>
      </c>
    </row>
    <row r="22" spans="1:12">
      <c r="A22" s="104">
        <f t="shared" si="0"/>
        <v>12</v>
      </c>
      <c r="C22" s="106" t="s">
        <v>183</v>
      </c>
      <c r="D22" s="38">
        <v>5804000</v>
      </c>
      <c r="E22" s="38"/>
      <c r="F22" s="38">
        <v>106000</v>
      </c>
      <c r="G22" s="38"/>
      <c r="H22" s="38">
        <f t="shared" si="1"/>
        <v>5910000</v>
      </c>
      <c r="I22" s="38"/>
      <c r="J22" s="38">
        <v>459000</v>
      </c>
      <c r="K22" s="38"/>
      <c r="L22" s="18">
        <f t="shared" si="2"/>
        <v>6369000</v>
      </c>
    </row>
    <row r="23" spans="1:12">
      <c r="A23" s="104">
        <f t="shared" si="0"/>
        <v>13</v>
      </c>
      <c r="C23" s="105" t="s">
        <v>363</v>
      </c>
      <c r="D23" s="38">
        <v>6413000</v>
      </c>
      <c r="E23" s="38"/>
      <c r="F23" s="38">
        <v>72000</v>
      </c>
      <c r="G23" s="38"/>
      <c r="H23" s="38">
        <f t="shared" si="1"/>
        <v>6485000</v>
      </c>
      <c r="I23" s="38"/>
      <c r="J23" s="38">
        <v>469000</v>
      </c>
      <c r="K23" s="38"/>
      <c r="L23" s="18">
        <f t="shared" si="2"/>
        <v>6954000</v>
      </c>
    </row>
    <row r="24" spans="1:12">
      <c r="A24" s="104">
        <f t="shared" si="0"/>
        <v>14</v>
      </c>
      <c r="C24" s="106"/>
      <c r="D24" s="34"/>
      <c r="E24" s="18"/>
      <c r="F24" s="34"/>
      <c r="G24" s="18"/>
      <c r="H24" s="34"/>
      <c r="J24" s="34"/>
      <c r="K24" s="107"/>
      <c r="L24" s="34"/>
    </row>
    <row r="25" spans="1:12" ht="13.5" thickBot="1">
      <c r="A25" s="104">
        <f t="shared" si="0"/>
        <v>15</v>
      </c>
      <c r="C25" s="108" t="s">
        <v>231</v>
      </c>
      <c r="D25" s="109">
        <f>SUM(D12:D23)/12</f>
        <v>6827250</v>
      </c>
      <c r="E25" s="18"/>
      <c r="F25" s="109">
        <f>SUM(F12:F23)/12</f>
        <v>73750</v>
      </c>
      <c r="G25" s="18"/>
      <c r="H25" s="109">
        <f>D25+F25</f>
        <v>6901000</v>
      </c>
      <c r="J25" s="109">
        <f>SUM(J12:J23)/12</f>
        <v>471750</v>
      </c>
      <c r="K25" s="110"/>
      <c r="L25" s="109">
        <f>SUM(L12:L23)/12</f>
        <v>7372750</v>
      </c>
    </row>
    <row r="26" spans="1:12" ht="13.5" thickTop="1"/>
    <row r="29" spans="1:12">
      <c r="D29" s="111"/>
    </row>
    <row r="30" spans="1:12">
      <c r="D30" s="111"/>
      <c r="F30" s="112"/>
    </row>
    <row r="31" spans="1:12">
      <c r="D31" s="111"/>
      <c r="F31" s="112"/>
    </row>
    <row r="32" spans="1:12">
      <c r="D32" s="111"/>
      <c r="F32" s="112"/>
    </row>
    <row r="33" spans="4:6">
      <c r="D33" s="111"/>
      <c r="F33" s="112"/>
    </row>
    <row r="34" spans="4:6" ht="13.5" customHeight="1">
      <c r="D34" s="111"/>
      <c r="F34" s="112"/>
    </row>
    <row r="35" spans="4:6">
      <c r="D35" s="111"/>
      <c r="F35" s="112"/>
    </row>
    <row r="36" spans="4:6">
      <c r="D36" s="111"/>
      <c r="F36" s="112"/>
    </row>
    <row r="37" spans="4:6">
      <c r="D37" s="111"/>
      <c r="F37" s="112"/>
    </row>
    <row r="38" spans="4:6">
      <c r="D38" s="111"/>
      <c r="F38" s="112"/>
    </row>
    <row r="39" spans="4:6">
      <c r="D39" s="111"/>
      <c r="F39" s="112"/>
    </row>
    <row r="40" spans="4:6">
      <c r="D40" s="111"/>
      <c r="F40" s="112"/>
    </row>
    <row r="41" spans="4:6">
      <c r="D41" s="111"/>
      <c r="F41" s="112"/>
    </row>
    <row r="42" spans="4:6">
      <c r="D42" s="111"/>
      <c r="F42" s="112"/>
    </row>
  </sheetData>
  <phoneticPr fontId="10" type="noConversion"/>
  <printOptions horizontalCentered="1"/>
  <pageMargins left="0.75" right="0.25" top="0.75" bottom="0.4" header="0" footer="0.25"/>
  <pageSetup scale="76" orientation="portrait" r:id="rId1"/>
  <headerFooter alignWithMargins="0">
    <oddFooter>Page &amp;P of &amp;N</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37"/>
  <sheetViews>
    <sheetView showGridLines="0" workbookViewId="0">
      <selection activeCell="F16" sqref="F16"/>
    </sheetView>
  </sheetViews>
  <sheetFormatPr defaultRowHeight="15"/>
  <cols>
    <col min="1" max="1" width="4.6640625" style="7" customWidth="1"/>
    <col min="2" max="2" width="42.5546875" style="90" customWidth="1"/>
    <col min="3" max="3" width="3" style="7" customWidth="1"/>
    <col min="4" max="4" width="12.88671875" style="7" bestFit="1" customWidth="1"/>
    <col min="5" max="5" width="1.88671875" style="7" customWidth="1"/>
    <col min="6" max="6" width="11.77734375" style="7" bestFit="1" customWidth="1"/>
    <col min="7" max="7" width="1.88671875" style="7" customWidth="1"/>
    <col min="8" max="8" width="12.33203125" style="7" bestFit="1" customWidth="1"/>
    <col min="9" max="9" width="3.44140625" style="7" customWidth="1"/>
    <col min="10" max="16384" width="8.88671875" style="7"/>
  </cols>
  <sheetData>
    <row r="1" spans="1:13" s="67" customFormat="1" ht="12.75">
      <c r="A1" s="87" t="s">
        <v>36</v>
      </c>
      <c r="C1" s="88"/>
      <c r="D1" s="88"/>
      <c r="E1" s="88"/>
      <c r="F1" s="88"/>
      <c r="G1" s="88"/>
      <c r="H1" s="88"/>
      <c r="I1" s="74" t="s">
        <v>360</v>
      </c>
      <c r="J1" s="88"/>
      <c r="K1" s="88"/>
    </row>
    <row r="2" spans="1:13" s="67" customFormat="1" ht="12.75">
      <c r="A2" s="187" t="s">
        <v>330</v>
      </c>
      <c r="C2" s="88"/>
      <c r="D2" s="88"/>
      <c r="E2" s="88"/>
      <c r="F2" s="88"/>
      <c r="G2" s="88"/>
      <c r="H2" s="88"/>
      <c r="I2" s="88"/>
      <c r="J2" s="88"/>
      <c r="K2" s="88"/>
      <c r="L2" s="88"/>
      <c r="M2" s="89"/>
    </row>
    <row r="3" spans="1:13" s="67" customFormat="1" ht="12.75">
      <c r="A3" s="87" t="s">
        <v>361</v>
      </c>
      <c r="C3" s="88"/>
      <c r="D3" s="88"/>
      <c r="E3" s="88" t="s">
        <v>133</v>
      </c>
      <c r="F3" s="88"/>
      <c r="G3" s="88"/>
      <c r="H3" s="88"/>
      <c r="I3" s="88"/>
      <c r="J3" s="88"/>
      <c r="K3" s="88"/>
      <c r="L3" s="88"/>
    </row>
    <row r="4" spans="1:13" s="67" customFormat="1" ht="12.75">
      <c r="A4" s="234" t="s">
        <v>283</v>
      </c>
    </row>
    <row r="5" spans="1:13" ht="12.75">
      <c r="B5" s="67"/>
    </row>
    <row r="7" spans="1:13" ht="12.75">
      <c r="B7" s="7"/>
      <c r="D7" s="7" t="s">
        <v>365</v>
      </c>
      <c r="F7" s="7" t="s">
        <v>366</v>
      </c>
    </row>
    <row r="10" spans="1:13" ht="13.5" thickBot="1">
      <c r="A10" s="10" t="s">
        <v>260</v>
      </c>
      <c r="B10" s="7"/>
      <c r="C10" s="11"/>
      <c r="D10" s="71">
        <f>274598347.805069</f>
        <v>274598347.80506903</v>
      </c>
      <c r="E10" s="10"/>
      <c r="F10" s="71">
        <v>270341032.53674299</v>
      </c>
      <c r="G10" s="10"/>
      <c r="H10" s="71">
        <f>D10-F10</f>
        <v>4257315.2683260441</v>
      </c>
    </row>
    <row r="11" spans="1:13" ht="13.5" thickTop="1">
      <c r="B11" s="7"/>
      <c r="H11" s="16"/>
    </row>
    <row r="12" spans="1:13" ht="12.75">
      <c r="A12" s="10" t="s">
        <v>261</v>
      </c>
      <c r="B12" s="7"/>
      <c r="C12" s="10"/>
      <c r="D12" s="11">
        <v>6945416.666666667</v>
      </c>
      <c r="E12" s="10"/>
      <c r="F12" s="11">
        <v>6998318.7804716667</v>
      </c>
      <c r="G12" s="10"/>
      <c r="H12" s="226">
        <f>D12-F12</f>
        <v>-52902.113804999739</v>
      </c>
    </row>
    <row r="13" spans="1:13" ht="12.75">
      <c r="A13" s="13" t="s">
        <v>262</v>
      </c>
      <c r="B13" s="7"/>
      <c r="C13" s="10"/>
      <c r="D13" s="11">
        <v>461166.66666666669</v>
      </c>
      <c r="E13" s="10"/>
      <c r="F13" s="11">
        <v>447250</v>
      </c>
      <c r="G13" s="10"/>
      <c r="H13" s="226">
        <f>D13-F13</f>
        <v>13916.666666666686</v>
      </c>
    </row>
    <row r="14" spans="1:13" ht="12.75">
      <c r="A14" s="13" t="s">
        <v>263</v>
      </c>
      <c r="B14" s="7"/>
      <c r="C14" s="10"/>
      <c r="D14" s="13">
        <v>0</v>
      </c>
      <c r="E14" s="10"/>
      <c r="F14" s="13">
        <v>0</v>
      </c>
      <c r="G14" s="10"/>
      <c r="H14" s="227">
        <f>D14-F14</f>
        <v>0</v>
      </c>
    </row>
    <row r="15" spans="1:13" ht="12.75">
      <c r="A15" s="10" t="s">
        <v>264</v>
      </c>
      <c r="B15" s="7"/>
      <c r="C15" s="10"/>
      <c r="D15" s="14">
        <f>SUM(D12:D14)</f>
        <v>7406583.333333334</v>
      </c>
      <c r="E15" s="10"/>
      <c r="F15" s="14">
        <f>SUM(F12:F14)</f>
        <v>7445568.7804716667</v>
      </c>
      <c r="G15" s="10"/>
      <c r="H15" s="228">
        <f>D15-F15</f>
        <v>-38985.447138332762</v>
      </c>
    </row>
    <row r="16" spans="1:13">
      <c r="H16" s="206"/>
    </row>
    <row r="17" spans="1:8" ht="12.75">
      <c r="A17" s="10" t="s">
        <v>265</v>
      </c>
      <c r="B17" s="7"/>
      <c r="C17" s="10"/>
      <c r="D17" s="235">
        <f>ROUND(D10/D15,8)</f>
        <v>37.074901539999999</v>
      </c>
      <c r="E17" s="235"/>
      <c r="F17" s="235">
        <f>ROUND(F10/F15,8)</f>
        <v>36.308983300000001</v>
      </c>
      <c r="G17" s="207"/>
      <c r="H17" s="236">
        <f>D17-F17</f>
        <v>0.76591823999999775</v>
      </c>
    </row>
    <row r="18" spans="1:8" ht="12.75">
      <c r="A18" s="10"/>
      <c r="B18" s="7"/>
      <c r="C18" s="10"/>
      <c r="E18" s="10"/>
      <c r="G18" s="10"/>
      <c r="H18" s="206"/>
    </row>
    <row r="19" spans="1:8">
      <c r="H19" s="206"/>
    </row>
    <row r="20" spans="1:8" ht="12.75">
      <c r="A20" s="10" t="s">
        <v>266</v>
      </c>
      <c r="B20" s="7"/>
      <c r="H20" s="208">
        <f>D15</f>
        <v>7406583.333333334</v>
      </c>
    </row>
    <row r="21" spans="1:8" ht="12.75">
      <c r="A21" s="10" t="s">
        <v>267</v>
      </c>
      <c r="B21" s="7"/>
      <c r="H21" s="209">
        <f>F15</f>
        <v>7445568.7804716667</v>
      </c>
    </row>
    <row r="22" spans="1:8" ht="12.75">
      <c r="A22" s="10" t="s">
        <v>268</v>
      </c>
      <c r="B22" s="7"/>
      <c r="H22" s="210">
        <f>H20-H21</f>
        <v>-38985.447138332762</v>
      </c>
    </row>
    <row r="23" spans="1:8">
      <c r="H23" s="16"/>
    </row>
    <row r="24" spans="1:8" ht="12.75">
      <c r="A24" s="7" t="s">
        <v>269</v>
      </c>
      <c r="B24" s="7"/>
      <c r="H24" s="237">
        <f>F17</f>
        <v>36.308983300000001</v>
      </c>
    </row>
    <row r="25" spans="1:8">
      <c r="H25" s="16"/>
    </row>
    <row r="26" spans="1:8" ht="13.5" thickBot="1">
      <c r="A26" s="10" t="s">
        <v>270</v>
      </c>
      <c r="B26" s="7"/>
      <c r="H26" s="211">
        <f>H22*H24</f>
        <v>-1415521.9490887572</v>
      </c>
    </row>
    <row r="27" spans="1:8" ht="13.5" thickTop="1">
      <c r="B27" s="7"/>
      <c r="H27" s="16"/>
    </row>
    <row r="28" spans="1:8" ht="12.75">
      <c r="A28" s="7" t="s">
        <v>271</v>
      </c>
      <c r="B28" s="7"/>
      <c r="H28" s="16">
        <f>H10-H26</f>
        <v>5672837.217414801</v>
      </c>
    </row>
    <row r="29" spans="1:8">
      <c r="H29" s="16"/>
    </row>
    <row r="30" spans="1:8" ht="12.75">
      <c r="B30" s="7"/>
      <c r="F30" s="17" t="s">
        <v>272</v>
      </c>
      <c r="H30" s="16">
        <f>H17*D15</f>
        <v>5672837.2710799836</v>
      </c>
    </row>
    <row r="31" spans="1:8" ht="12.75">
      <c r="B31" s="7"/>
      <c r="F31" s="17"/>
      <c r="H31" s="16"/>
    </row>
    <row r="32" spans="1:8" ht="12.75">
      <c r="B32" s="7"/>
      <c r="F32" s="17" t="s">
        <v>273</v>
      </c>
      <c r="H32" s="16">
        <f>H28-H30</f>
        <v>-5.3665182553231716E-2</v>
      </c>
    </row>
    <row r="33" spans="1:8" ht="12.75">
      <c r="B33" s="7"/>
      <c r="H33" s="206"/>
    </row>
    <row r="34" spans="1:8" ht="13.5" customHeight="1"/>
    <row r="35" spans="1:8" ht="12.75">
      <c r="B35" s="7"/>
    </row>
    <row r="37" spans="1:8" ht="12.75">
      <c r="A37" s="7" t="s">
        <v>274</v>
      </c>
      <c r="B37" s="7"/>
    </row>
  </sheetData>
  <phoneticPr fontId="13" type="noConversion"/>
  <pageMargins left="0.75" right="0.75" top="1" bottom="1" header="0.5" footer="0.5"/>
  <pageSetup scale="79" orientation="portrait" r:id="rId1"/>
  <headerFooter alignWithMargins="0">
    <oddFooter>Page &amp;P of &amp;N</oddFooter>
  </headerFooter>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5"/>
  <sheetViews>
    <sheetView showGridLines="0" workbookViewId="0">
      <selection activeCell="D34" sqref="D34"/>
    </sheetView>
  </sheetViews>
  <sheetFormatPr defaultRowHeight="12.75"/>
  <cols>
    <col min="1" max="1" width="5.6640625" style="7" customWidth="1"/>
    <col min="2" max="2" width="36.109375" style="7" customWidth="1"/>
    <col min="3" max="3" width="14" style="7" bestFit="1" customWidth="1"/>
    <col min="4" max="4" width="11.77734375" style="7" bestFit="1" customWidth="1"/>
    <col min="5" max="16384" width="8.88671875" style="7"/>
  </cols>
  <sheetData>
    <row r="1" spans="1:13" s="67" customFormat="1">
      <c r="A1" s="87" t="s">
        <v>36</v>
      </c>
      <c r="C1" s="88"/>
      <c r="D1" s="88"/>
      <c r="E1" s="74" t="s">
        <v>360</v>
      </c>
      <c r="F1" s="88"/>
      <c r="G1" s="88"/>
      <c r="H1" s="88"/>
      <c r="J1" s="88"/>
      <c r="K1" s="88"/>
    </row>
    <row r="2" spans="1:13" s="67" customFormat="1">
      <c r="A2" s="187" t="s">
        <v>331</v>
      </c>
      <c r="C2" s="88"/>
      <c r="D2" s="88"/>
      <c r="E2" s="88"/>
      <c r="F2" s="88"/>
      <c r="G2" s="88"/>
      <c r="H2" s="88"/>
      <c r="I2" s="88"/>
      <c r="J2" s="88"/>
      <c r="K2" s="88"/>
      <c r="L2" s="88"/>
      <c r="M2" s="89"/>
    </row>
    <row r="3" spans="1:13" s="67" customFormat="1">
      <c r="A3" s="87" t="s">
        <v>361</v>
      </c>
      <c r="C3" s="88"/>
      <c r="D3" s="88"/>
      <c r="E3" s="88" t="s">
        <v>133</v>
      </c>
      <c r="F3" s="88"/>
      <c r="G3" s="88"/>
      <c r="H3" s="88"/>
      <c r="I3" s="88"/>
      <c r="J3" s="88"/>
      <c r="K3" s="88"/>
      <c r="L3" s="88"/>
    </row>
    <row r="4" spans="1:13" s="67" customFormat="1">
      <c r="A4" s="234" t="s">
        <v>283</v>
      </c>
      <c r="C4" s="88"/>
    </row>
    <row r="5" spans="1:13">
      <c r="B5" s="67"/>
    </row>
    <row r="8" spans="1:13">
      <c r="B8" s="10" t="s">
        <v>275</v>
      </c>
      <c r="C8" s="16">
        <f>'WP True Up Calc in 2013 Formula'!H10</f>
        <v>4257315.2683260441</v>
      </c>
    </row>
    <row r="9" spans="1:13">
      <c r="B9" s="10" t="s">
        <v>276</v>
      </c>
      <c r="C9" s="16">
        <f>-'WP True Up Calc in 2013 Formula'!H26</f>
        <v>1415521.9490887572</v>
      </c>
    </row>
    <row r="10" spans="1:13">
      <c r="C10" s="16"/>
    </row>
    <row r="11" spans="1:13">
      <c r="B11" s="7" t="s">
        <v>271</v>
      </c>
      <c r="C11" s="16">
        <f>SUM(C8:C10)</f>
        <v>5672837.217414801</v>
      </c>
    </row>
    <row r="12" spans="1:13">
      <c r="C12" s="16"/>
    </row>
    <row r="13" spans="1:13">
      <c r="B13" s="7" t="s">
        <v>368</v>
      </c>
      <c r="C13" s="23">
        <v>3.7000000000000002E-3</v>
      </c>
    </row>
    <row r="15" spans="1:13" ht="13.5" thickBot="1">
      <c r="B15" s="238" t="s">
        <v>367</v>
      </c>
      <c r="C15" s="68">
        <f>D31</f>
        <v>42115.154125380155</v>
      </c>
    </row>
    <row r="16" spans="1:13" ht="13.5" thickTop="1"/>
    <row r="21" spans="2:4">
      <c r="B21" s="7" t="s">
        <v>277</v>
      </c>
    </row>
    <row r="22" spans="2:4">
      <c r="C22" s="69" t="s">
        <v>278</v>
      </c>
      <c r="D22" s="69" t="s">
        <v>279</v>
      </c>
    </row>
    <row r="23" spans="2:4">
      <c r="B23" s="7" t="s">
        <v>293</v>
      </c>
      <c r="C23" s="12">
        <f>C11</f>
        <v>5672837.217414801</v>
      </c>
      <c r="D23" s="12">
        <f>C23*C13/4</f>
        <v>5247.3744261086913</v>
      </c>
    </row>
    <row r="24" spans="2:4">
      <c r="B24" s="7" t="s">
        <v>294</v>
      </c>
      <c r="C24" s="12">
        <f t="shared" ref="C24:C30" si="0">C23+D23</f>
        <v>5678084.5918409098</v>
      </c>
      <c r="D24" s="12">
        <f>C24*C13/4</f>
        <v>5252.228247452842</v>
      </c>
    </row>
    <row r="25" spans="2:4">
      <c r="B25" s="7" t="s">
        <v>295</v>
      </c>
      <c r="C25" s="12">
        <f t="shared" si="0"/>
        <v>5683336.8200883623</v>
      </c>
      <c r="D25" s="12">
        <f>C25*C13/4</f>
        <v>5257.0865585817355</v>
      </c>
    </row>
    <row r="26" spans="2:4">
      <c r="B26" s="7" t="s">
        <v>296</v>
      </c>
      <c r="C26" s="12">
        <f t="shared" si="0"/>
        <v>5688593.9066469437</v>
      </c>
      <c r="D26" s="12">
        <f>C26*C13/4</f>
        <v>5261.9493636484231</v>
      </c>
    </row>
    <row r="27" spans="2:4">
      <c r="B27" s="7" t="s">
        <v>333</v>
      </c>
      <c r="C27" s="12">
        <f t="shared" si="0"/>
        <v>5693855.8560105916</v>
      </c>
      <c r="D27" s="12">
        <f>C27*C13/4</f>
        <v>5266.8166668097974</v>
      </c>
    </row>
    <row r="28" spans="2:4">
      <c r="B28" s="7" t="s">
        <v>334</v>
      </c>
      <c r="C28" s="12">
        <f t="shared" si="0"/>
        <v>5699122.6726774015</v>
      </c>
      <c r="D28" s="12">
        <f>C28*C13/4</f>
        <v>5271.6884722265968</v>
      </c>
    </row>
    <row r="29" spans="2:4">
      <c r="B29" s="7" t="s">
        <v>335</v>
      </c>
      <c r="C29" s="12">
        <f t="shared" si="0"/>
        <v>5704394.3611496277</v>
      </c>
      <c r="D29" s="12">
        <f>C29*C13/4</f>
        <v>5276.5647840634056</v>
      </c>
    </row>
    <row r="30" spans="2:4">
      <c r="B30" s="7" t="s">
        <v>336</v>
      </c>
      <c r="C30" s="12">
        <f t="shared" si="0"/>
        <v>5709670.9259336907</v>
      </c>
      <c r="D30" s="12">
        <f>C30*C13/4</f>
        <v>5281.4456064886645</v>
      </c>
    </row>
    <row r="31" spans="2:4">
      <c r="B31" s="7" t="s">
        <v>280</v>
      </c>
      <c r="C31" s="70"/>
      <c r="D31" s="15">
        <f>SUM(D23:D30)</f>
        <v>42115.154125380155</v>
      </c>
    </row>
    <row r="34" spans="2:2" ht="13.5" customHeight="1"/>
    <row r="35" spans="2:2">
      <c r="B35" s="7" t="s">
        <v>281</v>
      </c>
    </row>
  </sheetData>
  <phoneticPr fontId="13" type="noConversion"/>
  <pageMargins left="0.5" right="0.5" top="1" bottom="1" header="0.5" footer="0.5"/>
  <pageSetup orientation="portrait" r:id="rId1"/>
  <headerFooter alignWithMargins="0">
    <oddFooter>Page &amp;P of &amp;N</oddFooter>
  </headerFooter>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election activeCell="E4" sqref="E4"/>
    </sheetView>
  </sheetViews>
  <sheetFormatPr defaultColWidth="7.109375" defaultRowHeight="15"/>
  <cols>
    <col min="1" max="1" width="16.33203125" style="246" customWidth="1"/>
    <col min="2" max="2" width="1.6640625" style="245" bestFit="1" customWidth="1"/>
    <col min="3" max="3" width="7.5546875" style="244" bestFit="1" customWidth="1"/>
    <col min="4" max="16384" width="7.109375" style="245"/>
  </cols>
  <sheetData>
    <row r="1" spans="1:8">
      <c r="A1" s="273" t="s">
        <v>399</v>
      </c>
    </row>
    <row r="2" spans="1:8">
      <c r="A2" s="244"/>
    </row>
    <row r="3" spans="1:8">
      <c r="A3" s="272" t="s">
        <v>395</v>
      </c>
      <c r="C3" s="247">
        <v>0.35</v>
      </c>
      <c r="E3" s="245" t="s">
        <v>381</v>
      </c>
    </row>
    <row r="4" spans="1:8">
      <c r="A4" s="246" t="s">
        <v>382</v>
      </c>
      <c r="B4" s="245" t="s">
        <v>383</v>
      </c>
      <c r="C4" s="247">
        <v>0.408661</v>
      </c>
      <c r="E4" s="248" t="s">
        <v>394</v>
      </c>
    </row>
    <row r="5" spans="1:8">
      <c r="A5" s="246" t="s">
        <v>384</v>
      </c>
      <c r="B5" s="245" t="s">
        <v>383</v>
      </c>
      <c r="C5" s="247">
        <f>C4</f>
        <v>0.408661</v>
      </c>
      <c r="E5" s="249">
        <f>(1-0.0902477)*0.35+0.0902477</f>
        <v>0.40866100499999997</v>
      </c>
    </row>
    <row r="6" spans="1:8">
      <c r="A6" s="250" t="s">
        <v>385</v>
      </c>
      <c r="B6" s="245" t="s">
        <v>383</v>
      </c>
      <c r="C6" s="251" t="s">
        <v>392</v>
      </c>
    </row>
    <row r="7" spans="1:8">
      <c r="A7" s="250" t="s">
        <v>386</v>
      </c>
      <c r="B7" s="245" t="s">
        <v>383</v>
      </c>
      <c r="C7" s="247">
        <f>0.408661-0.35</f>
        <v>5.8661000000000019E-2</v>
      </c>
    </row>
    <row r="8" spans="1:8">
      <c r="A8" s="246" t="s">
        <v>387</v>
      </c>
      <c r="B8" s="245" t="s">
        <v>383</v>
      </c>
      <c r="C8" s="251" t="s">
        <v>393</v>
      </c>
    </row>
    <row r="9" spans="1:8">
      <c r="A9" s="252" t="s">
        <v>388</v>
      </c>
      <c r="B9" s="253" t="s">
        <v>383</v>
      </c>
      <c r="C9" s="271">
        <f>C7/0.65</f>
        <v>9.0247692307692334E-2</v>
      </c>
      <c r="D9" s="253" t="s">
        <v>389</v>
      </c>
    </row>
    <row r="10" spans="1:8">
      <c r="D10" s="254" t="s">
        <v>390</v>
      </c>
    </row>
    <row r="12" spans="1:8" ht="15.75" thickBot="1">
      <c r="C12" s="247"/>
      <c r="D12" s="255"/>
      <c r="E12" s="256"/>
      <c r="F12" s="256"/>
      <c r="G12" s="256"/>
      <c r="H12" s="257"/>
    </row>
    <row r="13" spans="1:8">
      <c r="A13" s="250"/>
      <c r="C13" s="251"/>
      <c r="D13" s="258"/>
      <c r="E13" s="259"/>
      <c r="F13" s="260" t="s">
        <v>391</v>
      </c>
      <c r="G13" s="261"/>
      <c r="H13" s="262"/>
    </row>
    <row r="14" spans="1:8" ht="15.75" thickBot="1">
      <c r="D14" s="263"/>
      <c r="E14" s="265" t="s">
        <v>124</v>
      </c>
      <c r="F14" s="266"/>
      <c r="G14" s="267">
        <v>0.408661</v>
      </c>
      <c r="H14" s="264"/>
    </row>
    <row r="15" spans="1:8" ht="16.5" thickTop="1" thickBot="1">
      <c r="D15" s="268"/>
      <c r="E15" s="269"/>
      <c r="F15" s="269"/>
      <c r="G15" s="269"/>
      <c r="H15" s="270"/>
    </row>
    <row r="30" spans="4:4">
      <c r="D30" s="527"/>
    </row>
  </sheetData>
  <phoneticPr fontId="13" type="noConversion"/>
  <pageMargins left="0.75" right="0.75" top="1" bottom="1" header="0.5" footer="0.5"/>
  <pageSetup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3"/>
    <pageSetUpPr fitToPage="1"/>
  </sheetPr>
  <dimension ref="A1:M37"/>
  <sheetViews>
    <sheetView showGridLines="0" workbookViewId="0">
      <selection activeCell="D10" sqref="D10"/>
    </sheetView>
  </sheetViews>
  <sheetFormatPr defaultRowHeight="15"/>
  <cols>
    <col min="1" max="1" width="4.6640625" style="7" customWidth="1"/>
    <col min="2" max="2" width="42.5546875" style="274" customWidth="1"/>
    <col min="3" max="3" width="3" style="7" customWidth="1"/>
    <col min="4" max="4" width="12.88671875" style="7" bestFit="1" customWidth="1"/>
    <col min="5" max="5" width="1.88671875" style="7" customWidth="1"/>
    <col min="6" max="6" width="11.77734375" style="7" bestFit="1" customWidth="1"/>
    <col min="7" max="7" width="1.88671875" style="7" customWidth="1"/>
    <col min="8" max="8" width="12.33203125" style="7" bestFit="1" customWidth="1"/>
    <col min="9" max="9" width="3.44140625" style="522" customWidth="1"/>
    <col min="10" max="16384" width="8.88671875" style="7"/>
  </cols>
  <sheetData>
    <row r="1" spans="1:13" s="67" customFormat="1" ht="12.75">
      <c r="A1" s="87" t="s">
        <v>36</v>
      </c>
      <c r="C1" s="88"/>
      <c r="D1" s="88"/>
      <c r="E1" s="88"/>
      <c r="F1" s="88"/>
      <c r="G1" s="88"/>
      <c r="H1" s="88"/>
      <c r="I1" s="519"/>
      <c r="J1" s="88"/>
      <c r="K1" s="88"/>
    </row>
    <row r="2" spans="1:13" s="67" customFormat="1" ht="12.75">
      <c r="A2" s="187" t="s">
        <v>674</v>
      </c>
      <c r="C2" s="88"/>
      <c r="D2" s="88"/>
      <c r="E2" s="88"/>
      <c r="F2" s="88"/>
      <c r="G2" s="88"/>
      <c r="H2" s="88"/>
      <c r="I2" s="520"/>
      <c r="J2" s="88"/>
      <c r="K2" s="88"/>
      <c r="L2" s="88"/>
      <c r="M2" s="89"/>
    </row>
    <row r="3" spans="1:13" s="67" customFormat="1" ht="12.75">
      <c r="A3" s="87" t="s">
        <v>361</v>
      </c>
      <c r="C3" s="88"/>
      <c r="D3" s="88"/>
      <c r="E3" s="88" t="s">
        <v>133</v>
      </c>
      <c r="F3" s="88"/>
      <c r="G3" s="88"/>
      <c r="H3" s="88"/>
      <c r="I3" s="520"/>
      <c r="J3" s="88"/>
      <c r="K3" s="88"/>
      <c r="L3" s="88"/>
    </row>
    <row r="4" spans="1:13" s="67" customFormat="1" ht="12.75">
      <c r="I4" s="521"/>
    </row>
    <row r="5" spans="1:13" ht="12.75">
      <c r="B5" s="67"/>
    </row>
    <row r="7" spans="1:13" ht="12.75">
      <c r="B7" s="7"/>
      <c r="D7" s="7" t="s">
        <v>402</v>
      </c>
      <c r="F7" s="7" t="s">
        <v>403</v>
      </c>
    </row>
    <row r="10" spans="1:13" ht="13.5" thickBot="1">
      <c r="A10" s="10" t="s">
        <v>260</v>
      </c>
      <c r="B10" s="7"/>
      <c r="C10" s="11"/>
      <c r="D10" s="71">
        <f>'2013 Attachment O-Rev 2'!I25</f>
        <v>308119864.20179546</v>
      </c>
      <c r="E10" s="275"/>
      <c r="F10" s="71">
        <v>322943371</v>
      </c>
      <c r="G10" s="275"/>
      <c r="H10" s="71">
        <f>D10-F10</f>
        <v>-14823506.798204541</v>
      </c>
      <c r="I10" s="522" t="s">
        <v>842</v>
      </c>
    </row>
    <row r="11" spans="1:13" ht="13.5" thickTop="1">
      <c r="B11" s="7"/>
      <c r="H11" s="16"/>
    </row>
    <row r="12" spans="1:13" ht="12.75">
      <c r="A12" s="10" t="s">
        <v>261</v>
      </c>
      <c r="B12" s="7"/>
      <c r="C12" s="275"/>
      <c r="D12" s="276">
        <f>'2013 Attachment O-Rev 2'!I28</f>
        <v>6901000</v>
      </c>
      <c r="E12" s="275"/>
      <c r="F12" s="276">
        <v>6758667</v>
      </c>
      <c r="G12" s="275"/>
      <c r="H12" s="226">
        <f>D12-F12</f>
        <v>142333</v>
      </c>
    </row>
    <row r="13" spans="1:13" ht="12.75">
      <c r="A13" s="277" t="s">
        <v>262</v>
      </c>
      <c r="B13" s="7"/>
      <c r="C13" s="275"/>
      <c r="D13" s="276">
        <f>'2013 Attachment O-Rev 2'!I30</f>
        <v>471750</v>
      </c>
      <c r="E13" s="275"/>
      <c r="F13" s="276">
        <v>442500</v>
      </c>
      <c r="G13" s="275"/>
      <c r="H13" s="226">
        <f>D13-F13</f>
        <v>29250</v>
      </c>
    </row>
    <row r="14" spans="1:13" ht="12.75">
      <c r="A14" s="277" t="s">
        <v>263</v>
      </c>
      <c r="B14" s="7"/>
      <c r="C14" s="275"/>
      <c r="D14" s="277">
        <v>0</v>
      </c>
      <c r="E14" s="275"/>
      <c r="F14" s="277">
        <v>0</v>
      </c>
      <c r="G14" s="275"/>
      <c r="H14" s="227">
        <f>D14-F14</f>
        <v>0</v>
      </c>
    </row>
    <row r="15" spans="1:13" ht="12.75">
      <c r="A15" s="10" t="s">
        <v>264</v>
      </c>
      <c r="B15" s="7"/>
      <c r="C15" s="275"/>
      <c r="D15" s="278">
        <f>SUM(D12:D14)</f>
        <v>7372750</v>
      </c>
      <c r="E15" s="275"/>
      <c r="F15" s="278">
        <f>SUM(F12:F14)</f>
        <v>7201167</v>
      </c>
      <c r="G15" s="275"/>
      <c r="H15" s="228">
        <f>D15-F15</f>
        <v>171583</v>
      </c>
    </row>
    <row r="16" spans="1:13">
      <c r="H16" s="206"/>
    </row>
    <row r="17" spans="1:9" ht="12.75">
      <c r="A17" s="10" t="s">
        <v>265</v>
      </c>
      <c r="B17" s="7"/>
      <c r="C17" s="275"/>
      <c r="D17" s="279">
        <f>ROUND(D10/D15,8)</f>
        <v>41.791714650000003</v>
      </c>
      <c r="E17" s="235"/>
      <c r="F17" s="279">
        <f>ROUND(F10/F15,8)</f>
        <v>44.845977189999999</v>
      </c>
      <c r="G17" s="207"/>
      <c r="H17" s="518">
        <f>D17-F17</f>
        <v>-3.0542625399999963</v>
      </c>
    </row>
    <row r="18" spans="1:9" ht="12.75">
      <c r="A18" s="10"/>
      <c r="B18" s="7"/>
      <c r="C18" s="275"/>
      <c r="E18" s="275"/>
      <c r="G18" s="275"/>
      <c r="H18" s="206"/>
    </row>
    <row r="19" spans="1:9">
      <c r="H19" s="206"/>
    </row>
    <row r="20" spans="1:9" ht="12.75">
      <c r="A20" s="10" t="s">
        <v>266</v>
      </c>
      <c r="B20" s="7"/>
      <c r="H20" s="208">
        <f>D15</f>
        <v>7372750</v>
      </c>
    </row>
    <row r="21" spans="1:9" ht="12.75">
      <c r="A21" s="10" t="s">
        <v>267</v>
      </c>
      <c r="B21" s="7"/>
      <c r="H21" s="209">
        <f>F15</f>
        <v>7201167</v>
      </c>
    </row>
    <row r="22" spans="1:9" ht="12.75">
      <c r="A22" s="10" t="s">
        <v>268</v>
      </c>
      <c r="B22" s="7"/>
      <c r="H22" s="210">
        <f>H20-H21</f>
        <v>171583</v>
      </c>
    </row>
    <row r="23" spans="1:9">
      <c r="H23" s="16"/>
    </row>
    <row r="24" spans="1:9" ht="12.75">
      <c r="A24" s="7" t="s">
        <v>269</v>
      </c>
      <c r="B24" s="7"/>
      <c r="H24" s="237">
        <f>F17</f>
        <v>44.845977189999999</v>
      </c>
    </row>
    <row r="25" spans="1:9">
      <c r="H25" s="16"/>
    </row>
    <row r="26" spans="1:9" ht="13.5" thickBot="1">
      <c r="A26" s="10" t="s">
        <v>270</v>
      </c>
      <c r="B26" s="7"/>
      <c r="H26" s="211">
        <f>H22*H24</f>
        <v>7694807.30419177</v>
      </c>
      <c r="I26" s="522" t="s">
        <v>844</v>
      </c>
    </row>
    <row r="27" spans="1:9" ht="13.5" thickTop="1">
      <c r="B27" s="7"/>
      <c r="H27" s="16"/>
    </row>
    <row r="28" spans="1:9" ht="12.75">
      <c r="A28" s="7" t="s">
        <v>271</v>
      </c>
      <c r="B28" s="7"/>
      <c r="H28" s="16">
        <f>H10-H26</f>
        <v>-22518314.102396309</v>
      </c>
      <c r="I28" s="522" t="s">
        <v>675</v>
      </c>
    </row>
    <row r="29" spans="1:9">
      <c r="H29" s="16"/>
    </row>
    <row r="30" spans="1:9" ht="12.75">
      <c r="B30" s="7"/>
      <c r="F30" s="17" t="s">
        <v>272</v>
      </c>
      <c r="H30" s="16">
        <f>H17*D15</f>
        <v>-22518314.141784973</v>
      </c>
    </row>
    <row r="31" spans="1:9" ht="12.75">
      <c r="B31" s="7"/>
      <c r="F31" s="17"/>
      <c r="H31" s="16"/>
    </row>
    <row r="32" spans="1:9" ht="12.75">
      <c r="B32" s="7"/>
      <c r="F32" s="17" t="s">
        <v>273</v>
      </c>
      <c r="H32" s="16">
        <f>H28-H30</f>
        <v>3.9388664066791534E-2</v>
      </c>
    </row>
    <row r="33" spans="1:8" ht="12.75">
      <c r="B33" s="7"/>
      <c r="H33" s="206"/>
    </row>
    <row r="34" spans="1:8" ht="13.5" customHeight="1"/>
    <row r="35" spans="1:8" ht="12.75">
      <c r="B35" s="7"/>
    </row>
    <row r="37" spans="1:8" ht="12.75">
      <c r="A37" s="7" t="s">
        <v>676</v>
      </c>
      <c r="B37" s="7"/>
    </row>
  </sheetData>
  <phoneticPr fontId="13" type="noConversion"/>
  <pageMargins left="0.75" right="0.75" top="1" bottom="1" header="0.5" footer="0.5"/>
  <pageSetup scale="9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3"/>
    <pageSetUpPr fitToPage="1"/>
  </sheetPr>
  <dimension ref="A1:D25"/>
  <sheetViews>
    <sheetView showGridLines="0" workbookViewId="0"/>
  </sheetViews>
  <sheetFormatPr defaultRowHeight="15"/>
  <cols>
    <col min="1" max="1" width="88.5546875" style="523" customWidth="1"/>
    <col min="2" max="16384" width="8.88671875" style="523"/>
  </cols>
  <sheetData>
    <row r="1" spans="1:4" ht="15.75">
      <c r="A1" s="478" t="s">
        <v>606</v>
      </c>
    </row>
    <row r="2" spans="1:4" ht="15.75">
      <c r="A2" s="478" t="s">
        <v>607</v>
      </c>
    </row>
    <row r="3" spans="1:4" ht="15.75">
      <c r="A3" s="478" t="s">
        <v>608</v>
      </c>
    </row>
    <row r="4" spans="1:4" ht="15.75">
      <c r="A4" s="280"/>
    </row>
    <row r="5" spans="1:4" s="525" customFormat="1" ht="47.25">
      <c r="A5" s="479" t="s">
        <v>939</v>
      </c>
    </row>
    <row r="6" spans="1:4" s="525" customFormat="1" ht="15.75">
      <c r="A6" s="479"/>
    </row>
    <row r="7" spans="1:4" s="525" customFormat="1" ht="31.5">
      <c r="A7" s="479" t="s">
        <v>940</v>
      </c>
      <c r="D7" s="528"/>
    </row>
    <row r="8" spans="1:4" s="525" customFormat="1" ht="15.75">
      <c r="A8" s="479"/>
    </row>
    <row r="9" spans="1:4" s="525" customFormat="1" ht="47.25">
      <c r="A9" s="479" t="s">
        <v>941</v>
      </c>
    </row>
    <row r="10" spans="1:4" s="525" customFormat="1" ht="15.75">
      <c r="A10" s="479"/>
    </row>
    <row r="11" spans="1:4" s="525" customFormat="1" ht="47.25">
      <c r="A11" s="479" t="s">
        <v>677</v>
      </c>
    </row>
    <row r="12" spans="1:4" s="525" customFormat="1" ht="15.75">
      <c r="A12" s="479"/>
    </row>
    <row r="13" spans="1:4" s="525" customFormat="1" ht="47.25">
      <c r="A13" s="479" t="s">
        <v>582</v>
      </c>
    </row>
    <row r="14" spans="1:4" s="525" customFormat="1" ht="15.75">
      <c r="A14" s="479"/>
    </row>
    <row r="15" spans="1:4" s="525" customFormat="1" ht="47.25">
      <c r="A15" s="479" t="s">
        <v>678</v>
      </c>
    </row>
    <row r="16" spans="1:4" s="525" customFormat="1" ht="15.75">
      <c r="A16" s="479"/>
    </row>
    <row r="17" spans="1:1" s="525" customFormat="1" ht="47.25">
      <c r="A17" s="479" t="s">
        <v>583</v>
      </c>
    </row>
    <row r="18" spans="1:1" s="525" customFormat="1" ht="15.75">
      <c r="A18" s="479"/>
    </row>
    <row r="19" spans="1:1" s="525" customFormat="1" ht="31.5">
      <c r="A19" s="479" t="s">
        <v>679</v>
      </c>
    </row>
    <row r="20" spans="1:1" s="525" customFormat="1" ht="15.75">
      <c r="A20" s="524"/>
    </row>
    <row r="21" spans="1:1">
      <c r="A21" s="525"/>
    </row>
    <row r="22" spans="1:1">
      <c r="A22" s="525"/>
    </row>
    <row r="23" spans="1:1">
      <c r="A23" s="525"/>
    </row>
    <row r="24" spans="1:1">
      <c r="A24" s="525"/>
    </row>
    <row r="25" spans="1:1">
      <c r="A25" s="525"/>
    </row>
  </sheetData>
  <phoneticPr fontId="13" type="noConversion"/>
  <pageMargins left="0.75" right="0.75" top="1" bottom="1" header="0.5" footer="0.5"/>
  <pageSetup scale="8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3"/>
  </sheetPr>
  <dimension ref="A1:U373"/>
  <sheetViews>
    <sheetView showGridLines="0" zoomScale="80" workbookViewId="0"/>
  </sheetViews>
  <sheetFormatPr defaultRowHeight="15.75"/>
  <cols>
    <col min="1" max="1" width="4.6640625" style="280" customWidth="1"/>
    <col min="2" max="2" width="42.6640625" style="280" customWidth="1"/>
    <col min="3" max="3" width="35" style="280" customWidth="1"/>
    <col min="4" max="4" width="13.5546875" style="280" customWidth="1"/>
    <col min="5" max="5" width="4.109375" style="280" customWidth="1"/>
    <col min="6" max="6" width="3.6640625" style="280" customWidth="1"/>
    <col min="7" max="7" width="11.33203125" style="280" customWidth="1"/>
    <col min="8" max="8" width="3.44140625" style="280" customWidth="1"/>
    <col min="9" max="9" width="13" style="280" customWidth="1"/>
    <col min="10" max="10" width="1.77734375" style="280" customWidth="1"/>
    <col min="11" max="11" width="7" style="287" customWidth="1"/>
    <col min="12" max="12" width="13.44140625" style="280" customWidth="1"/>
    <col min="13" max="13" width="13.109375" style="280" customWidth="1"/>
    <col min="14" max="14" width="15" style="280" customWidth="1"/>
    <col min="15" max="15" width="42.109375" style="280" customWidth="1"/>
    <col min="16" max="16" width="12" style="280" customWidth="1"/>
    <col min="17" max="17" width="11.77734375" style="280" customWidth="1"/>
    <col min="18" max="18" width="18.88671875" style="280" bestFit="1" customWidth="1"/>
    <col min="19" max="19" width="8" style="280" customWidth="1"/>
    <col min="20" max="20" width="5.21875" style="280" customWidth="1"/>
    <col min="21" max="16384" width="8.88671875" style="280"/>
  </cols>
  <sheetData>
    <row r="1" spans="1:21">
      <c r="B1" s="281"/>
      <c r="C1" s="281"/>
      <c r="D1" s="282"/>
      <c r="E1" s="281"/>
      <c r="F1" s="281"/>
      <c r="G1" s="281"/>
      <c r="H1" s="283"/>
      <c r="I1" s="284"/>
      <c r="J1" s="284"/>
      <c r="K1" s="285" t="s">
        <v>442</v>
      </c>
      <c r="M1" s="316"/>
      <c r="N1" s="480"/>
      <c r="O1" s="480"/>
      <c r="P1" s="480"/>
      <c r="Q1" s="480"/>
      <c r="R1" s="480"/>
      <c r="S1" s="480"/>
      <c r="T1" s="480"/>
      <c r="U1" s="316"/>
    </row>
    <row r="2" spans="1:21">
      <c r="B2" s="281"/>
      <c r="C2" s="281"/>
      <c r="D2" s="282"/>
      <c r="E2" s="281"/>
      <c r="F2" s="281"/>
      <c r="G2" s="281"/>
      <c r="H2" s="283"/>
      <c r="I2" s="283"/>
      <c r="J2" s="283"/>
      <c r="K2" s="286"/>
      <c r="M2" s="316"/>
      <c r="N2" s="480"/>
      <c r="O2" s="480"/>
      <c r="P2" s="480"/>
      <c r="Q2" s="480"/>
      <c r="R2" s="480"/>
      <c r="S2" s="480"/>
      <c r="T2" s="480"/>
      <c r="U2" s="316"/>
    </row>
    <row r="3" spans="1:21">
      <c r="B3" s="281" t="s">
        <v>443</v>
      </c>
      <c r="C3" s="281"/>
      <c r="D3" s="282" t="s">
        <v>444</v>
      </c>
      <c r="E3" s="281"/>
      <c r="F3" s="281"/>
      <c r="G3" s="281"/>
      <c r="H3" s="283"/>
      <c r="K3" s="285" t="s">
        <v>445</v>
      </c>
      <c r="L3" s="287"/>
      <c r="M3" s="382"/>
      <c r="N3" s="480"/>
      <c r="O3" s="480"/>
      <c r="P3" s="480"/>
      <c r="Q3" s="480"/>
      <c r="R3" s="480"/>
      <c r="S3" s="480"/>
      <c r="T3" s="480"/>
      <c r="U3" s="316"/>
    </row>
    <row r="4" spans="1:21">
      <c r="B4" s="281"/>
      <c r="C4" s="217" t="s">
        <v>133</v>
      </c>
      <c r="D4" s="217" t="s">
        <v>446</v>
      </c>
      <c r="E4" s="217"/>
      <c r="F4" s="217"/>
      <c r="G4" s="217"/>
      <c r="H4" s="283"/>
      <c r="I4" s="283"/>
      <c r="J4" s="283"/>
      <c r="K4" s="286"/>
      <c r="L4" s="287"/>
      <c r="M4" s="382"/>
      <c r="N4" s="480"/>
      <c r="O4" s="480"/>
      <c r="P4" s="480"/>
      <c r="Q4" s="480"/>
      <c r="R4" s="480"/>
      <c r="S4" s="480"/>
      <c r="T4" s="480"/>
      <c r="U4" s="316"/>
    </row>
    <row r="5" spans="1:21">
      <c r="B5" s="288"/>
      <c r="C5" s="288"/>
      <c r="D5" s="288"/>
      <c r="E5" s="288"/>
      <c r="F5" s="288"/>
      <c r="G5" s="288"/>
      <c r="H5" s="288"/>
      <c r="I5" s="288"/>
      <c r="J5" s="288"/>
      <c r="K5" s="286"/>
      <c r="M5" s="316"/>
      <c r="N5" s="480"/>
      <c r="O5" s="480"/>
      <c r="P5" s="480"/>
      <c r="Q5" s="480"/>
      <c r="R5" s="480"/>
      <c r="S5" s="480"/>
      <c r="T5" s="480"/>
      <c r="U5" s="316"/>
    </row>
    <row r="6" spans="1:21">
      <c r="A6" s="543" t="s">
        <v>252</v>
      </c>
      <c r="B6" s="543"/>
      <c r="C6" s="543"/>
      <c r="D6" s="543"/>
      <c r="E6" s="543"/>
      <c r="F6" s="543"/>
      <c r="G6" s="543"/>
      <c r="H6" s="543"/>
      <c r="I6" s="543"/>
      <c r="J6" s="543"/>
      <c r="K6" s="543"/>
      <c r="M6" s="316"/>
      <c r="N6" s="481"/>
      <c r="O6" s="480"/>
      <c r="P6" s="480"/>
      <c r="Q6" s="480"/>
      <c r="R6" s="480"/>
      <c r="S6" s="480"/>
      <c r="T6" s="480"/>
      <c r="U6" s="316"/>
    </row>
    <row r="7" spans="1:21">
      <c r="A7" s="290"/>
      <c r="B7" s="288"/>
      <c r="C7" s="288"/>
      <c r="D7" s="291"/>
      <c r="E7" s="288"/>
      <c r="F7" s="288"/>
      <c r="G7" s="288"/>
      <c r="H7" s="288"/>
      <c r="I7" s="288"/>
      <c r="J7" s="288"/>
      <c r="K7" s="286"/>
      <c r="M7" s="316"/>
      <c r="N7" s="480"/>
      <c r="O7" s="480"/>
      <c r="P7" s="480"/>
      <c r="Q7" s="480"/>
      <c r="R7" s="480"/>
      <c r="S7" s="480"/>
      <c r="T7" s="480"/>
      <c r="U7" s="316"/>
    </row>
    <row r="8" spans="1:21">
      <c r="A8" s="290" t="s">
        <v>174</v>
      </c>
      <c r="B8" s="288"/>
      <c r="C8" s="288"/>
      <c r="D8" s="291"/>
      <c r="E8" s="288"/>
      <c r="F8" s="288"/>
      <c r="G8" s="288"/>
      <c r="H8" s="288"/>
      <c r="I8" s="290" t="s">
        <v>447</v>
      </c>
      <c r="J8" s="290"/>
      <c r="K8" s="286"/>
      <c r="M8" s="316"/>
      <c r="N8" s="480"/>
      <c r="O8" s="480"/>
      <c r="P8" s="480"/>
      <c r="Q8" s="480"/>
      <c r="R8" s="480"/>
      <c r="S8" s="480"/>
      <c r="T8" s="480"/>
      <c r="U8" s="316"/>
    </row>
    <row r="9" spans="1:21" ht="16.5" thickBot="1">
      <c r="A9" s="292" t="s">
        <v>150</v>
      </c>
      <c r="B9" s="288"/>
      <c r="C9" s="288"/>
      <c r="D9" s="288"/>
      <c r="E9" s="288"/>
      <c r="F9" s="288"/>
      <c r="G9" s="288"/>
      <c r="H9" s="288"/>
      <c r="I9" s="292" t="s">
        <v>448</v>
      </c>
      <c r="J9" s="293"/>
      <c r="K9" s="286"/>
      <c r="M9" s="316"/>
      <c r="N9" s="480"/>
      <c r="O9" s="480"/>
      <c r="P9" s="480"/>
      <c r="Q9" s="480"/>
      <c r="R9" s="480"/>
      <c r="S9" s="480"/>
      <c r="T9" s="480"/>
      <c r="U9" s="316"/>
    </row>
    <row r="10" spans="1:21">
      <c r="A10" s="290">
        <v>1</v>
      </c>
      <c r="B10" s="288" t="s">
        <v>449</v>
      </c>
      <c r="C10" s="288"/>
      <c r="D10" s="294"/>
      <c r="E10" s="288"/>
      <c r="F10" s="288"/>
      <c r="G10" s="288"/>
      <c r="H10" s="288"/>
      <c r="I10" s="295">
        <f>+I210</f>
        <v>330671595.05177796</v>
      </c>
      <c r="J10" s="295"/>
      <c r="K10" s="286"/>
      <c r="M10" s="316"/>
      <c r="N10" s="480"/>
      <c r="O10" s="480"/>
      <c r="P10" s="480"/>
      <c r="Q10" s="480"/>
      <c r="R10" s="480"/>
      <c r="S10" s="480"/>
      <c r="T10" s="480"/>
      <c r="U10" s="316"/>
    </row>
    <row r="11" spans="1:21">
      <c r="A11" s="290"/>
      <c r="B11" s="288"/>
      <c r="C11" s="288"/>
      <c r="D11" s="288"/>
      <c r="E11" s="288"/>
      <c r="F11" s="288"/>
      <c r="G11" s="288"/>
      <c r="H11" s="288"/>
      <c r="I11" s="294"/>
      <c r="J11" s="294"/>
      <c r="K11" s="286"/>
      <c r="M11" s="316"/>
      <c r="N11" s="480"/>
      <c r="O11" s="480"/>
      <c r="P11" s="480"/>
      <c r="Q11" s="480"/>
      <c r="R11" s="480"/>
      <c r="S11" s="480"/>
      <c r="T11" s="480"/>
      <c r="U11" s="316"/>
    </row>
    <row r="12" spans="1:21" ht="16.5" thickBot="1">
      <c r="A12" s="290" t="s">
        <v>133</v>
      </c>
      <c r="B12" s="296" t="s">
        <v>450</v>
      </c>
      <c r="C12" s="297" t="s">
        <v>451</v>
      </c>
      <c r="D12" s="292" t="s">
        <v>151</v>
      </c>
      <c r="E12" s="217"/>
      <c r="F12" s="298" t="s">
        <v>452</v>
      </c>
      <c r="G12" s="298"/>
      <c r="H12" s="288"/>
      <c r="I12" s="294"/>
      <c r="J12" s="294"/>
      <c r="K12" s="286"/>
      <c r="M12" s="316"/>
      <c r="N12" s="480"/>
      <c r="O12" s="480"/>
      <c r="P12" s="480"/>
      <c r="Q12" s="480"/>
      <c r="R12" s="480"/>
      <c r="S12" s="480"/>
      <c r="T12" s="480"/>
      <c r="U12" s="316"/>
    </row>
    <row r="13" spans="1:21">
      <c r="A13" s="290">
        <v>2</v>
      </c>
      <c r="B13" s="296" t="s">
        <v>453</v>
      </c>
      <c r="C13" s="217" t="s">
        <v>454</v>
      </c>
      <c r="D13" s="217">
        <f>I283</f>
        <v>831810.58</v>
      </c>
      <c r="E13" s="217"/>
      <c r="F13" s="217" t="s">
        <v>455</v>
      </c>
      <c r="G13" s="299">
        <f>I233</f>
        <v>0.97077283287764871</v>
      </c>
      <c r="H13" s="217"/>
      <c r="I13" s="217">
        <f>+G13*D13</f>
        <v>807499.11316419998</v>
      </c>
      <c r="J13" s="217"/>
      <c r="K13" s="286"/>
      <c r="M13" s="316"/>
      <c r="N13" s="480"/>
      <c r="O13" s="480"/>
      <c r="P13" s="480"/>
      <c r="Q13" s="480"/>
      <c r="R13" s="480"/>
      <c r="S13" s="480"/>
      <c r="T13" s="480"/>
      <c r="U13" s="316"/>
    </row>
    <row r="14" spans="1:21">
      <c r="A14" s="290">
        <v>3</v>
      </c>
      <c r="B14" s="296" t="s">
        <v>456</v>
      </c>
      <c r="C14" s="217" t="s">
        <v>457</v>
      </c>
      <c r="D14" s="217">
        <f>I290</f>
        <v>28285900.859999992</v>
      </c>
      <c r="E14" s="217"/>
      <c r="F14" s="217" t="str">
        <f t="shared" ref="F14:G16" si="0">+F13</f>
        <v>TP</v>
      </c>
      <c r="G14" s="299">
        <f t="shared" si="0"/>
        <v>0.97077283287764871</v>
      </c>
      <c r="H14" s="217"/>
      <c r="I14" s="217">
        <f>+G14*D14</f>
        <v>27459184.108358514</v>
      </c>
      <c r="J14" s="217"/>
      <c r="K14" s="286"/>
      <c r="M14" s="316"/>
      <c r="N14" s="480"/>
      <c r="O14" s="480"/>
      <c r="P14" s="480"/>
      <c r="Q14" s="480"/>
      <c r="R14" s="480"/>
      <c r="S14" s="480"/>
      <c r="T14" s="480"/>
      <c r="U14" s="316"/>
    </row>
    <row r="15" spans="1:21">
      <c r="A15" s="290">
        <v>4</v>
      </c>
      <c r="B15" s="300" t="s">
        <v>458</v>
      </c>
      <c r="C15" s="217"/>
      <c r="D15" s="301">
        <v>0</v>
      </c>
      <c r="E15" s="217"/>
      <c r="F15" s="217" t="str">
        <f t="shared" si="0"/>
        <v>TP</v>
      </c>
      <c r="G15" s="299">
        <f t="shared" si="0"/>
        <v>0.97077283287764871</v>
      </c>
      <c r="H15" s="217"/>
      <c r="I15" s="217">
        <f>+G15*D15</f>
        <v>0</v>
      </c>
      <c r="J15" s="217"/>
      <c r="K15" s="286"/>
      <c r="M15" s="316"/>
      <c r="N15" s="480"/>
      <c r="O15" s="480"/>
      <c r="P15" s="480"/>
      <c r="Q15" s="480"/>
      <c r="R15" s="480"/>
      <c r="S15" s="480"/>
      <c r="T15" s="480"/>
      <c r="U15" s="316"/>
    </row>
    <row r="16" spans="1:21" ht="16.5" thickBot="1">
      <c r="A16" s="290">
        <v>5</v>
      </c>
      <c r="B16" s="300" t="s">
        <v>459</v>
      </c>
      <c r="C16" s="217"/>
      <c r="D16" s="301">
        <v>0</v>
      </c>
      <c r="E16" s="217"/>
      <c r="F16" s="217" t="str">
        <f t="shared" si="0"/>
        <v>TP</v>
      </c>
      <c r="G16" s="299">
        <f t="shared" si="0"/>
        <v>0.97077283287764871</v>
      </c>
      <c r="H16" s="217"/>
      <c r="I16" s="302">
        <f>+G16*D16</f>
        <v>0</v>
      </c>
      <c r="J16" s="303"/>
      <c r="K16" s="286"/>
      <c r="M16" s="316"/>
      <c r="N16" s="480"/>
      <c r="O16" s="480"/>
      <c r="P16" s="480"/>
      <c r="Q16" s="480"/>
      <c r="R16" s="480"/>
      <c r="S16" s="480"/>
      <c r="T16" s="480"/>
      <c r="U16" s="316"/>
    </row>
    <row r="17" spans="1:21">
      <c r="A17" s="290">
        <v>6</v>
      </c>
      <c r="B17" s="296" t="s">
        <v>460</v>
      </c>
      <c r="C17" s="288"/>
      <c r="D17" s="304" t="s">
        <v>133</v>
      </c>
      <c r="E17" s="217"/>
      <c r="F17" s="217"/>
      <c r="G17" s="299"/>
      <c r="H17" s="217"/>
      <c r="I17" s="217">
        <f>SUM(I13:I16)</f>
        <v>28266683.221522715</v>
      </c>
      <c r="J17" s="217"/>
      <c r="K17" s="286"/>
      <c r="M17" s="316"/>
      <c r="N17" s="480"/>
      <c r="O17" s="480"/>
      <c r="P17" s="480"/>
      <c r="Q17" s="480"/>
      <c r="R17" s="480"/>
      <c r="S17" s="480"/>
      <c r="T17" s="480"/>
      <c r="U17" s="316"/>
    </row>
    <row r="18" spans="1:21">
      <c r="A18" s="290"/>
      <c r="B18" s="296"/>
      <c r="C18" s="288"/>
      <c r="D18" s="304"/>
      <c r="E18" s="217"/>
      <c r="F18" s="217"/>
      <c r="G18" s="299"/>
      <c r="H18" s="217"/>
      <c r="I18" s="217"/>
      <c r="J18" s="297"/>
      <c r="K18" s="286"/>
      <c r="M18" s="316"/>
      <c r="N18" s="480" t="s">
        <v>461</v>
      </c>
      <c r="O18" s="480" t="s">
        <v>462</v>
      </c>
      <c r="P18" s="480"/>
      <c r="Q18" s="480"/>
      <c r="R18" s="480"/>
      <c r="S18" s="480"/>
      <c r="T18" s="480"/>
      <c r="U18" s="316"/>
    </row>
    <row r="19" spans="1:21">
      <c r="A19" s="305" t="s">
        <v>463</v>
      </c>
      <c r="B19" s="287" t="s">
        <v>464</v>
      </c>
      <c r="C19" s="286"/>
      <c r="D19" s="297" t="s">
        <v>133</v>
      </c>
      <c r="E19" s="286"/>
      <c r="F19" s="286"/>
      <c r="G19" s="306"/>
      <c r="H19" s="286"/>
      <c r="I19" s="307">
        <f>'WP True Up Calc in 2013 Formula'!$D$10</f>
        <v>274598347.80506903</v>
      </c>
      <c r="J19" s="308"/>
      <c r="K19" s="286"/>
      <c r="M19" s="316"/>
      <c r="N19" s="480" t="s">
        <v>465</v>
      </c>
      <c r="O19" s="482">
        <f>+Q28</f>
        <v>0</v>
      </c>
      <c r="P19" s="483"/>
      <c r="Q19" s="480"/>
      <c r="R19" s="480"/>
      <c r="S19" s="480"/>
      <c r="T19" s="480"/>
      <c r="U19" s="316"/>
    </row>
    <row r="20" spans="1:21" ht="16.5" thickBot="1">
      <c r="A20" s="305" t="s">
        <v>466</v>
      </c>
      <c r="B20" s="287" t="s">
        <v>467</v>
      </c>
      <c r="C20" s="286" t="s">
        <v>468</v>
      </c>
      <c r="D20" s="297"/>
      <c r="E20" s="286"/>
      <c r="F20" s="286"/>
      <c r="G20" s="306"/>
      <c r="H20" s="286"/>
      <c r="I20" s="309">
        <f>'WP True Up Calc in 2013 Formula'!$F$10</f>
        <v>270341032.53674299</v>
      </c>
      <c r="J20" s="308"/>
      <c r="K20" s="286"/>
      <c r="M20" s="316"/>
      <c r="N20" s="480" t="s">
        <v>469</v>
      </c>
      <c r="O20" s="482">
        <f>+O21-O19</f>
        <v>2698420061.3063998</v>
      </c>
      <c r="P20" s="480"/>
      <c r="Q20" s="480"/>
      <c r="R20" s="480"/>
      <c r="S20" s="480"/>
      <c r="T20" s="480"/>
      <c r="U20" s="316"/>
    </row>
    <row r="21" spans="1:21">
      <c r="A21" s="305" t="s">
        <v>470</v>
      </c>
      <c r="B21" s="287" t="s">
        <v>471</v>
      </c>
      <c r="C21" s="286" t="s">
        <v>472</v>
      </c>
      <c r="D21" s="297"/>
      <c r="E21" s="286"/>
      <c r="F21" s="286"/>
      <c r="G21" s="306"/>
      <c r="H21" s="286"/>
      <c r="I21" s="308">
        <f>I19-I20</f>
        <v>4257315.2683260441</v>
      </c>
      <c r="J21" s="308"/>
      <c r="K21" s="286"/>
      <c r="M21" s="316"/>
      <c r="N21" s="480" t="s">
        <v>151</v>
      </c>
      <c r="O21" s="484">
        <f>+I85</f>
        <v>2698420061.3063998</v>
      </c>
      <c r="P21" s="480"/>
      <c r="Q21" s="480"/>
      <c r="R21" s="480"/>
      <c r="S21" s="480"/>
      <c r="T21" s="480"/>
      <c r="U21" s="316"/>
    </row>
    <row r="22" spans="1:21">
      <c r="A22" s="305" t="s">
        <v>473</v>
      </c>
      <c r="B22" s="287" t="s">
        <v>474</v>
      </c>
      <c r="C22" s="286" t="s">
        <v>475</v>
      </c>
      <c r="D22" s="297"/>
      <c r="E22" s="286"/>
      <c r="F22" s="286"/>
      <c r="G22" s="306"/>
      <c r="H22" s="286"/>
      <c r="I22" s="307">
        <f>-'WP True Up Calc in 2013 Formula'!$H$26</f>
        <v>1415521.9490887572</v>
      </c>
      <c r="J22" s="308"/>
      <c r="K22" s="286"/>
      <c r="M22" s="316"/>
      <c r="N22" s="480"/>
      <c r="O22" s="480"/>
      <c r="P22" s="480"/>
      <c r="Q22" s="480"/>
      <c r="R22" s="480"/>
      <c r="S22" s="480"/>
      <c r="T22" s="480"/>
      <c r="U22" s="316"/>
    </row>
    <row r="23" spans="1:21" ht="16.5" thickBot="1">
      <c r="A23" s="305" t="s">
        <v>476</v>
      </c>
      <c r="B23" s="287" t="s">
        <v>477</v>
      </c>
      <c r="C23" s="286"/>
      <c r="D23" s="297"/>
      <c r="E23" s="286"/>
      <c r="F23" s="286"/>
      <c r="G23" s="306"/>
      <c r="H23" s="286"/>
      <c r="I23" s="309">
        <f>'WP True Up Interest'!$C$15</f>
        <v>42115.154125380155</v>
      </c>
      <c r="J23" s="308"/>
      <c r="K23" s="286"/>
      <c r="M23" s="316"/>
      <c r="N23" s="480"/>
      <c r="O23" s="480"/>
      <c r="P23" s="480"/>
      <c r="Q23" s="480"/>
      <c r="R23" s="480"/>
      <c r="S23" s="480"/>
      <c r="T23" s="480"/>
      <c r="U23" s="316"/>
    </row>
    <row r="24" spans="1:21">
      <c r="A24" s="290"/>
      <c r="B24" s="296"/>
      <c r="C24" s="288"/>
      <c r="I24" s="217"/>
      <c r="J24" s="297"/>
      <c r="K24" s="286"/>
      <c r="M24" s="316"/>
      <c r="N24" s="480"/>
      <c r="O24" s="480"/>
      <c r="P24" s="480"/>
      <c r="Q24" s="480"/>
      <c r="R24" s="480"/>
      <c r="S24" s="480"/>
      <c r="T24" s="480"/>
      <c r="U24" s="316"/>
    </row>
    <row r="25" spans="1:21" ht="16.5" thickBot="1">
      <c r="A25" s="290">
        <v>7</v>
      </c>
      <c r="B25" s="296" t="s">
        <v>260</v>
      </c>
      <c r="C25" s="286" t="s">
        <v>478</v>
      </c>
      <c r="D25" s="304"/>
      <c r="E25" s="217"/>
      <c r="F25" s="217"/>
      <c r="G25" s="217"/>
      <c r="H25" s="217"/>
      <c r="I25" s="310">
        <f>+I10-I17+I21+I22+I23</f>
        <v>308119864.20179546</v>
      </c>
      <c r="J25" s="311"/>
      <c r="K25" s="286"/>
      <c r="M25" s="316"/>
      <c r="N25" s="480"/>
      <c r="O25" s="480"/>
      <c r="P25" s="480"/>
      <c r="Q25" s="480"/>
      <c r="R25" s="480"/>
      <c r="S25" s="480"/>
      <c r="T25" s="480"/>
      <c r="U25" s="316"/>
    </row>
    <row r="26" spans="1:21" ht="16.5" thickTop="1">
      <c r="A26" s="290"/>
      <c r="C26" s="288"/>
      <c r="D26" s="304"/>
      <c r="E26" s="217"/>
      <c r="F26" s="217"/>
      <c r="G26" s="217"/>
      <c r="H26" s="217"/>
      <c r="J26" s="287"/>
      <c r="K26" s="286"/>
      <c r="M26" s="316"/>
      <c r="N26" s="480"/>
      <c r="O26" s="480"/>
      <c r="P26" s="480"/>
      <c r="Q26" s="544"/>
      <c r="R26" s="544"/>
      <c r="S26" s="544"/>
      <c r="T26" s="480"/>
      <c r="U26" s="316"/>
    </row>
    <row r="27" spans="1:21">
      <c r="A27" s="290"/>
      <c r="B27" s="296" t="s">
        <v>479</v>
      </c>
      <c r="C27" s="288"/>
      <c r="D27" s="294"/>
      <c r="E27" s="288"/>
      <c r="F27" s="288"/>
      <c r="G27" s="288"/>
      <c r="H27" s="288"/>
      <c r="I27" s="294"/>
      <c r="J27" s="312"/>
      <c r="K27" s="286"/>
      <c r="M27" s="316"/>
      <c r="N27" s="480"/>
      <c r="O27" s="480"/>
      <c r="P27" s="480"/>
      <c r="Q27" s="480"/>
      <c r="R27" s="480"/>
      <c r="S27" s="480"/>
      <c r="T27" s="480"/>
      <c r="U27" s="316"/>
    </row>
    <row r="28" spans="1:21">
      <c r="A28" s="290">
        <v>8</v>
      </c>
      <c r="B28" s="313" t="s">
        <v>480</v>
      </c>
      <c r="C28" s="287"/>
      <c r="D28" s="294"/>
      <c r="E28" s="288"/>
      <c r="F28" s="288"/>
      <c r="G28" s="314" t="s">
        <v>481</v>
      </c>
      <c r="H28" s="288"/>
      <c r="I28" s="315">
        <f>'WP Divisor'!$H$25</f>
        <v>6901000</v>
      </c>
      <c r="J28" s="312"/>
      <c r="K28" s="286"/>
      <c r="M28" s="316"/>
      <c r="N28" s="480">
        <v>0</v>
      </c>
      <c r="O28" s="480" t="s">
        <v>482</v>
      </c>
      <c r="P28" s="480"/>
      <c r="Q28" s="480">
        <v>0</v>
      </c>
      <c r="R28" s="480" t="s">
        <v>483</v>
      </c>
      <c r="S28" s="480"/>
      <c r="T28" s="480"/>
      <c r="U28" s="316"/>
    </row>
    <row r="29" spans="1:21">
      <c r="A29" s="290">
        <v>9</v>
      </c>
      <c r="B29" s="296" t="s">
        <v>484</v>
      </c>
      <c r="C29" s="217"/>
      <c r="D29" s="217"/>
      <c r="E29" s="217"/>
      <c r="F29" s="217"/>
      <c r="G29" s="297" t="s">
        <v>485</v>
      </c>
      <c r="H29" s="217"/>
      <c r="I29" s="315">
        <v>0</v>
      </c>
      <c r="J29" s="312"/>
      <c r="K29" s="286"/>
      <c r="M29" s="316"/>
      <c r="N29" s="485">
        <f>N28/I101</f>
        <v>0</v>
      </c>
      <c r="O29" s="486" t="s">
        <v>486</v>
      </c>
      <c r="P29" s="487"/>
      <c r="Q29" s="488">
        <f>Q28/I85</f>
        <v>0</v>
      </c>
      <c r="R29" s="480" t="s">
        <v>487</v>
      </c>
      <c r="S29" s="480"/>
      <c r="T29" s="480"/>
      <c r="U29" s="316"/>
    </row>
    <row r="30" spans="1:21">
      <c r="A30" s="290">
        <v>10</v>
      </c>
      <c r="B30" s="300" t="s">
        <v>262</v>
      </c>
      <c r="C30" s="288"/>
      <c r="D30" s="288"/>
      <c r="E30" s="288"/>
      <c r="G30" s="314" t="s">
        <v>488</v>
      </c>
      <c r="H30" s="288"/>
      <c r="I30" s="315">
        <f>'WP Divisor'!$J$25</f>
        <v>471750</v>
      </c>
      <c r="J30" s="312"/>
      <c r="K30" s="286"/>
      <c r="M30" s="316"/>
      <c r="N30" s="489">
        <v>0</v>
      </c>
      <c r="O30" s="486" t="s">
        <v>489</v>
      </c>
      <c r="P30" s="490"/>
      <c r="Q30" s="480"/>
      <c r="R30" s="480"/>
      <c r="S30" s="480"/>
      <c r="T30" s="480"/>
      <c r="U30" s="316"/>
    </row>
    <row r="31" spans="1:21">
      <c r="A31" s="290">
        <v>11</v>
      </c>
      <c r="B31" s="296" t="s">
        <v>490</v>
      </c>
      <c r="C31" s="288"/>
      <c r="D31" s="288"/>
      <c r="E31" s="288"/>
      <c r="G31" s="314" t="s">
        <v>491</v>
      </c>
      <c r="H31" s="288"/>
      <c r="I31" s="317">
        <v>0</v>
      </c>
      <c r="J31" s="300"/>
      <c r="K31" s="286"/>
      <c r="M31" s="316"/>
      <c r="N31" s="491" t="s">
        <v>461</v>
      </c>
      <c r="O31" s="491" t="s">
        <v>492</v>
      </c>
      <c r="P31" s="492" t="s">
        <v>230</v>
      </c>
      <c r="Q31" s="491" t="s">
        <v>461</v>
      </c>
      <c r="R31" s="491" t="s">
        <v>492</v>
      </c>
      <c r="S31" s="492" t="s">
        <v>230</v>
      </c>
      <c r="T31" s="480"/>
      <c r="U31" s="316"/>
    </row>
    <row r="32" spans="1:21">
      <c r="A32" s="290">
        <v>12</v>
      </c>
      <c r="B32" s="300" t="s">
        <v>263</v>
      </c>
      <c r="C32" s="288"/>
      <c r="D32" s="288"/>
      <c r="E32" s="288"/>
      <c r="F32" s="288"/>
      <c r="G32" s="283"/>
      <c r="H32" s="288"/>
      <c r="I32" s="317">
        <v>0</v>
      </c>
      <c r="J32" s="300"/>
      <c r="K32" s="286"/>
      <c r="M32" s="316"/>
      <c r="N32" s="486" t="s">
        <v>465</v>
      </c>
      <c r="O32" s="493">
        <f>N29*I25</f>
        <v>0</v>
      </c>
      <c r="P32" s="494">
        <v>0</v>
      </c>
      <c r="Q32" s="486" t="s">
        <v>465</v>
      </c>
      <c r="R32" s="493">
        <f>Q29*I25</f>
        <v>0</v>
      </c>
      <c r="S32" s="495">
        <v>0</v>
      </c>
      <c r="T32" s="480"/>
      <c r="U32" s="316"/>
    </row>
    <row r="33" spans="1:21">
      <c r="A33" s="290">
        <v>13</v>
      </c>
      <c r="B33" s="300" t="s">
        <v>493</v>
      </c>
      <c r="C33" s="288"/>
      <c r="D33" s="288"/>
      <c r="E33" s="288"/>
      <c r="F33" s="288"/>
      <c r="G33" s="314"/>
      <c r="H33" s="288"/>
      <c r="I33" s="317">
        <v>0</v>
      </c>
      <c r="J33" s="300"/>
      <c r="K33" s="286"/>
      <c r="M33" s="316"/>
      <c r="N33" s="486" t="s">
        <v>469</v>
      </c>
      <c r="O33" s="496">
        <f>O34-O32</f>
        <v>308119864.20179546</v>
      </c>
      <c r="P33" s="497">
        <f>(1-N30)*J36</f>
        <v>0</v>
      </c>
      <c r="Q33" s="486" t="s">
        <v>469</v>
      </c>
      <c r="R33" s="496">
        <f>R34-R32</f>
        <v>308119864.20179546</v>
      </c>
      <c r="S33" s="497">
        <f>P33-S32</f>
        <v>0</v>
      </c>
      <c r="T33" s="480"/>
      <c r="U33" s="316"/>
    </row>
    <row r="34" spans="1:21" ht="16.5" thickBot="1">
      <c r="A34" s="290">
        <v>14</v>
      </c>
      <c r="B34" s="300" t="s">
        <v>494</v>
      </c>
      <c r="C34" s="288"/>
      <c r="D34" s="288"/>
      <c r="E34" s="288"/>
      <c r="F34" s="288"/>
      <c r="G34" s="283"/>
      <c r="H34" s="288"/>
      <c r="I34" s="318">
        <v>0</v>
      </c>
      <c r="J34" s="300"/>
      <c r="K34" s="286"/>
      <c r="M34" s="316"/>
      <c r="N34" s="498" t="s">
        <v>151</v>
      </c>
      <c r="O34" s="496">
        <f>I25</f>
        <v>308119864.20179546</v>
      </c>
      <c r="P34" s="497">
        <f>SUM(P32:P33)</f>
        <v>0</v>
      </c>
      <c r="Q34" s="498" t="s">
        <v>151</v>
      </c>
      <c r="R34" s="496">
        <f>I25</f>
        <v>308119864.20179546</v>
      </c>
      <c r="S34" s="497">
        <f>SUM(S32:S33)</f>
        <v>0</v>
      </c>
      <c r="T34" s="480"/>
      <c r="U34" s="316"/>
    </row>
    <row r="35" spans="1:21" s="287" customFormat="1">
      <c r="A35" s="305"/>
      <c r="B35" s="300"/>
      <c r="C35" s="286"/>
      <c r="D35" s="286"/>
      <c r="E35" s="286"/>
      <c r="F35" s="286"/>
      <c r="G35" s="314"/>
      <c r="H35" s="286"/>
      <c r="I35" s="300"/>
      <c r="J35" s="300"/>
      <c r="K35" s="286"/>
      <c r="M35" s="316"/>
      <c r="N35" s="480"/>
      <c r="O35" s="480"/>
      <c r="P35" s="480"/>
      <c r="Q35" s="480"/>
      <c r="R35" s="480"/>
      <c r="S35" s="480"/>
      <c r="T35" s="480"/>
      <c r="U35" s="382"/>
    </row>
    <row r="36" spans="1:21">
      <c r="A36" s="290">
        <v>15</v>
      </c>
      <c r="B36" s="281" t="s">
        <v>264</v>
      </c>
      <c r="C36" s="288"/>
      <c r="D36" s="288"/>
      <c r="E36" s="288"/>
      <c r="F36" s="288"/>
      <c r="G36" s="288"/>
      <c r="H36" s="288"/>
      <c r="I36" s="312">
        <f>SUM(I28:I34)</f>
        <v>7372750</v>
      </c>
      <c r="J36" s="312"/>
      <c r="K36" s="286"/>
      <c r="M36" s="316"/>
      <c r="N36" s="480"/>
      <c r="O36" s="480"/>
      <c r="P36" s="480"/>
      <c r="Q36" s="480"/>
      <c r="R36" s="480"/>
      <c r="S36" s="480"/>
      <c r="T36" s="480"/>
      <c r="U36" s="316"/>
    </row>
    <row r="37" spans="1:21">
      <c r="A37" s="290">
        <v>16</v>
      </c>
      <c r="B37" s="296" t="s">
        <v>265</v>
      </c>
      <c r="C37" s="288" t="s">
        <v>495</v>
      </c>
      <c r="D37" s="319">
        <f>IF(I36&gt;0,I25/I36,0)</f>
        <v>41.79171465217123</v>
      </c>
      <c r="E37" s="288"/>
      <c r="F37" s="288"/>
      <c r="G37" s="288"/>
      <c r="H37" s="288"/>
      <c r="J37" s="287"/>
      <c r="K37" s="286"/>
      <c r="M37" s="316"/>
      <c r="N37" s="480"/>
      <c r="O37" s="480"/>
      <c r="P37" s="480"/>
      <c r="Q37" s="480"/>
      <c r="R37" s="480"/>
      <c r="S37" s="480"/>
      <c r="T37" s="480"/>
      <c r="U37" s="316"/>
    </row>
    <row r="38" spans="1:21">
      <c r="A38" s="290">
        <v>17</v>
      </c>
      <c r="B38" s="296" t="s">
        <v>496</v>
      </c>
      <c r="C38" s="288" t="s">
        <v>497</v>
      </c>
      <c r="D38" s="320">
        <f>+D37/12</f>
        <v>3.4826428876809357</v>
      </c>
      <c r="E38" s="288"/>
      <c r="F38" s="288"/>
      <c r="G38" s="288"/>
      <c r="H38" s="288"/>
      <c r="K38" s="286"/>
      <c r="M38" s="316"/>
      <c r="N38" s="316"/>
      <c r="O38" s="316"/>
      <c r="P38" s="316"/>
      <c r="Q38" s="316"/>
      <c r="R38" s="316"/>
      <c r="S38" s="316"/>
      <c r="T38" s="316"/>
    </row>
    <row r="39" spans="1:21">
      <c r="A39" s="290"/>
      <c r="B39" s="296"/>
      <c r="C39" s="288"/>
      <c r="D39" s="320"/>
      <c r="E39" s="288"/>
      <c r="F39" s="288"/>
      <c r="G39" s="288"/>
      <c r="H39" s="288"/>
      <c r="K39" s="286"/>
      <c r="M39" s="316"/>
    </row>
    <row r="40" spans="1:21">
      <c r="A40" s="290"/>
      <c r="B40" s="296"/>
      <c r="C40" s="288"/>
      <c r="D40" s="321" t="s">
        <v>498</v>
      </c>
      <c r="E40" s="288"/>
      <c r="F40" s="288"/>
      <c r="G40" s="288"/>
      <c r="H40" s="288"/>
      <c r="I40" s="322" t="s">
        <v>499</v>
      </c>
      <c r="J40" s="322"/>
      <c r="K40" s="286"/>
      <c r="M40" s="316"/>
    </row>
    <row r="41" spans="1:21">
      <c r="A41" s="290">
        <v>18</v>
      </c>
      <c r="B41" s="296" t="s">
        <v>500</v>
      </c>
      <c r="C41" s="323" t="s">
        <v>501</v>
      </c>
      <c r="D41" s="320">
        <f>+D37/52</f>
        <v>0.80368682023406213</v>
      </c>
      <c r="E41" s="288"/>
      <c r="F41" s="288"/>
      <c r="G41" s="288"/>
      <c r="H41" s="288"/>
      <c r="I41" s="324">
        <f>+D37/52</f>
        <v>0.80368682023406213</v>
      </c>
      <c r="J41" s="324"/>
      <c r="K41" s="286"/>
      <c r="M41" s="316"/>
    </row>
    <row r="42" spans="1:21">
      <c r="A42" s="290">
        <v>19</v>
      </c>
      <c r="B42" s="296" t="s">
        <v>502</v>
      </c>
      <c r="C42" s="288" t="s">
        <v>503</v>
      </c>
      <c r="D42" s="320">
        <f>+D37/260</f>
        <v>0.16073736404681241</v>
      </c>
      <c r="E42" s="288" t="s">
        <v>504</v>
      </c>
      <c r="G42" s="288"/>
      <c r="H42" s="288"/>
      <c r="I42" s="324">
        <f>D37/365</f>
        <v>0.11449784836211296</v>
      </c>
      <c r="J42" s="324"/>
      <c r="K42" s="286"/>
      <c r="M42" s="316"/>
    </row>
    <row r="43" spans="1:21">
      <c r="A43" s="290">
        <v>20</v>
      </c>
      <c r="B43" s="296" t="s">
        <v>505</v>
      </c>
      <c r="C43" s="288" t="s">
        <v>506</v>
      </c>
      <c r="D43" s="320">
        <f>+D37/4160*1000</f>
        <v>10.046085252925776</v>
      </c>
      <c r="E43" s="288" t="s">
        <v>507</v>
      </c>
      <c r="G43" s="288"/>
      <c r="H43" s="288"/>
      <c r="I43" s="324">
        <f>+D37/8760*1000</f>
        <v>4.7707436817547064</v>
      </c>
      <c r="J43" s="324"/>
      <c r="K43" s="286" t="s">
        <v>133</v>
      </c>
    </row>
    <row r="44" spans="1:21">
      <c r="A44" s="290"/>
      <c r="B44" s="296"/>
      <c r="C44" s="288" t="s">
        <v>508</v>
      </c>
      <c r="D44" s="288"/>
      <c r="E44" s="288" t="s">
        <v>509</v>
      </c>
      <c r="G44" s="288"/>
      <c r="H44" s="288"/>
      <c r="K44" s="286" t="s">
        <v>133</v>
      </c>
    </row>
    <row r="45" spans="1:21">
      <c r="A45" s="290"/>
      <c r="B45" s="296"/>
      <c r="C45" s="288"/>
      <c r="D45" s="288"/>
      <c r="E45" s="288"/>
      <c r="G45" s="288"/>
      <c r="H45" s="288"/>
      <c r="K45" s="286" t="s">
        <v>133</v>
      </c>
    </row>
    <row r="46" spans="1:21">
      <c r="A46" s="290">
        <v>21</v>
      </c>
      <c r="B46" s="296" t="s">
        <v>510</v>
      </c>
      <c r="C46" s="288" t="s">
        <v>511</v>
      </c>
      <c r="D46" s="325">
        <v>0</v>
      </c>
      <c r="E46" s="326" t="s">
        <v>512</v>
      </c>
      <c r="F46" s="326"/>
      <c r="G46" s="326"/>
      <c r="H46" s="326"/>
      <c r="I46" s="326">
        <f>D46</f>
        <v>0</v>
      </c>
      <c r="J46" s="326" t="s">
        <v>512</v>
      </c>
    </row>
    <row r="47" spans="1:21">
      <c r="A47" s="290">
        <v>22</v>
      </c>
      <c r="B47" s="296"/>
      <c r="C47" s="288"/>
      <c r="D47" s="325">
        <v>0</v>
      </c>
      <c r="E47" s="326" t="s">
        <v>513</v>
      </c>
      <c r="F47" s="326"/>
      <c r="G47" s="326"/>
      <c r="H47" s="326"/>
      <c r="I47" s="326">
        <f>D47</f>
        <v>0</v>
      </c>
      <c r="J47" s="326" t="s">
        <v>513</v>
      </c>
    </row>
    <row r="48" spans="1:21" s="287" customFormat="1">
      <c r="A48" s="305"/>
      <c r="B48" s="313"/>
      <c r="C48" s="286"/>
      <c r="D48" s="327"/>
      <c r="E48" s="327"/>
      <c r="F48" s="327"/>
      <c r="G48" s="327"/>
      <c r="H48" s="327"/>
      <c r="I48" s="327"/>
      <c r="J48" s="327"/>
      <c r="K48" s="286"/>
    </row>
    <row r="49" spans="1:11" s="287" customFormat="1">
      <c r="A49" s="305"/>
      <c r="B49" s="313"/>
      <c r="C49" s="286"/>
      <c r="D49" s="327"/>
      <c r="E49" s="327"/>
      <c r="F49" s="327"/>
      <c r="G49" s="327"/>
      <c r="H49" s="327"/>
      <c r="I49" s="327"/>
      <c r="J49" s="327"/>
      <c r="K49" s="286"/>
    </row>
    <row r="50" spans="1:11" s="287" customFormat="1">
      <c r="A50" s="305"/>
      <c r="B50" s="313"/>
      <c r="C50" s="286"/>
      <c r="D50" s="327"/>
      <c r="E50" s="327"/>
      <c r="F50" s="327"/>
      <c r="G50" s="327"/>
      <c r="H50" s="327"/>
      <c r="I50" s="327"/>
      <c r="J50" s="327"/>
      <c r="K50" s="286"/>
    </row>
    <row r="51" spans="1:11" s="287" customFormat="1">
      <c r="A51" s="305"/>
      <c r="B51" s="313"/>
      <c r="C51" s="286"/>
      <c r="D51" s="327"/>
      <c r="E51" s="327"/>
      <c r="F51" s="327"/>
      <c r="G51" s="327"/>
      <c r="H51" s="327"/>
      <c r="I51" s="327"/>
      <c r="J51" s="327"/>
      <c r="K51" s="286"/>
    </row>
    <row r="52" spans="1:11" s="287" customFormat="1">
      <c r="A52" s="305"/>
      <c r="B52" s="313"/>
      <c r="C52" s="286"/>
      <c r="D52" s="327"/>
      <c r="E52" s="327"/>
      <c r="F52" s="327"/>
      <c r="G52" s="327"/>
      <c r="H52" s="327"/>
      <c r="I52" s="327"/>
      <c r="J52" s="327"/>
      <c r="K52" s="286"/>
    </row>
    <row r="53" spans="1:11" s="287" customFormat="1">
      <c r="A53" s="305"/>
      <c r="B53" s="313"/>
      <c r="C53" s="286"/>
      <c r="D53" s="327"/>
      <c r="E53" s="327"/>
      <c r="F53" s="327"/>
      <c r="G53" s="327"/>
      <c r="H53" s="327"/>
      <c r="I53" s="327"/>
      <c r="J53" s="327"/>
      <c r="K53" s="286"/>
    </row>
    <row r="54" spans="1:11" s="287" customFormat="1">
      <c r="A54" s="305"/>
      <c r="B54" s="313"/>
      <c r="C54" s="286"/>
      <c r="D54" s="327"/>
      <c r="E54" s="327"/>
      <c r="F54" s="327"/>
      <c r="G54" s="327"/>
      <c r="H54" s="327"/>
      <c r="I54" s="327"/>
      <c r="J54" s="327"/>
      <c r="K54" s="286"/>
    </row>
    <row r="55" spans="1:11" s="287" customFormat="1">
      <c r="A55" s="305"/>
      <c r="B55" s="313"/>
      <c r="C55" s="286"/>
      <c r="D55" s="327"/>
      <c r="E55" s="327"/>
      <c r="F55" s="327"/>
      <c r="G55" s="327"/>
      <c r="H55" s="327"/>
      <c r="I55" s="327"/>
      <c r="J55" s="327"/>
      <c r="K55" s="286"/>
    </row>
    <row r="56" spans="1:11" s="287" customFormat="1">
      <c r="A56" s="305"/>
      <c r="B56" s="313"/>
      <c r="C56" s="286"/>
      <c r="D56" s="327"/>
      <c r="E56" s="327"/>
      <c r="F56" s="327"/>
      <c r="G56" s="327"/>
      <c r="H56" s="327"/>
      <c r="I56" s="327"/>
      <c r="J56" s="327"/>
      <c r="K56" s="286"/>
    </row>
    <row r="57" spans="1:11" s="287" customFormat="1">
      <c r="A57" s="305"/>
      <c r="B57" s="313"/>
      <c r="C57" s="286"/>
      <c r="D57" s="327"/>
      <c r="E57" s="327"/>
      <c r="F57" s="327"/>
      <c r="G57" s="327"/>
      <c r="H57" s="327"/>
      <c r="I57" s="327"/>
      <c r="J57" s="327"/>
      <c r="K57" s="286"/>
    </row>
    <row r="58" spans="1:11" s="287" customFormat="1">
      <c r="A58" s="305"/>
      <c r="B58" s="313"/>
      <c r="C58" s="286"/>
      <c r="D58" s="327"/>
      <c r="E58" s="327"/>
      <c r="F58" s="327"/>
      <c r="G58" s="327"/>
      <c r="H58" s="327"/>
      <c r="I58" s="327"/>
      <c r="J58" s="327"/>
      <c r="K58" s="286"/>
    </row>
    <row r="59" spans="1:11" s="287" customFormat="1">
      <c r="A59" s="305"/>
      <c r="B59" s="313"/>
      <c r="C59" s="286"/>
      <c r="D59" s="327"/>
      <c r="E59" s="327"/>
      <c r="F59" s="327"/>
      <c r="G59" s="327"/>
      <c r="H59" s="327"/>
      <c r="I59" s="327"/>
      <c r="J59" s="327"/>
      <c r="K59" s="286"/>
    </row>
    <row r="60" spans="1:11" s="287" customFormat="1">
      <c r="A60" s="305"/>
      <c r="B60" s="313"/>
      <c r="C60" s="286"/>
      <c r="D60" s="327"/>
      <c r="E60" s="327"/>
      <c r="F60" s="327"/>
      <c r="G60" s="327"/>
      <c r="H60" s="327"/>
      <c r="I60" s="327"/>
      <c r="J60" s="327"/>
      <c r="K60" s="286"/>
    </row>
    <row r="61" spans="1:11" s="287" customFormat="1">
      <c r="A61" s="305"/>
      <c r="B61" s="313"/>
      <c r="C61" s="286"/>
      <c r="D61" s="327"/>
      <c r="E61" s="327"/>
      <c r="F61" s="327"/>
      <c r="G61" s="327"/>
      <c r="H61" s="327"/>
      <c r="I61" s="327"/>
      <c r="J61" s="327"/>
      <c r="K61" s="286"/>
    </row>
    <row r="62" spans="1:11" s="287" customFormat="1">
      <c r="A62" s="305"/>
      <c r="B62" s="313"/>
      <c r="C62" s="286"/>
      <c r="D62" s="327"/>
      <c r="E62" s="327"/>
      <c r="F62" s="327"/>
      <c r="G62" s="327"/>
      <c r="H62" s="327"/>
      <c r="I62" s="327"/>
      <c r="J62" s="327"/>
      <c r="K62" s="286"/>
    </row>
    <row r="63" spans="1:11" s="287" customFormat="1">
      <c r="A63" s="305"/>
      <c r="B63" s="313"/>
      <c r="C63" s="286"/>
      <c r="D63" s="327"/>
      <c r="E63" s="327"/>
      <c r="F63" s="327"/>
      <c r="G63" s="327"/>
      <c r="H63" s="327"/>
      <c r="I63" s="327"/>
      <c r="J63" s="327"/>
      <c r="K63" s="286"/>
    </row>
    <row r="64" spans="1:11" s="287" customFormat="1">
      <c r="A64" s="305"/>
      <c r="B64" s="313"/>
      <c r="C64" s="286"/>
      <c r="D64" s="327"/>
      <c r="E64" s="327"/>
      <c r="F64" s="327"/>
      <c r="G64" s="327"/>
      <c r="H64" s="327"/>
      <c r="I64" s="327"/>
      <c r="J64" s="327"/>
      <c r="K64" s="286"/>
    </row>
    <row r="65" spans="1:13" s="287" customFormat="1">
      <c r="A65" s="305"/>
      <c r="B65" s="313"/>
      <c r="C65" s="286"/>
      <c r="D65" s="327"/>
      <c r="E65" s="327"/>
      <c r="F65" s="327"/>
      <c r="G65" s="327"/>
      <c r="H65" s="327"/>
      <c r="I65" s="327"/>
      <c r="J65" s="327"/>
      <c r="K65" s="286"/>
    </row>
    <row r="66" spans="1:13" s="287" customFormat="1">
      <c r="A66" s="305"/>
      <c r="B66" s="313"/>
      <c r="C66" s="286"/>
      <c r="D66" s="327"/>
      <c r="E66" s="327"/>
      <c r="F66" s="327"/>
      <c r="G66" s="327"/>
      <c r="H66" s="327"/>
      <c r="I66" s="327"/>
      <c r="J66" s="327"/>
      <c r="K66" s="286"/>
    </row>
    <row r="67" spans="1:13" s="287" customFormat="1">
      <c r="A67" s="305"/>
      <c r="B67" s="313"/>
      <c r="C67" s="286"/>
      <c r="D67" s="327"/>
      <c r="E67" s="327"/>
      <c r="F67" s="327"/>
      <c r="G67" s="327"/>
      <c r="H67" s="327"/>
      <c r="I67" s="327"/>
      <c r="J67" s="327"/>
      <c r="K67" s="286"/>
    </row>
    <row r="68" spans="1:13" s="287" customFormat="1">
      <c r="A68" s="305"/>
      <c r="B68" s="313"/>
      <c r="C68" s="286"/>
      <c r="D68" s="327"/>
      <c r="E68" s="327"/>
      <c r="F68" s="327"/>
      <c r="G68" s="327"/>
      <c r="H68" s="327"/>
      <c r="I68" s="327"/>
      <c r="J68" s="327"/>
      <c r="K68" s="286"/>
    </row>
    <row r="69" spans="1:13" s="287" customFormat="1">
      <c r="A69" s="305"/>
      <c r="B69" s="313"/>
      <c r="C69" s="286"/>
      <c r="D69" s="327"/>
      <c r="E69" s="327"/>
      <c r="F69" s="327"/>
      <c r="G69" s="327"/>
      <c r="H69" s="327"/>
      <c r="I69" s="327"/>
      <c r="J69" s="327"/>
      <c r="K69" s="286"/>
    </row>
    <row r="70" spans="1:13" s="287" customFormat="1">
      <c r="A70" s="305"/>
      <c r="B70" s="313"/>
      <c r="C70" s="286"/>
      <c r="D70" s="327"/>
      <c r="E70" s="327"/>
      <c r="F70" s="327"/>
      <c r="G70" s="327"/>
      <c r="H70" s="327"/>
      <c r="I70" s="327"/>
      <c r="J70" s="327"/>
      <c r="K70" s="286"/>
    </row>
    <row r="71" spans="1:13" s="287" customFormat="1">
      <c r="A71" s="305"/>
      <c r="B71" s="313"/>
      <c r="C71" s="286"/>
      <c r="D71" s="327"/>
      <c r="E71" s="327"/>
      <c r="F71" s="327"/>
      <c r="G71" s="327"/>
      <c r="H71" s="327"/>
      <c r="I71" s="327"/>
      <c r="J71" s="327"/>
      <c r="K71" s="286"/>
    </row>
    <row r="72" spans="1:13">
      <c r="B72" s="281"/>
      <c r="C72" s="281"/>
      <c r="D72" s="282"/>
      <c r="E72" s="281"/>
      <c r="F72" s="281"/>
      <c r="G72" s="281"/>
      <c r="H72" s="283"/>
      <c r="I72" s="283"/>
      <c r="J72" s="283"/>
      <c r="K72" s="328" t="s">
        <v>514</v>
      </c>
    </row>
    <row r="73" spans="1:13">
      <c r="B73" s="281"/>
      <c r="C73" s="281"/>
      <c r="D73" s="282"/>
      <c r="E73" s="281"/>
      <c r="F73" s="281"/>
      <c r="G73" s="281"/>
      <c r="H73" s="283"/>
      <c r="I73" s="283"/>
      <c r="J73" s="283"/>
      <c r="K73" s="329"/>
    </row>
    <row r="74" spans="1:13">
      <c r="B74" s="281" t="s">
        <v>443</v>
      </c>
      <c r="C74" s="281"/>
      <c r="D74" s="282" t="s">
        <v>444</v>
      </c>
      <c r="E74" s="281"/>
      <c r="F74" s="281"/>
      <c r="G74" s="281"/>
      <c r="H74" s="283"/>
      <c r="K74" s="284" t="str">
        <f>K3</f>
        <v>For the 12 months ended 12/31/13</v>
      </c>
    </row>
    <row r="75" spans="1:13">
      <c r="B75" s="281"/>
      <c r="C75" s="217" t="s">
        <v>133</v>
      </c>
      <c r="D75" s="217" t="s">
        <v>446</v>
      </c>
      <c r="E75" s="217"/>
      <c r="F75" s="217"/>
      <c r="G75" s="217"/>
      <c r="H75" s="283"/>
      <c r="I75" s="283"/>
      <c r="J75" s="283"/>
      <c r="K75" s="286"/>
    </row>
    <row r="76" spans="1:13">
      <c r="B76" s="281"/>
      <c r="C76" s="217"/>
      <c r="D76" s="217"/>
      <c r="E76" s="217"/>
      <c r="F76" s="217"/>
      <c r="G76" s="217"/>
      <c r="H76" s="283"/>
      <c r="I76" s="283"/>
      <c r="J76" s="283"/>
      <c r="K76" s="286"/>
    </row>
    <row r="77" spans="1:13">
      <c r="A77" s="542" t="str">
        <f>A6</f>
        <v>Northern States Power Companies</v>
      </c>
      <c r="B77" s="542"/>
      <c r="C77" s="542"/>
      <c r="D77" s="542"/>
      <c r="E77" s="542"/>
      <c r="F77" s="542"/>
      <c r="G77" s="542"/>
      <c r="H77" s="542"/>
      <c r="I77" s="542"/>
      <c r="J77" s="542"/>
      <c r="K77" s="542"/>
    </row>
    <row r="78" spans="1:13">
      <c r="B78" s="296"/>
      <c r="C78" s="288"/>
      <c r="D78" s="297"/>
      <c r="E78" s="297"/>
      <c r="F78" s="297"/>
      <c r="G78" s="297"/>
      <c r="H78" s="217"/>
      <c r="I78" s="217"/>
      <c r="J78" s="217"/>
      <c r="K78" s="297"/>
    </row>
    <row r="79" spans="1:13">
      <c r="B79" s="331" t="s">
        <v>515</v>
      </c>
      <c r="C79" s="331" t="s">
        <v>516</v>
      </c>
      <c r="D79" s="331" t="s">
        <v>517</v>
      </c>
      <c r="E79" s="217" t="s">
        <v>133</v>
      </c>
      <c r="F79" s="217"/>
      <c r="G79" s="332" t="s">
        <v>518</v>
      </c>
      <c r="H79" s="217"/>
      <c r="I79" s="333" t="s">
        <v>519</v>
      </c>
      <c r="J79" s="333"/>
      <c r="K79" s="334"/>
    </row>
    <row r="80" spans="1:13">
      <c r="B80" s="296"/>
      <c r="C80" s="335" t="s">
        <v>520</v>
      </c>
      <c r="D80" s="217"/>
      <c r="E80" s="217"/>
      <c r="F80" s="217"/>
      <c r="G80" s="290"/>
      <c r="H80" s="217"/>
      <c r="I80" s="336" t="s">
        <v>152</v>
      </c>
      <c r="J80" s="336"/>
      <c r="K80" s="334"/>
      <c r="L80" s="337" t="s">
        <v>521</v>
      </c>
      <c r="M80" s="337" t="s">
        <v>522</v>
      </c>
    </row>
    <row r="81" spans="1:14">
      <c r="A81" s="290" t="s">
        <v>174</v>
      </c>
      <c r="B81" s="296"/>
      <c r="C81" s="338" t="s">
        <v>523</v>
      </c>
      <c r="D81" s="339" t="s">
        <v>524</v>
      </c>
      <c r="E81" s="340"/>
      <c r="F81" s="336" t="s">
        <v>525</v>
      </c>
      <c r="H81" s="340"/>
      <c r="I81" s="290" t="s">
        <v>526</v>
      </c>
      <c r="J81" s="290"/>
      <c r="K81" s="334"/>
      <c r="L81" s="337" t="s">
        <v>151</v>
      </c>
      <c r="M81" s="337" t="s">
        <v>151</v>
      </c>
    </row>
    <row r="82" spans="1:14" ht="16.5" thickBot="1">
      <c r="A82" s="292" t="s">
        <v>150</v>
      </c>
      <c r="B82" s="341" t="s">
        <v>527</v>
      </c>
      <c r="C82" s="217"/>
      <c r="D82" s="217"/>
      <c r="E82" s="217"/>
      <c r="F82" s="217"/>
      <c r="G82" s="217"/>
      <c r="H82" s="217"/>
      <c r="I82" s="217"/>
      <c r="J82" s="217"/>
      <c r="K82" s="297"/>
    </row>
    <row r="83" spans="1:14">
      <c r="A83" s="290"/>
      <c r="B83" s="296" t="s">
        <v>528</v>
      </c>
      <c r="C83" s="342"/>
      <c r="D83" s="217"/>
      <c r="E83" s="217"/>
      <c r="F83" s="217"/>
      <c r="G83" s="217"/>
      <c r="H83" s="217"/>
      <c r="I83" s="217"/>
      <c r="J83" s="217"/>
      <c r="K83" s="297"/>
    </row>
    <row r="84" spans="1:14">
      <c r="A84" s="290">
        <v>1</v>
      </c>
      <c r="B84" s="296" t="s">
        <v>529</v>
      </c>
      <c r="C84" s="297" t="s">
        <v>530</v>
      </c>
      <c r="D84" s="301">
        <f>L84+M84</f>
        <v>7042289753.5973463</v>
      </c>
      <c r="E84" s="217"/>
      <c r="F84" s="217" t="s">
        <v>531</v>
      </c>
      <c r="G84" s="343" t="s">
        <v>133</v>
      </c>
      <c r="H84" s="217"/>
      <c r="I84" s="217" t="s">
        <v>133</v>
      </c>
      <c r="J84" s="217"/>
      <c r="K84" s="297"/>
      <c r="L84" s="344">
        <f>'WP Gross Plant'!$D$42</f>
        <v>6604219912.658885</v>
      </c>
      <c r="M84" s="344">
        <f>'WP Gross Plant'!$D$62</f>
        <v>438069840.93846142</v>
      </c>
    </row>
    <row r="85" spans="1:14">
      <c r="A85" s="290">
        <v>2</v>
      </c>
      <c r="B85" s="296" t="s">
        <v>532</v>
      </c>
      <c r="C85" s="297" t="s">
        <v>533</v>
      </c>
      <c r="D85" s="301">
        <f>L85+M85</f>
        <v>2779661698.3063998</v>
      </c>
      <c r="E85" s="217"/>
      <c r="F85" s="217" t="s">
        <v>455</v>
      </c>
      <c r="G85" s="343">
        <f>I233</f>
        <v>0.97077283287764871</v>
      </c>
      <c r="H85" s="217"/>
      <c r="I85" s="217">
        <f>+G85*D85</f>
        <v>2698420061.3063998</v>
      </c>
      <c r="J85" s="217"/>
      <c r="K85" s="297"/>
      <c r="L85" s="344">
        <f>'WP Gross Plant'!$F$42</f>
        <v>2184543545.0117846</v>
      </c>
      <c r="M85" s="344">
        <f>'WP Gross Plant'!$F$62</f>
        <v>595118153.29461539</v>
      </c>
      <c r="N85" s="287"/>
    </row>
    <row r="86" spans="1:14">
      <c r="A86" s="290">
        <v>3</v>
      </c>
      <c r="B86" s="296" t="s">
        <v>534</v>
      </c>
      <c r="C86" s="297" t="s">
        <v>535</v>
      </c>
      <c r="D86" s="301">
        <f>L86+M86</f>
        <v>4003842892.8138847</v>
      </c>
      <c r="E86" s="217"/>
      <c r="F86" s="217" t="s">
        <v>531</v>
      </c>
      <c r="G86" s="343" t="s">
        <v>133</v>
      </c>
      <c r="H86" s="217"/>
      <c r="I86" s="217" t="s">
        <v>133</v>
      </c>
      <c r="J86" s="217"/>
      <c r="K86" s="297"/>
      <c r="L86" s="344">
        <f>'WP Gross Plant'!$H$42</f>
        <v>3290144480.2431154</v>
      </c>
      <c r="M86" s="344">
        <f>'WP Gross Plant'!$H$62</f>
        <v>713698412.57076919</v>
      </c>
      <c r="N86" s="296"/>
    </row>
    <row r="87" spans="1:14">
      <c r="A87" s="290">
        <v>4</v>
      </c>
      <c r="B87" s="296" t="s">
        <v>536</v>
      </c>
      <c r="C87" s="297" t="s">
        <v>537</v>
      </c>
      <c r="D87" s="301">
        <f>L87+M87</f>
        <v>594035886.91583848</v>
      </c>
      <c r="E87" s="217"/>
      <c r="F87" s="217" t="s">
        <v>538</v>
      </c>
      <c r="G87" s="343">
        <f>I251</f>
        <v>4.9494000160464867E-2</v>
      </c>
      <c r="H87" s="217"/>
      <c r="I87" s="217">
        <f>+G87*D87</f>
        <v>29401212.282334398</v>
      </c>
      <c r="J87" s="217"/>
      <c r="K87" s="297"/>
      <c r="L87" s="344">
        <f>'WP Gross Plant'!$J$42</f>
        <v>509474937.76199234</v>
      </c>
      <c r="M87" s="344">
        <f>'WP Gross Plant'!$J$62</f>
        <v>84560949.15384616</v>
      </c>
      <c r="N87" s="296"/>
    </row>
    <row r="88" spans="1:14" ht="16.5" thickBot="1">
      <c r="A88" s="290">
        <v>5</v>
      </c>
      <c r="B88" s="296" t="s">
        <v>539</v>
      </c>
      <c r="C88" s="297" t="s">
        <v>540</v>
      </c>
      <c r="D88" s="309">
        <f>L88+M88</f>
        <v>585044579.50840759</v>
      </c>
      <c r="E88" s="217"/>
      <c r="F88" s="217" t="s">
        <v>541</v>
      </c>
      <c r="G88" s="343">
        <f>K256</f>
        <v>4.5452497246181507E-2</v>
      </c>
      <c r="H88" s="217"/>
      <c r="I88" s="302">
        <f>+G88*D88</f>
        <v>26591737.138999313</v>
      </c>
      <c r="J88" s="303"/>
      <c r="K88" s="297"/>
      <c r="L88" s="345">
        <f>'WP Gross Plant'!$L$42</f>
        <v>482246430.78840762</v>
      </c>
      <c r="M88" s="345">
        <f>'WP Gross Plant'!$L$62</f>
        <v>102798148.72000001</v>
      </c>
      <c r="N88" s="346"/>
    </row>
    <row r="89" spans="1:14">
      <c r="A89" s="290">
        <v>6</v>
      </c>
      <c r="B89" s="281" t="s">
        <v>542</v>
      </c>
      <c r="C89" s="297"/>
      <c r="D89" s="217">
        <f>SUM(D84:D88)</f>
        <v>15004874811.141876</v>
      </c>
      <c r="E89" s="217"/>
      <c r="F89" s="217" t="s">
        <v>543</v>
      </c>
      <c r="G89" s="347">
        <f>IF(I89&gt;0,I89/D89,0)</f>
        <v>0.18356787679977463</v>
      </c>
      <c r="H89" s="217"/>
      <c r="I89" s="217">
        <f>SUM(I84:I88)</f>
        <v>2754413010.7277336</v>
      </c>
      <c r="J89" s="217"/>
      <c r="K89" s="348"/>
      <c r="L89" s="217">
        <f>SUM(L84:L88)</f>
        <v>13070629306.464184</v>
      </c>
      <c r="M89" s="217">
        <f>SUM(M84:M88)</f>
        <v>1934245504.6776922</v>
      </c>
      <c r="N89" s="296"/>
    </row>
    <row r="90" spans="1:14">
      <c r="B90" s="296"/>
      <c r="C90" s="217"/>
      <c r="D90" s="217"/>
      <c r="E90" s="217"/>
      <c r="F90" s="217"/>
      <c r="G90" s="347"/>
      <c r="H90" s="217"/>
      <c r="I90" s="217"/>
      <c r="J90" s="217"/>
      <c r="K90" s="348"/>
      <c r="L90" s="217"/>
      <c r="M90" s="217"/>
      <c r="N90" s="296"/>
    </row>
    <row r="91" spans="1:14">
      <c r="B91" s="296" t="s">
        <v>544</v>
      </c>
      <c r="C91" s="217"/>
      <c r="D91" s="217"/>
      <c r="E91" s="217"/>
      <c r="F91" s="217"/>
      <c r="G91" s="217"/>
      <c r="H91" s="217"/>
      <c r="I91" s="217"/>
      <c r="J91" s="217"/>
      <c r="K91" s="297"/>
      <c r="L91" s="217"/>
      <c r="M91" s="217"/>
      <c r="N91" s="296"/>
    </row>
    <row r="92" spans="1:14">
      <c r="A92" s="290">
        <v>7</v>
      </c>
      <c r="B92" s="296" t="str">
        <f>+B84</f>
        <v xml:space="preserve">  Production</v>
      </c>
      <c r="C92" s="217" t="s">
        <v>545</v>
      </c>
      <c r="D92" s="301">
        <f>L92+M92</f>
        <v>3310932885.5585847</v>
      </c>
      <c r="E92" s="217"/>
      <c r="F92" s="217" t="str">
        <f>+F84</f>
        <v>NA</v>
      </c>
      <c r="G92" s="343" t="str">
        <f>+G84</f>
        <v xml:space="preserve"> </v>
      </c>
      <c r="H92" s="217"/>
      <c r="I92" s="217" t="s">
        <v>133</v>
      </c>
      <c r="J92" s="217"/>
      <c r="K92" s="297"/>
      <c r="L92" s="344">
        <f>'WP Accum Deprec'!$D$43</f>
        <v>3043672349.6370463</v>
      </c>
      <c r="M92" s="344">
        <f>'WP Accum Deprec'!$D$64</f>
        <v>267260535.92153847</v>
      </c>
      <c r="N92" s="296"/>
    </row>
    <row r="93" spans="1:14">
      <c r="A93" s="290">
        <v>8</v>
      </c>
      <c r="B93" s="296" t="str">
        <f>+B85</f>
        <v xml:space="preserve">  Transmission</v>
      </c>
      <c r="C93" s="217" t="s">
        <v>546</v>
      </c>
      <c r="D93" s="301">
        <f>L93+M93</f>
        <v>866394451.29580784</v>
      </c>
      <c r="E93" s="217"/>
      <c r="F93" s="217" t="str">
        <f>+F85</f>
        <v>TP</v>
      </c>
      <c r="G93" s="343">
        <f>+G85</f>
        <v>0.97077283287764871</v>
      </c>
      <c r="H93" s="217"/>
      <c r="I93" s="217">
        <f>+G93*D93</f>
        <v>841072195.87390745</v>
      </c>
      <c r="J93" s="217"/>
      <c r="K93" s="297"/>
      <c r="L93" s="344">
        <f>'WP Accum Deprec'!$F$43</f>
        <v>668385437.70119238</v>
      </c>
      <c r="M93" s="344">
        <f>'WP Accum Deprec'!$F$64</f>
        <v>198009013.5946154</v>
      </c>
      <c r="N93" s="296"/>
    </row>
    <row r="94" spans="1:14">
      <c r="A94" s="290">
        <v>9</v>
      </c>
      <c r="B94" s="296" t="str">
        <f>+B86</f>
        <v xml:space="preserve">  Distribution</v>
      </c>
      <c r="C94" s="217" t="s">
        <v>547</v>
      </c>
      <c r="D94" s="301">
        <f>L94+M94</f>
        <v>1670787216.8507311</v>
      </c>
      <c r="E94" s="217"/>
      <c r="F94" s="217" t="str">
        <f t="shared" ref="F94:G96" si="1">+F86</f>
        <v>NA</v>
      </c>
      <c r="G94" s="343" t="str">
        <f t="shared" si="1"/>
        <v xml:space="preserve"> </v>
      </c>
      <c r="H94" s="217"/>
      <c r="I94" s="217" t="s">
        <v>133</v>
      </c>
      <c r="J94" s="217"/>
      <c r="K94" s="297"/>
      <c r="L94" s="344">
        <f>'WP Accum Deprec'!$H$43</f>
        <v>1325550813.5607312</v>
      </c>
      <c r="M94" s="344">
        <f>'WP Accum Deprec'!$H$64</f>
        <v>345236403.28999996</v>
      </c>
      <c r="N94" s="296"/>
    </row>
    <row r="95" spans="1:14">
      <c r="A95" s="290">
        <v>10</v>
      </c>
      <c r="B95" s="296" t="str">
        <f>+B87</f>
        <v xml:space="preserve">  General &amp; Intangible</v>
      </c>
      <c r="C95" s="217" t="s">
        <v>548</v>
      </c>
      <c r="D95" s="301">
        <f>L95+M95</f>
        <v>201559821.55233842</v>
      </c>
      <c r="E95" s="217"/>
      <c r="F95" s="217" t="str">
        <f t="shared" si="1"/>
        <v>W/S</v>
      </c>
      <c r="G95" s="343">
        <f t="shared" si="1"/>
        <v>4.9494000160464867E-2</v>
      </c>
      <c r="H95" s="217"/>
      <c r="I95" s="217">
        <f>+G95*D95</f>
        <v>9976001.8402547073</v>
      </c>
      <c r="J95" s="217"/>
      <c r="K95" s="297"/>
      <c r="L95" s="344">
        <f>'WP Accum Deprec'!$J$43</f>
        <v>168869304.15695381</v>
      </c>
      <c r="M95" s="344">
        <f>'WP Accum Deprec'!$J$64</f>
        <v>32690517.395384613</v>
      </c>
      <c r="N95" s="349"/>
    </row>
    <row r="96" spans="1:14" ht="16.5" thickBot="1">
      <c r="A96" s="290">
        <v>11</v>
      </c>
      <c r="B96" s="296" t="str">
        <f>+B88</f>
        <v xml:space="preserve">  Common</v>
      </c>
      <c r="C96" s="217" t="s">
        <v>540</v>
      </c>
      <c r="D96" s="301">
        <f>L96+M96</f>
        <v>320526664.41264617</v>
      </c>
      <c r="E96" s="217"/>
      <c r="F96" s="217" t="str">
        <f t="shared" si="1"/>
        <v>CE</v>
      </c>
      <c r="G96" s="343">
        <f t="shared" si="1"/>
        <v>4.5452497246181507E-2</v>
      </c>
      <c r="H96" s="217"/>
      <c r="I96" s="302">
        <f>+G96*D96</f>
        <v>14568737.331543544</v>
      </c>
      <c r="J96" s="303"/>
      <c r="K96" s="297"/>
      <c r="L96" s="345">
        <f>'WP Accum Deprec'!$L$43</f>
        <v>268223478.71956924</v>
      </c>
      <c r="M96" s="345">
        <f>'WP Accum Deprec'!$L$64</f>
        <v>52303185.693076923</v>
      </c>
      <c r="N96" s="346"/>
    </row>
    <row r="97" spans="1:14">
      <c r="A97" s="290">
        <v>12</v>
      </c>
      <c r="B97" s="296" t="s">
        <v>549</v>
      </c>
      <c r="C97" s="217"/>
      <c r="D97" s="350">
        <f>SUM(D92:D96)</f>
        <v>6370201039.6701088</v>
      </c>
      <c r="E97" s="217"/>
      <c r="F97" s="217"/>
      <c r="G97" s="217"/>
      <c r="H97" s="217"/>
      <c r="I97" s="217">
        <f>SUM(I92:I96)</f>
        <v>865616935.04570568</v>
      </c>
      <c r="J97" s="217"/>
      <c r="K97" s="297"/>
      <c r="L97" s="217">
        <f>SUM(L92:L96)</f>
        <v>5474701383.7754927</v>
      </c>
      <c r="M97" s="217">
        <f>SUM(M92:M96)</f>
        <v>895499655.89461541</v>
      </c>
      <c r="N97" s="296"/>
    </row>
    <row r="98" spans="1:14">
      <c r="A98" s="290"/>
      <c r="C98" s="217" t="s">
        <v>133</v>
      </c>
      <c r="E98" s="217"/>
      <c r="F98" s="217"/>
      <c r="G98" s="347"/>
      <c r="H98" s="217"/>
      <c r="K98" s="348"/>
      <c r="L98" s="217"/>
      <c r="M98" s="217"/>
      <c r="N98" s="296"/>
    </row>
    <row r="99" spans="1:14">
      <c r="A99" s="290"/>
      <c r="B99" s="296" t="s">
        <v>550</v>
      </c>
      <c r="C99" s="217"/>
      <c r="D99" s="217"/>
      <c r="E99" s="217"/>
      <c r="F99" s="217"/>
      <c r="G99" s="217"/>
      <c r="H99" s="217"/>
      <c r="I99" s="217"/>
      <c r="J99" s="217"/>
      <c r="K99" s="297"/>
      <c r="L99" s="217"/>
      <c r="M99" s="217"/>
      <c r="N99" s="296"/>
    </row>
    <row r="100" spans="1:14">
      <c r="A100" s="290">
        <v>13</v>
      </c>
      <c r="B100" s="296" t="str">
        <f>+B92</f>
        <v xml:space="preserve">  Production</v>
      </c>
      <c r="C100" s="217" t="s">
        <v>551</v>
      </c>
      <c r="D100" s="217">
        <f>D84-D92</f>
        <v>3731356868.0387616</v>
      </c>
      <c r="E100" s="217"/>
      <c r="F100" s="217"/>
      <c r="G100" s="347"/>
      <c r="H100" s="217"/>
      <c r="I100" s="217" t="s">
        <v>133</v>
      </c>
      <c r="J100" s="217"/>
      <c r="K100" s="348"/>
      <c r="L100" s="303">
        <f t="shared" ref="L100:M104" si="2">L84-L92</f>
        <v>3560547563.0218387</v>
      </c>
      <c r="M100" s="303">
        <f t="shared" si="2"/>
        <v>170809305.01692295</v>
      </c>
      <c r="N100" s="296"/>
    </row>
    <row r="101" spans="1:14">
      <c r="A101" s="290">
        <v>14</v>
      </c>
      <c r="B101" s="296" t="str">
        <f>+B93</f>
        <v xml:space="preserve">  Transmission</v>
      </c>
      <c r="C101" s="297" t="s">
        <v>552</v>
      </c>
      <c r="D101" s="297">
        <f>D85-D93</f>
        <v>1913267247.010592</v>
      </c>
      <c r="E101" s="217"/>
      <c r="F101" s="217"/>
      <c r="G101" s="343"/>
      <c r="H101" s="217"/>
      <c r="I101" s="297">
        <f>I85-I93</f>
        <v>1857347865.4324923</v>
      </c>
      <c r="J101" s="297"/>
      <c r="K101" s="348"/>
      <c r="L101" s="297">
        <f t="shared" si="2"/>
        <v>1516158107.3105922</v>
      </c>
      <c r="M101" s="297">
        <f t="shared" si="2"/>
        <v>397109139.69999999</v>
      </c>
      <c r="N101" s="296"/>
    </row>
    <row r="102" spans="1:14">
      <c r="A102" s="290">
        <v>15</v>
      </c>
      <c r="B102" s="296" t="str">
        <f>+B94</f>
        <v xml:space="preserve">  Distribution</v>
      </c>
      <c r="C102" s="217" t="s">
        <v>553</v>
      </c>
      <c r="D102" s="217">
        <f>D86-D94</f>
        <v>2333055675.9631538</v>
      </c>
      <c r="E102" s="217"/>
      <c r="F102" s="217"/>
      <c r="G102" s="347"/>
      <c r="H102" s="217"/>
      <c r="I102" s="217" t="s">
        <v>133</v>
      </c>
      <c r="J102" s="217"/>
      <c r="K102" s="348"/>
      <c r="L102" s="303">
        <f t="shared" si="2"/>
        <v>1964593666.6823843</v>
      </c>
      <c r="M102" s="303">
        <f t="shared" si="2"/>
        <v>368462009.28076923</v>
      </c>
      <c r="N102" s="296"/>
    </row>
    <row r="103" spans="1:14">
      <c r="A103" s="290">
        <v>16</v>
      </c>
      <c r="B103" s="296" t="str">
        <f>+B95</f>
        <v xml:space="preserve">  General &amp; Intangible</v>
      </c>
      <c r="C103" s="217" t="s">
        <v>554</v>
      </c>
      <c r="D103" s="217">
        <f>D87-D95</f>
        <v>392476065.36350006</v>
      </c>
      <c r="E103" s="217"/>
      <c r="F103" s="217"/>
      <c r="G103" s="347"/>
      <c r="H103" s="217"/>
      <c r="I103" s="217">
        <f>I87-I95</f>
        <v>19425210.442079693</v>
      </c>
      <c r="J103" s="217"/>
      <c r="K103" s="348"/>
      <c r="L103" s="303">
        <f t="shared" si="2"/>
        <v>340605633.60503852</v>
      </c>
      <c r="M103" s="303">
        <f t="shared" si="2"/>
        <v>51870431.75846155</v>
      </c>
      <c r="N103" s="296"/>
    </row>
    <row r="104" spans="1:14" ht="16.5" thickBot="1">
      <c r="A104" s="290">
        <v>17</v>
      </c>
      <c r="B104" s="296" t="str">
        <f>+B96</f>
        <v xml:space="preserve">  Common</v>
      </c>
      <c r="C104" s="217" t="s">
        <v>555</v>
      </c>
      <c r="D104" s="302">
        <f>D88-D96</f>
        <v>264517915.09576142</v>
      </c>
      <c r="E104" s="217"/>
      <c r="F104" s="217"/>
      <c r="G104" s="347"/>
      <c r="H104" s="217"/>
      <c r="I104" s="302">
        <f>I88-I96</f>
        <v>12022999.807455769</v>
      </c>
      <c r="J104" s="303"/>
      <c r="K104" s="348"/>
      <c r="L104" s="302">
        <f t="shared" si="2"/>
        <v>214022952.06883839</v>
      </c>
      <c r="M104" s="302">
        <f t="shared" si="2"/>
        <v>50494963.02692309</v>
      </c>
      <c r="N104" s="296"/>
    </row>
    <row r="105" spans="1:14">
      <c r="A105" s="290">
        <v>18</v>
      </c>
      <c r="B105" s="296" t="s">
        <v>556</v>
      </c>
      <c r="C105" s="217"/>
      <c r="D105" s="217">
        <f>SUM(D100:D104)</f>
        <v>8634673771.4717693</v>
      </c>
      <c r="E105" s="217"/>
      <c r="F105" s="217" t="s">
        <v>557</v>
      </c>
      <c r="G105" s="347">
        <f>IF(I105&gt;0,I105/D105,0)</f>
        <v>0.21874550511942328</v>
      </c>
      <c r="H105" s="217"/>
      <c r="I105" s="217">
        <f>SUM(I100:I104)</f>
        <v>1888796075.6820278</v>
      </c>
      <c r="J105" s="217"/>
      <c r="K105" s="297"/>
      <c r="L105" s="217">
        <f>SUM(L100:L104)</f>
        <v>7595927922.6886921</v>
      </c>
      <c r="M105" s="217">
        <f>SUM(M100:M104)</f>
        <v>1038745848.7830769</v>
      </c>
      <c r="N105" s="296"/>
    </row>
    <row r="106" spans="1:14">
      <c r="A106" s="290"/>
      <c r="B106" s="296"/>
      <c r="C106" s="217"/>
      <c r="D106" s="217"/>
      <c r="E106" s="217"/>
      <c r="F106" s="217"/>
      <c r="G106" s="347"/>
      <c r="H106" s="217"/>
      <c r="I106" s="217"/>
      <c r="J106" s="217"/>
      <c r="K106" s="297"/>
      <c r="L106" s="217"/>
      <c r="M106" s="351"/>
      <c r="N106" s="296"/>
    </row>
    <row r="107" spans="1:14" s="287" customFormat="1">
      <c r="A107" s="305" t="s">
        <v>558</v>
      </c>
      <c r="B107" s="313" t="s">
        <v>559</v>
      </c>
      <c r="C107" s="297" t="s">
        <v>560</v>
      </c>
      <c r="D107" s="301">
        <f>L107+M107</f>
        <v>314744148.78999996</v>
      </c>
      <c r="E107" s="297"/>
      <c r="F107" s="297" t="s">
        <v>455</v>
      </c>
      <c r="G107" s="352">
        <f>+I233</f>
        <v>0.97077283287764871</v>
      </c>
      <c r="H107" s="297"/>
      <c r="I107" s="297">
        <f>+G107*D107</f>
        <v>305545068.95253241</v>
      </c>
      <c r="J107" s="297"/>
      <c r="K107" s="297"/>
      <c r="L107" s="344">
        <f>'WP CWIP'!$I$59</f>
        <v>302256953.94769228</v>
      </c>
      <c r="M107" s="344">
        <f>'WP CWIP'!$I$81</f>
        <v>12487194.842307691</v>
      </c>
      <c r="N107" s="313"/>
    </row>
    <row r="108" spans="1:14">
      <c r="A108" s="290"/>
      <c r="C108" s="217"/>
      <c r="E108" s="217"/>
      <c r="H108" s="217"/>
      <c r="K108" s="348"/>
      <c r="L108" s="217"/>
      <c r="M108" s="217"/>
      <c r="N108" s="296"/>
    </row>
    <row r="109" spans="1:14">
      <c r="A109" s="290"/>
      <c r="B109" s="281" t="s">
        <v>561</v>
      </c>
      <c r="C109" s="217"/>
      <c r="D109" s="217"/>
      <c r="E109" s="217"/>
      <c r="F109" s="217"/>
      <c r="G109" s="217"/>
      <c r="H109" s="217"/>
      <c r="I109" s="217"/>
      <c r="J109" s="217"/>
      <c r="K109" s="297"/>
      <c r="L109" s="217"/>
      <c r="M109" s="217"/>
      <c r="N109" s="296"/>
    </row>
    <row r="110" spans="1:14">
      <c r="A110" s="290">
        <v>19</v>
      </c>
      <c r="B110" s="296" t="s">
        <v>562</v>
      </c>
      <c r="C110" s="217" t="s">
        <v>563</v>
      </c>
      <c r="D110" s="301">
        <f t="shared" ref="D110:D115" si="3">L110+M110</f>
        <v>-38065155</v>
      </c>
      <c r="E110" s="297"/>
      <c r="F110" s="297" t="str">
        <f>+F92</f>
        <v>NA</v>
      </c>
      <c r="G110" s="353" t="s">
        <v>564</v>
      </c>
      <c r="H110" s="217"/>
      <c r="I110" s="217">
        <v>0</v>
      </c>
      <c r="J110" s="217"/>
      <c r="K110" s="348"/>
      <c r="L110" s="344">
        <f>'WP Adj to Rate Base'!$D$55</f>
        <v>-37262602</v>
      </c>
      <c r="M110" s="344">
        <f>'WP Adj to Rate Base'!$D$80</f>
        <v>-802553</v>
      </c>
      <c r="N110" s="296"/>
    </row>
    <row r="111" spans="1:14">
      <c r="A111" s="290">
        <v>20</v>
      </c>
      <c r="B111" s="296" t="s">
        <v>565</v>
      </c>
      <c r="C111" s="217" t="s">
        <v>566</v>
      </c>
      <c r="D111" s="301">
        <f t="shared" si="3"/>
        <v>-2453892396</v>
      </c>
      <c r="E111" s="217"/>
      <c r="F111" s="217" t="s">
        <v>567</v>
      </c>
      <c r="G111" s="343">
        <f>+G105</f>
        <v>0.21874550511942328</v>
      </c>
      <c r="H111" s="217"/>
      <c r="I111" s="217">
        <f t="shared" ref="I111:I116" si="4">D111*G111</f>
        <v>-536777931.67173189</v>
      </c>
      <c r="J111" s="217"/>
      <c r="K111" s="348"/>
      <c r="L111" s="344">
        <f>'WP Adj to Rate Base'!$F$55</f>
        <v>-2187745826.5</v>
      </c>
      <c r="M111" s="344">
        <f>'WP Adj to Rate Base'!$F$80</f>
        <v>-266146569.5</v>
      </c>
      <c r="N111" s="296"/>
    </row>
    <row r="112" spans="1:14">
      <c r="A112" s="290">
        <v>21</v>
      </c>
      <c r="B112" s="296" t="s">
        <v>568</v>
      </c>
      <c r="C112" s="217" t="s">
        <v>569</v>
      </c>
      <c r="D112" s="301">
        <f t="shared" si="3"/>
        <v>-205812444.5</v>
      </c>
      <c r="E112" s="217"/>
      <c r="F112" s="217" t="s">
        <v>567</v>
      </c>
      <c r="G112" s="343">
        <f>+G111</f>
        <v>0.21874550511942328</v>
      </c>
      <c r="H112" s="217"/>
      <c r="I112" s="217">
        <f t="shared" si="4"/>
        <v>-45020547.132015772</v>
      </c>
      <c r="J112" s="217"/>
      <c r="K112" s="348"/>
      <c r="L112" s="354">
        <f>'WP Adj to Rate Base'!$H$55</f>
        <v>-171036748.5</v>
      </c>
      <c r="M112" s="354">
        <f>'WP Adj to Rate Base'!$H$80</f>
        <v>-34775696</v>
      </c>
      <c r="N112" s="296"/>
    </row>
    <row r="113" spans="1:14">
      <c r="A113" s="290">
        <v>22</v>
      </c>
      <c r="B113" s="296" t="s">
        <v>570</v>
      </c>
      <c r="C113" s="217" t="s">
        <v>571</v>
      </c>
      <c r="D113" s="301">
        <f t="shared" si="3"/>
        <v>619411739.5</v>
      </c>
      <c r="E113" s="217"/>
      <c r="F113" s="217" t="str">
        <f>+F112</f>
        <v>NP</v>
      </c>
      <c r="G113" s="343">
        <f>+G112</f>
        <v>0.21874550511942328</v>
      </c>
      <c r="H113" s="217"/>
      <c r="I113" s="217">
        <f t="shared" si="4"/>
        <v>135493533.83382812</v>
      </c>
      <c r="J113" s="217"/>
      <c r="K113" s="348"/>
      <c r="L113" s="354">
        <f>'WP Adj to Rate Base'!$J$55</f>
        <v>571049653</v>
      </c>
      <c r="M113" s="354">
        <f>'WP Adj to Rate Base'!$J$80</f>
        <v>48362086.5</v>
      </c>
      <c r="N113" s="296"/>
    </row>
    <row r="114" spans="1:14">
      <c r="A114" s="290">
        <v>23</v>
      </c>
      <c r="B114" s="280" t="s">
        <v>572</v>
      </c>
      <c r="C114" s="280" t="s">
        <v>573</v>
      </c>
      <c r="D114" s="301">
        <f t="shared" si="3"/>
        <v>0</v>
      </c>
      <c r="E114" s="217"/>
      <c r="F114" s="217" t="s">
        <v>567</v>
      </c>
      <c r="G114" s="343">
        <f>+G112</f>
        <v>0.21874550511942328</v>
      </c>
      <c r="H114" s="217"/>
      <c r="I114" s="303">
        <f t="shared" si="4"/>
        <v>0</v>
      </c>
      <c r="J114" s="303"/>
      <c r="K114" s="348"/>
      <c r="L114" s="354">
        <v>0</v>
      </c>
      <c r="M114" s="354">
        <v>0</v>
      </c>
      <c r="N114" s="346"/>
    </row>
    <row r="115" spans="1:14">
      <c r="A115" s="305" t="s">
        <v>574</v>
      </c>
      <c r="B115" s="287" t="s">
        <v>575</v>
      </c>
      <c r="C115" s="287" t="s">
        <v>576</v>
      </c>
      <c r="D115" s="301">
        <f t="shared" si="3"/>
        <v>-7772017.3518429557</v>
      </c>
      <c r="E115" s="297"/>
      <c r="F115" s="297" t="s">
        <v>455</v>
      </c>
      <c r="G115" s="355">
        <f>I233</f>
        <v>0.97077283287764871</v>
      </c>
      <c r="H115" s="297"/>
      <c r="I115" s="303">
        <f t="shared" si="4"/>
        <v>-7544863.3018228272</v>
      </c>
      <c r="J115" s="303"/>
      <c r="K115" s="348"/>
      <c r="L115" s="354">
        <f>'WP Adj to Rate Base'!$P$55</f>
        <v>-7772017.3518429557</v>
      </c>
      <c r="M115" s="354">
        <v>0</v>
      </c>
      <c r="N115" s="346"/>
    </row>
    <row r="116" spans="1:14" ht="16.5" thickBot="1">
      <c r="A116" s="305" t="s">
        <v>577</v>
      </c>
      <c r="B116" s="287" t="s">
        <v>578</v>
      </c>
      <c r="C116" s="287" t="s">
        <v>576</v>
      </c>
      <c r="D116" s="301">
        <f>L116+M116</f>
        <v>0</v>
      </c>
      <c r="E116" s="297"/>
      <c r="F116" s="297" t="s">
        <v>455</v>
      </c>
      <c r="G116" s="355">
        <f>I233</f>
        <v>0.97077283287764871</v>
      </c>
      <c r="H116" s="297"/>
      <c r="I116" s="303">
        <f t="shared" si="4"/>
        <v>0</v>
      </c>
      <c r="J116" s="303"/>
      <c r="K116" s="348"/>
      <c r="L116" s="297">
        <v>0</v>
      </c>
      <c r="M116" s="297">
        <v>0</v>
      </c>
      <c r="N116" s="346"/>
    </row>
    <row r="117" spans="1:14">
      <c r="A117" s="290">
        <v>24</v>
      </c>
      <c r="B117" s="296" t="s">
        <v>579</v>
      </c>
      <c r="C117" s="217"/>
      <c r="D117" s="350">
        <f>SUM(D110:D116)</f>
        <v>-2086130273.3518429</v>
      </c>
      <c r="E117" s="217"/>
      <c r="F117" s="217"/>
      <c r="G117" s="217"/>
      <c r="H117" s="217"/>
      <c r="I117" s="350">
        <f>SUM(I110:I116)</f>
        <v>-453849808.2717424</v>
      </c>
      <c r="J117" s="303"/>
      <c r="K117" s="297"/>
      <c r="L117" s="350">
        <f>SUM(L110:L116)</f>
        <v>-1832767541.3518429</v>
      </c>
      <c r="M117" s="350">
        <f>SUM(M110:M116)</f>
        <v>-253362732</v>
      </c>
      <c r="N117" s="296"/>
    </row>
    <row r="118" spans="1:14">
      <c r="A118" s="290"/>
      <c r="B118" s="296"/>
      <c r="C118" s="217"/>
      <c r="D118" s="303"/>
      <c r="E118" s="217"/>
      <c r="F118" s="217"/>
      <c r="G118" s="217"/>
      <c r="H118" s="217"/>
      <c r="I118" s="217"/>
      <c r="J118" s="217"/>
      <c r="K118" s="297"/>
      <c r="L118" s="217"/>
      <c r="M118" s="217"/>
      <c r="N118" s="296"/>
    </row>
    <row r="119" spans="1:14">
      <c r="A119" s="290">
        <v>25</v>
      </c>
      <c r="B119" s="356" t="s">
        <v>580</v>
      </c>
      <c r="C119" s="217" t="s">
        <v>581</v>
      </c>
      <c r="D119" s="301">
        <f>L119+M119</f>
        <v>8103</v>
      </c>
      <c r="E119" s="217"/>
      <c r="F119" s="217" t="str">
        <f>+F93</f>
        <v>TP</v>
      </c>
      <c r="G119" s="343">
        <f>+G93</f>
        <v>0.97077283287764871</v>
      </c>
      <c r="H119" s="217"/>
      <c r="I119" s="217">
        <f>+G119*D119</f>
        <v>7866.1722648075875</v>
      </c>
      <c r="J119" s="217"/>
      <c r="K119" s="297"/>
      <c r="L119" s="344">
        <f>'WP Land HFFU'!$D$42</f>
        <v>0</v>
      </c>
      <c r="M119" s="344">
        <f>'WP Land HFFU'!$D$61</f>
        <v>8103</v>
      </c>
      <c r="N119" s="296"/>
    </row>
    <row r="120" spans="1:14">
      <c r="A120" s="290"/>
      <c r="B120" s="296"/>
      <c r="C120" s="217"/>
      <c r="D120" s="217"/>
      <c r="E120" s="217"/>
      <c r="F120" s="217"/>
      <c r="G120" s="217"/>
      <c r="H120" s="217"/>
      <c r="I120" s="217"/>
      <c r="J120" s="217"/>
      <c r="K120" s="297"/>
      <c r="L120" s="217"/>
      <c r="M120" s="217"/>
      <c r="N120" s="296"/>
    </row>
    <row r="121" spans="1:14">
      <c r="A121" s="290"/>
      <c r="B121" s="296" t="s">
        <v>680</v>
      </c>
      <c r="C121" s="217" t="s">
        <v>133</v>
      </c>
      <c r="D121" s="217"/>
      <c r="E121" s="217"/>
      <c r="F121" s="217"/>
      <c r="G121" s="217"/>
      <c r="H121" s="217"/>
      <c r="I121" s="217"/>
      <c r="J121" s="217"/>
      <c r="K121" s="297"/>
      <c r="L121" s="217"/>
      <c r="M121" s="217"/>
      <c r="N121" s="296"/>
    </row>
    <row r="122" spans="1:14">
      <c r="A122" s="290">
        <v>26</v>
      </c>
      <c r="B122" s="296" t="s">
        <v>681</v>
      </c>
      <c r="C122" s="280" t="s">
        <v>682</v>
      </c>
      <c r="D122" s="217">
        <f>+D165/8</f>
        <v>40805458.125</v>
      </c>
      <c r="E122" s="217"/>
      <c r="F122" s="217"/>
      <c r="G122" s="347"/>
      <c r="H122" s="217"/>
      <c r="I122" s="217">
        <f>+I165/8</f>
        <v>7703183.5297289845</v>
      </c>
      <c r="J122" s="217"/>
      <c r="K122" s="348"/>
      <c r="L122" s="357"/>
      <c r="M122" s="331"/>
      <c r="N122" s="296"/>
    </row>
    <row r="123" spans="1:14">
      <c r="A123" s="290">
        <v>27</v>
      </c>
      <c r="B123" s="313" t="s">
        <v>683</v>
      </c>
      <c r="C123" s="217" t="s">
        <v>684</v>
      </c>
      <c r="D123" s="301">
        <f>L123+M123</f>
        <v>418993.5</v>
      </c>
      <c r="E123" s="217"/>
      <c r="F123" s="217" t="s">
        <v>685</v>
      </c>
      <c r="G123" s="343">
        <f>I243</f>
        <v>0.93558040496095185</v>
      </c>
      <c r="H123" s="217"/>
      <c r="I123" s="217">
        <f>+G123*D123</f>
        <v>392002.10840600659</v>
      </c>
      <c r="J123" s="217"/>
      <c r="K123" s="348"/>
      <c r="L123" s="344">
        <f>'WP Working Capital'!$D$30</f>
        <v>399836</v>
      </c>
      <c r="M123" s="344">
        <f>'WP Working Capital'!$D$42</f>
        <v>19157.5</v>
      </c>
      <c r="N123" s="296"/>
    </row>
    <row r="124" spans="1:14" ht="16.5" thickBot="1">
      <c r="A124" s="290">
        <v>28</v>
      </c>
      <c r="B124" s="313" t="s">
        <v>686</v>
      </c>
      <c r="C124" s="217" t="s">
        <v>687</v>
      </c>
      <c r="D124" s="301">
        <f>L124+M124</f>
        <v>102987174.29713893</v>
      </c>
      <c r="E124" s="217"/>
      <c r="F124" s="217" t="s">
        <v>688</v>
      </c>
      <c r="G124" s="343">
        <f>+G89</f>
        <v>0.18356787679977463</v>
      </c>
      <c r="H124" s="217"/>
      <c r="I124" s="302">
        <f>+G124*D124</f>
        <v>18905136.923334114</v>
      </c>
      <c r="J124" s="303"/>
      <c r="K124" s="348"/>
      <c r="L124" s="345">
        <f>'WP Working Capital'!$F$30</f>
        <v>75707465.922101155</v>
      </c>
      <c r="M124" s="345">
        <f>'WP Working Capital'!$F$42</f>
        <v>27279708.375037767</v>
      </c>
      <c r="N124" s="358"/>
    </row>
    <row r="125" spans="1:14">
      <c r="A125" s="290">
        <v>29</v>
      </c>
      <c r="B125" s="296" t="s">
        <v>689</v>
      </c>
      <c r="C125" s="288"/>
      <c r="D125" s="350">
        <f>D122+D123+D124</f>
        <v>144211625.92213893</v>
      </c>
      <c r="E125" s="288"/>
      <c r="F125" s="288"/>
      <c r="G125" s="288"/>
      <c r="H125" s="288"/>
      <c r="I125" s="217">
        <f>I122+I123+I124</f>
        <v>27000322.561469104</v>
      </c>
      <c r="J125" s="217"/>
      <c r="K125" s="286"/>
      <c r="L125" s="280">
        <f>SUM(L123:L124)</f>
        <v>76107301.922101155</v>
      </c>
      <c r="M125" s="280">
        <f>SUM(M123:M124)</f>
        <v>27298865.875037767</v>
      </c>
    </row>
    <row r="126" spans="1:14" ht="16.5" thickBot="1">
      <c r="C126" s="217"/>
      <c r="D126" s="359"/>
      <c r="E126" s="217"/>
      <c r="F126" s="217"/>
      <c r="G126" s="217"/>
      <c r="H126" s="217"/>
      <c r="I126" s="359"/>
      <c r="J126" s="316"/>
      <c r="K126" s="297"/>
      <c r="L126" s="316"/>
      <c r="M126" s="316"/>
    </row>
    <row r="127" spans="1:14" ht="16.5" thickBot="1">
      <c r="A127" s="290">
        <v>30</v>
      </c>
      <c r="B127" s="296" t="s">
        <v>690</v>
      </c>
      <c r="C127" s="217"/>
      <c r="D127" s="360">
        <f>+D125+D119+D117+D105+D107</f>
        <v>7007507375.8320656</v>
      </c>
      <c r="E127" s="217"/>
      <c r="F127" s="217"/>
      <c r="G127" s="347"/>
      <c r="H127" s="217"/>
      <c r="I127" s="360">
        <f>+I125+I119+I117+I105+I107</f>
        <v>1767499525.0965519</v>
      </c>
      <c r="J127" s="303"/>
      <c r="K127" s="361"/>
      <c r="L127" s="360">
        <f>+L125+L119+L117+L105+L107</f>
        <v>6141524637.2066422</v>
      </c>
      <c r="M127" s="360">
        <f>+M125+M119+M117+M105+M107</f>
        <v>825177280.50042236</v>
      </c>
    </row>
    <row r="128" spans="1:14" ht="16.5" thickTop="1">
      <c r="A128" s="290"/>
      <c r="B128" s="296"/>
      <c r="C128" s="217"/>
      <c r="D128" s="303"/>
      <c r="E128" s="217"/>
      <c r="F128" s="217"/>
      <c r="G128" s="347"/>
      <c r="H128" s="217"/>
      <c r="I128" s="303"/>
      <c r="J128" s="303"/>
      <c r="K128" s="361"/>
      <c r="L128" s="303"/>
      <c r="M128" s="303"/>
    </row>
    <row r="129" spans="1:13">
      <c r="A129" s="290"/>
      <c r="B129" s="296"/>
      <c r="C129" s="217"/>
      <c r="D129" s="303"/>
      <c r="E129" s="217"/>
      <c r="F129" s="217"/>
      <c r="G129" s="347"/>
      <c r="H129" s="217"/>
      <c r="I129" s="303"/>
      <c r="J129" s="303"/>
      <c r="K129" s="361"/>
      <c r="L129" s="303"/>
      <c r="M129" s="303"/>
    </row>
    <row r="130" spans="1:13">
      <c r="A130" s="290"/>
      <c r="B130" s="296"/>
      <c r="C130" s="217"/>
      <c r="D130" s="303"/>
      <c r="E130" s="217"/>
      <c r="F130" s="217"/>
      <c r="G130" s="347"/>
      <c r="H130" s="217"/>
      <c r="I130" s="303"/>
      <c r="J130" s="303"/>
      <c r="K130" s="361"/>
      <c r="L130" s="303"/>
      <c r="M130" s="303"/>
    </row>
    <row r="131" spans="1:13">
      <c r="A131" s="290"/>
      <c r="B131" s="296"/>
      <c r="C131" s="217"/>
      <c r="D131" s="303"/>
      <c r="E131" s="217"/>
      <c r="F131" s="217"/>
      <c r="G131" s="347"/>
      <c r="H131" s="217"/>
      <c r="I131" s="303"/>
      <c r="J131" s="303"/>
      <c r="K131" s="361"/>
      <c r="L131" s="303"/>
      <c r="M131" s="303"/>
    </row>
    <row r="132" spans="1:13">
      <c r="A132" s="290"/>
      <c r="B132" s="296"/>
      <c r="C132" s="217"/>
      <c r="D132" s="303"/>
      <c r="E132" s="217"/>
      <c r="F132" s="217"/>
      <c r="G132" s="347"/>
      <c r="H132" s="217"/>
      <c r="I132" s="303"/>
      <c r="J132" s="303"/>
      <c r="K132" s="361"/>
      <c r="L132" s="303"/>
      <c r="M132" s="303"/>
    </row>
    <row r="133" spans="1:13">
      <c r="A133" s="290"/>
      <c r="B133" s="296"/>
      <c r="C133" s="217"/>
      <c r="D133" s="303"/>
      <c r="E133" s="217"/>
      <c r="F133" s="217"/>
      <c r="G133" s="347"/>
      <c r="H133" s="217"/>
      <c r="I133" s="303"/>
      <c r="J133" s="303"/>
      <c r="K133" s="361"/>
      <c r="L133" s="303"/>
      <c r="M133" s="303"/>
    </row>
    <row r="134" spans="1:13">
      <c r="A134" s="290"/>
      <c r="B134" s="296"/>
      <c r="C134" s="217"/>
      <c r="D134" s="303"/>
      <c r="E134" s="217"/>
      <c r="F134" s="217"/>
      <c r="G134" s="347"/>
      <c r="H134" s="217"/>
      <c r="I134" s="303"/>
      <c r="J134" s="303"/>
      <c r="K134" s="361"/>
      <c r="L134" s="303"/>
      <c r="M134" s="303"/>
    </row>
    <row r="135" spans="1:13">
      <c r="A135" s="290"/>
      <c r="B135" s="296"/>
      <c r="C135" s="217"/>
      <c r="D135" s="303"/>
      <c r="E135" s="217"/>
      <c r="F135" s="217"/>
      <c r="G135" s="347"/>
      <c r="H135" s="217"/>
      <c r="I135" s="303"/>
      <c r="J135" s="303"/>
      <c r="K135" s="361"/>
      <c r="L135" s="303"/>
      <c r="M135" s="303"/>
    </row>
    <row r="136" spans="1:13">
      <c r="A136" s="290"/>
      <c r="B136" s="296"/>
      <c r="C136" s="217"/>
      <c r="D136" s="303"/>
      <c r="E136" s="217"/>
      <c r="F136" s="217"/>
      <c r="G136" s="347"/>
      <c r="H136" s="217"/>
      <c r="I136" s="303"/>
      <c r="J136" s="303"/>
      <c r="K136" s="361"/>
      <c r="L136" s="303"/>
      <c r="M136" s="303"/>
    </row>
    <row r="137" spans="1:13">
      <c r="A137" s="290"/>
      <c r="B137" s="296"/>
      <c r="C137" s="217"/>
      <c r="D137" s="303"/>
      <c r="E137" s="217"/>
      <c r="F137" s="217"/>
      <c r="G137" s="347"/>
      <c r="H137" s="217"/>
      <c r="I137" s="303"/>
      <c r="J137" s="303"/>
      <c r="K137" s="361"/>
      <c r="L137" s="303"/>
      <c r="M137" s="303"/>
    </row>
    <row r="138" spans="1:13">
      <c r="A138" s="290"/>
      <c r="B138" s="296"/>
      <c r="C138" s="217"/>
      <c r="D138" s="303"/>
      <c r="E138" s="217"/>
      <c r="F138" s="217"/>
      <c r="G138" s="347"/>
      <c r="H138" s="217"/>
      <c r="I138" s="303"/>
      <c r="J138" s="303"/>
      <c r="K138" s="361"/>
      <c r="L138" s="303"/>
      <c r="M138" s="303"/>
    </row>
    <row r="139" spans="1:13">
      <c r="A139" s="290"/>
      <c r="B139" s="296"/>
      <c r="C139" s="217"/>
      <c r="D139" s="303"/>
      <c r="E139" s="217"/>
      <c r="F139" s="217"/>
      <c r="G139" s="347"/>
      <c r="H139" s="217"/>
      <c r="I139" s="303"/>
      <c r="J139" s="303"/>
      <c r="K139" s="361"/>
      <c r="L139" s="303"/>
      <c r="M139" s="303"/>
    </row>
    <row r="140" spans="1:13">
      <c r="A140" s="290"/>
      <c r="B140" s="296"/>
      <c r="C140" s="217"/>
      <c r="D140" s="303"/>
      <c r="E140" s="217"/>
      <c r="F140" s="217"/>
      <c r="G140" s="347"/>
      <c r="H140" s="217"/>
      <c r="I140" s="303"/>
      <c r="J140" s="303"/>
      <c r="K140" s="361"/>
      <c r="L140" s="303"/>
      <c r="M140" s="303"/>
    </row>
    <row r="141" spans="1:13">
      <c r="A141" s="290"/>
      <c r="B141" s="296"/>
      <c r="C141" s="217"/>
      <c r="D141" s="303"/>
      <c r="E141" s="217"/>
      <c r="F141" s="217"/>
      <c r="G141" s="347"/>
      <c r="H141" s="217"/>
      <c r="I141" s="303"/>
      <c r="J141" s="303"/>
      <c r="K141" s="361"/>
      <c r="L141" s="303"/>
      <c r="M141" s="303"/>
    </row>
    <row r="142" spans="1:13">
      <c r="A142" s="290"/>
      <c r="B142" s="296"/>
      <c r="C142" s="217"/>
      <c r="D142" s="303"/>
      <c r="E142" s="217"/>
      <c r="F142" s="217"/>
      <c r="G142" s="347"/>
      <c r="H142" s="217"/>
      <c r="I142" s="303"/>
      <c r="J142" s="303"/>
      <c r="K142" s="361"/>
      <c r="L142" s="303"/>
      <c r="M142" s="303"/>
    </row>
    <row r="143" spans="1:13">
      <c r="A143" s="290"/>
      <c r="B143" s="296"/>
      <c r="C143" s="217"/>
      <c r="D143" s="303"/>
      <c r="E143" s="217"/>
      <c r="F143" s="217"/>
      <c r="G143" s="347"/>
      <c r="H143" s="217"/>
      <c r="I143" s="303"/>
      <c r="J143" s="303"/>
      <c r="K143" s="361"/>
      <c r="L143" s="303"/>
      <c r="M143" s="303"/>
    </row>
    <row r="144" spans="1:13">
      <c r="B144" s="281"/>
      <c r="C144" s="281"/>
      <c r="D144" s="282"/>
      <c r="E144" s="281"/>
      <c r="F144" s="281"/>
      <c r="G144" s="281"/>
      <c r="H144" s="283"/>
      <c r="I144" s="283"/>
      <c r="J144" s="283"/>
      <c r="K144" s="328" t="s">
        <v>691</v>
      </c>
    </row>
    <row r="145" spans="1:15">
      <c r="B145" s="281"/>
      <c r="C145" s="281"/>
      <c r="D145" s="282"/>
      <c r="E145" s="281"/>
      <c r="F145" s="281"/>
      <c r="G145" s="281"/>
      <c r="H145" s="283"/>
      <c r="I145" s="283"/>
      <c r="J145" s="283"/>
      <c r="K145" s="329"/>
    </row>
    <row r="146" spans="1:15">
      <c r="B146" s="281" t="s">
        <v>443</v>
      </c>
      <c r="C146" s="281"/>
      <c r="D146" s="282" t="s">
        <v>444</v>
      </c>
      <c r="E146" s="281"/>
      <c r="F146" s="281"/>
      <c r="G146" s="281"/>
      <c r="H146" s="283"/>
      <c r="K146" s="284" t="str">
        <f>K3</f>
        <v>For the 12 months ended 12/31/13</v>
      </c>
    </row>
    <row r="147" spans="1:15">
      <c r="B147" s="281"/>
      <c r="C147" s="217" t="s">
        <v>133</v>
      </c>
      <c r="D147" s="217" t="s">
        <v>446</v>
      </c>
      <c r="E147" s="217"/>
      <c r="F147" s="217"/>
      <c r="G147" s="217"/>
      <c r="H147" s="283"/>
      <c r="I147" s="283"/>
      <c r="J147" s="283"/>
      <c r="K147" s="286"/>
    </row>
    <row r="148" spans="1:15">
      <c r="B148" s="281"/>
      <c r="C148" s="217"/>
      <c r="D148" s="217"/>
      <c r="E148" s="217"/>
      <c r="F148" s="217"/>
      <c r="G148" s="217"/>
      <c r="H148" s="283"/>
      <c r="I148" s="283"/>
      <c r="J148" s="283"/>
      <c r="K148" s="286"/>
    </row>
    <row r="149" spans="1:15">
      <c r="A149" s="540" t="str">
        <f>A6</f>
        <v>Northern States Power Companies</v>
      </c>
      <c r="B149" s="540"/>
      <c r="C149" s="540"/>
      <c r="D149" s="540"/>
      <c r="E149" s="540"/>
      <c r="F149" s="540"/>
      <c r="G149" s="540"/>
      <c r="H149" s="540"/>
      <c r="I149" s="540"/>
      <c r="J149" s="540"/>
      <c r="K149" s="540"/>
    </row>
    <row r="150" spans="1:15">
      <c r="A150" s="290"/>
      <c r="D150" s="287"/>
      <c r="E150" s="287"/>
      <c r="F150" s="287"/>
      <c r="G150" s="287"/>
      <c r="K150" s="297"/>
    </row>
    <row r="151" spans="1:15">
      <c r="A151" s="290"/>
      <c r="B151" s="331" t="s">
        <v>515</v>
      </c>
      <c r="C151" s="331" t="s">
        <v>516</v>
      </c>
      <c r="D151" s="331" t="s">
        <v>517</v>
      </c>
      <c r="E151" s="217" t="s">
        <v>133</v>
      </c>
      <c r="F151" s="217"/>
      <c r="G151" s="332" t="s">
        <v>518</v>
      </c>
      <c r="H151" s="217"/>
      <c r="I151" s="333" t="s">
        <v>519</v>
      </c>
      <c r="J151" s="333"/>
      <c r="K151" s="297"/>
    </row>
    <row r="152" spans="1:15">
      <c r="A152" s="290"/>
      <c r="B152" s="331"/>
      <c r="C152" s="283"/>
      <c r="D152" s="283"/>
      <c r="E152" s="283"/>
      <c r="F152" s="283"/>
      <c r="G152" s="283"/>
      <c r="H152" s="283"/>
      <c r="I152" s="283"/>
      <c r="J152" s="283"/>
      <c r="K152" s="363"/>
    </row>
    <row r="153" spans="1:15">
      <c r="A153" s="290" t="s">
        <v>174</v>
      </c>
      <c r="B153" s="296"/>
      <c r="C153" s="335" t="s">
        <v>520</v>
      </c>
      <c r="D153" s="217"/>
      <c r="E153" s="217"/>
      <c r="F153" s="217"/>
      <c r="G153" s="290"/>
      <c r="H153" s="217"/>
      <c r="I153" s="336" t="s">
        <v>152</v>
      </c>
      <c r="J153" s="336"/>
      <c r="K153" s="363"/>
      <c r="L153" s="337" t="s">
        <v>521</v>
      </c>
      <c r="M153" s="337" t="s">
        <v>522</v>
      </c>
    </row>
    <row r="154" spans="1:15" ht="16.5" thickBot="1">
      <c r="A154" s="292" t="s">
        <v>150</v>
      </c>
      <c r="B154" s="296"/>
      <c r="C154" s="338" t="s">
        <v>523</v>
      </c>
      <c r="D154" s="339" t="s">
        <v>524</v>
      </c>
      <c r="E154" s="340"/>
      <c r="F154" s="539" t="s">
        <v>452</v>
      </c>
      <c r="G154" s="539"/>
      <c r="H154" s="340"/>
      <c r="I154" s="290" t="s">
        <v>526</v>
      </c>
      <c r="J154" s="290"/>
      <c r="K154" s="363"/>
      <c r="L154" s="337" t="s">
        <v>151</v>
      </c>
      <c r="M154" s="337" t="s">
        <v>151</v>
      </c>
    </row>
    <row r="155" spans="1:15">
      <c r="A155" s="290"/>
      <c r="B155" s="296" t="s">
        <v>692</v>
      </c>
      <c r="C155" s="217"/>
      <c r="D155" s="217"/>
      <c r="E155" s="217"/>
      <c r="F155" s="217"/>
      <c r="G155" s="217"/>
      <c r="H155" s="217"/>
      <c r="I155" s="217"/>
      <c r="J155" s="217"/>
      <c r="K155" s="297"/>
    </row>
    <row r="156" spans="1:15">
      <c r="A156" s="290">
        <v>1</v>
      </c>
      <c r="B156" s="296" t="s">
        <v>693</v>
      </c>
      <c r="C156" s="217" t="s">
        <v>694</v>
      </c>
      <c r="D156" s="301">
        <f t="shared" ref="D156:D163" si="5">L156+M156</f>
        <v>186216113</v>
      </c>
      <c r="E156" s="217"/>
      <c r="F156" s="217" t="s">
        <v>685</v>
      </c>
      <c r="G156" s="343">
        <f>I243</f>
        <v>0.93558040496095185</v>
      </c>
      <c r="H156" s="217"/>
      <c r="I156" s="217">
        <f t="shared" ref="I156:I164" si="6">+G156*D156</f>
        <v>174220146.41079438</v>
      </c>
      <c r="J156" s="217"/>
      <c r="K156" s="297"/>
      <c r="L156" s="344">
        <f>'WP O&amp;M'!$F$46</f>
        <v>175941951</v>
      </c>
      <c r="M156" s="344">
        <f>'WP O&amp;M'!$H$46</f>
        <v>10274162</v>
      </c>
    </row>
    <row r="157" spans="1:15">
      <c r="A157" s="305" t="s">
        <v>695</v>
      </c>
      <c r="B157" s="313" t="s">
        <v>696</v>
      </c>
      <c r="C157" s="297"/>
      <c r="D157" s="301">
        <f t="shared" si="5"/>
        <v>9127442</v>
      </c>
      <c r="E157" s="217"/>
      <c r="F157" s="364"/>
      <c r="G157" s="343">
        <v>1</v>
      </c>
      <c r="H157" s="217"/>
      <c r="I157" s="217">
        <f t="shared" si="6"/>
        <v>9127442</v>
      </c>
      <c r="J157" s="217"/>
      <c r="K157" s="297"/>
      <c r="L157" s="344">
        <f>'WP O&amp;M'!$F$50</f>
        <v>9127442</v>
      </c>
      <c r="M157" s="344">
        <f>'WP O&amp;M'!$H$50</f>
        <v>0</v>
      </c>
      <c r="N157" s="365"/>
      <c r="O157" s="366"/>
    </row>
    <row r="158" spans="1:15">
      <c r="A158" s="290">
        <v>2</v>
      </c>
      <c r="B158" s="296" t="s">
        <v>697</v>
      </c>
      <c r="C158" s="217" t="s">
        <v>698</v>
      </c>
      <c r="D158" s="301">
        <f t="shared" si="5"/>
        <v>125156287</v>
      </c>
      <c r="E158" s="217"/>
      <c r="F158" s="217" t="s">
        <v>685</v>
      </c>
      <c r="G158" s="343">
        <f>+G156</f>
        <v>0.93558040496095185</v>
      </c>
      <c r="H158" s="217"/>
      <c r="I158" s="217">
        <f t="shared" si="6"/>
        <v>117093769.67486912</v>
      </c>
      <c r="J158" s="217"/>
      <c r="K158" s="297"/>
      <c r="L158" s="344">
        <f>'WP O&amp;M'!$F$52</f>
        <v>125156287</v>
      </c>
      <c r="M158" s="344">
        <f>'WP O&amp;M'!$H$52</f>
        <v>0</v>
      </c>
    </row>
    <row r="159" spans="1:15">
      <c r="A159" s="290">
        <v>3</v>
      </c>
      <c r="B159" s="296" t="s">
        <v>699</v>
      </c>
      <c r="C159" s="217" t="s">
        <v>700</v>
      </c>
      <c r="D159" s="301">
        <f t="shared" si="5"/>
        <v>296316178</v>
      </c>
      <c r="E159" s="217"/>
      <c r="F159" s="217" t="s">
        <v>538</v>
      </c>
      <c r="G159" s="343">
        <f>+G95</f>
        <v>4.9494000160464867E-2</v>
      </c>
      <c r="H159" s="217"/>
      <c r="I159" s="217">
        <f t="shared" si="6"/>
        <v>14665872.961480336</v>
      </c>
      <c r="J159" s="217"/>
      <c r="K159" s="297" t="s">
        <v>133</v>
      </c>
      <c r="L159" s="344">
        <f>'WP O&amp;M'!$F$80</f>
        <v>254712730</v>
      </c>
      <c r="M159" s="344">
        <f>'WP O&amp;M'!$H$80</f>
        <v>41603448</v>
      </c>
      <c r="N159" s="366"/>
    </row>
    <row r="160" spans="1:15">
      <c r="A160" s="290">
        <v>4</v>
      </c>
      <c r="B160" s="296" t="s">
        <v>701</v>
      </c>
      <c r="D160" s="301">
        <f t="shared" si="5"/>
        <v>40019</v>
      </c>
      <c r="E160" s="217"/>
      <c r="F160" s="217" t="str">
        <f>+F159</f>
        <v>W/S</v>
      </c>
      <c r="G160" s="343">
        <f>+G159</f>
        <v>4.9494000160464867E-2</v>
      </c>
      <c r="H160" s="217"/>
      <c r="I160" s="217">
        <f t="shared" si="6"/>
        <v>1980.7003924216435</v>
      </c>
      <c r="J160" s="217"/>
      <c r="L160" s="344">
        <f>'WP O&amp;M'!$F$82</f>
        <v>40019</v>
      </c>
      <c r="M160" s="344">
        <f>'WP O&amp;M'!$H$82</f>
        <v>0</v>
      </c>
      <c r="N160" s="366"/>
    </row>
    <row r="161" spans="1:14">
      <c r="A161" s="290">
        <v>5</v>
      </c>
      <c r="B161" s="313" t="s">
        <v>702</v>
      </c>
      <c r="C161" s="297"/>
      <c r="D161" s="301">
        <f t="shared" si="5"/>
        <v>21809876</v>
      </c>
      <c r="E161" s="217"/>
      <c r="F161" s="217" t="str">
        <f>+F160</f>
        <v>W/S</v>
      </c>
      <c r="G161" s="343">
        <f>+G160</f>
        <v>4.9494000160464867E-2</v>
      </c>
      <c r="H161" s="217"/>
      <c r="I161" s="217">
        <f t="shared" si="6"/>
        <v>1079458.0062437188</v>
      </c>
      <c r="J161" s="217"/>
      <c r="K161" s="297"/>
      <c r="L161" s="344">
        <f>'WP O&amp;M'!$F$87</f>
        <v>19868793</v>
      </c>
      <c r="M161" s="344">
        <f>'WP O&amp;M'!$H$87</f>
        <v>1941083</v>
      </c>
      <c r="N161" s="366"/>
    </row>
    <row r="162" spans="1:14">
      <c r="A162" s="290" t="s">
        <v>703</v>
      </c>
      <c r="B162" s="313" t="s">
        <v>704</v>
      </c>
      <c r="C162" s="297"/>
      <c r="D162" s="301">
        <f t="shared" si="5"/>
        <v>44998</v>
      </c>
      <c r="E162" s="217"/>
      <c r="F162" s="367" t="str">
        <f>+F156</f>
        <v>TE</v>
      </c>
      <c r="G162" s="355">
        <f>+G156</f>
        <v>0.93558040496095185</v>
      </c>
      <c r="H162" s="217"/>
      <c r="I162" s="217">
        <f t="shared" si="6"/>
        <v>42099.247062432914</v>
      </c>
      <c r="J162" s="217"/>
      <c r="K162" s="297"/>
      <c r="L162" s="344">
        <f>'WP O&amp;M'!$F$89</f>
        <v>44998</v>
      </c>
      <c r="M162" s="344">
        <f>'WP O&amp;M'!$H$89</f>
        <v>0</v>
      </c>
      <c r="N162" s="365"/>
    </row>
    <row r="163" spans="1:14" s="287" customFormat="1">
      <c r="A163" s="305">
        <v>6</v>
      </c>
      <c r="B163" s="313" t="s">
        <v>539</v>
      </c>
      <c r="C163" s="297" t="str">
        <f>+C96</f>
        <v>356.1</v>
      </c>
      <c r="D163" s="301">
        <f t="shared" si="5"/>
        <v>0</v>
      </c>
      <c r="E163" s="297"/>
      <c r="F163" s="297" t="s">
        <v>541</v>
      </c>
      <c r="G163" s="355">
        <f>+G96</f>
        <v>4.5452497246181507E-2</v>
      </c>
      <c r="H163" s="297"/>
      <c r="I163" s="297">
        <f t="shared" si="6"/>
        <v>0</v>
      </c>
      <c r="J163" s="297"/>
      <c r="K163" s="297"/>
      <c r="L163" s="344">
        <v>0</v>
      </c>
      <c r="M163" s="344">
        <v>0</v>
      </c>
      <c r="N163" s="368"/>
    </row>
    <row r="164" spans="1:14" ht="16.5" thickBot="1">
      <c r="A164" s="290">
        <v>7</v>
      </c>
      <c r="B164" s="296" t="s">
        <v>705</v>
      </c>
      <c r="C164" s="217"/>
      <c r="D164" s="309">
        <f>L164+M164</f>
        <v>0</v>
      </c>
      <c r="E164" s="217"/>
      <c r="F164" s="217" t="s">
        <v>133</v>
      </c>
      <c r="G164" s="343">
        <v>1</v>
      </c>
      <c r="H164" s="217"/>
      <c r="I164" s="302">
        <f t="shared" si="6"/>
        <v>0</v>
      </c>
      <c r="J164" s="303"/>
      <c r="K164" s="297"/>
      <c r="L164" s="345">
        <v>0</v>
      </c>
      <c r="M164" s="345">
        <v>0</v>
      </c>
      <c r="N164" s="366"/>
    </row>
    <row r="165" spans="1:14">
      <c r="A165" s="290">
        <v>8</v>
      </c>
      <c r="B165" s="296" t="s">
        <v>706</v>
      </c>
      <c r="C165" s="217"/>
      <c r="D165" s="217">
        <f>+D156-D157-D158+D159-D160-D161+D163+D164+D162</f>
        <v>326443665</v>
      </c>
      <c r="E165" s="217"/>
      <c r="F165" s="217"/>
      <c r="G165" s="217"/>
      <c r="H165" s="217"/>
      <c r="I165" s="217">
        <f>+I156-I157-I158+I159-I160-I161+I163+I164+I162</f>
        <v>61625468.237831876</v>
      </c>
      <c r="J165" s="217"/>
      <c r="K165" s="297"/>
      <c r="L165" s="217">
        <f>+L156-L157-L158+L159-L160-L161+L163+L164+L162</f>
        <v>276507138</v>
      </c>
      <c r="M165" s="217">
        <f>+M156-M157-M158+M159-M160-M161+M163+M164+M162</f>
        <v>49936527</v>
      </c>
    </row>
    <row r="166" spans="1:14">
      <c r="A166" s="290"/>
      <c r="C166" s="217"/>
      <c r="E166" s="217"/>
      <c r="F166" s="217"/>
      <c r="G166" s="217"/>
      <c r="H166" s="217"/>
      <c r="K166" s="297"/>
    </row>
    <row r="167" spans="1:14">
      <c r="A167" s="290"/>
      <c r="B167" s="369" t="s">
        <v>707</v>
      </c>
      <c r="C167" s="217"/>
      <c r="D167" s="217"/>
      <c r="E167" s="217"/>
      <c r="F167" s="217"/>
      <c r="G167" s="217"/>
      <c r="H167" s="217"/>
      <c r="I167" s="217"/>
      <c r="J167" s="217"/>
      <c r="K167" s="297"/>
    </row>
    <row r="168" spans="1:14">
      <c r="A168" s="290">
        <v>9</v>
      </c>
      <c r="B168" s="296" t="str">
        <f>+B156</f>
        <v xml:space="preserve">  Transmission </v>
      </c>
      <c r="C168" s="297" t="s">
        <v>708</v>
      </c>
      <c r="D168" s="301">
        <f>L168+M168</f>
        <v>60575692</v>
      </c>
      <c r="E168" s="217"/>
      <c r="F168" s="217" t="s">
        <v>455</v>
      </c>
      <c r="G168" s="343">
        <f>+G119</f>
        <v>0.97077283287764871</v>
      </c>
      <c r="H168" s="217"/>
      <c r="I168" s="217">
        <f>+G168*D168</f>
        <v>58805236.126363918</v>
      </c>
      <c r="J168" s="217"/>
      <c r="K168" s="348"/>
      <c r="L168" s="344">
        <f>'WP Dep &amp; Amort Exp'!$F$10</f>
        <v>42667614</v>
      </c>
      <c r="M168" s="344">
        <f>'WP Dep &amp; Amort Exp'!$H$10</f>
        <v>17908078</v>
      </c>
    </row>
    <row r="169" spans="1:14">
      <c r="A169" s="290" t="s">
        <v>709</v>
      </c>
      <c r="B169" s="287" t="s">
        <v>710</v>
      </c>
      <c r="C169" s="297" t="s">
        <v>711</v>
      </c>
      <c r="D169" s="301">
        <f>L169+M169</f>
        <v>-217131.77500591701</v>
      </c>
      <c r="E169" s="217"/>
      <c r="F169" s="217" t="s">
        <v>455</v>
      </c>
      <c r="G169" s="343">
        <f>I233</f>
        <v>0.97077283287764871</v>
      </c>
      <c r="H169" s="217"/>
      <c r="I169" s="217">
        <f>+G169*D169</f>
        <v>-210785.62833024628</v>
      </c>
      <c r="J169" s="217"/>
      <c r="K169" s="348"/>
      <c r="L169" s="344">
        <f>'WP Dep &amp; Amort Exp'!$F$12</f>
        <v>-217131.77500591701</v>
      </c>
      <c r="M169" s="344">
        <f>'WP Dep &amp; Amort Exp'!$H$12</f>
        <v>0</v>
      </c>
    </row>
    <row r="170" spans="1:14">
      <c r="A170" s="290" t="s">
        <v>712</v>
      </c>
      <c r="B170" s="287" t="s">
        <v>713</v>
      </c>
      <c r="C170" s="297" t="s">
        <v>711</v>
      </c>
      <c r="D170" s="301">
        <f>L170+M170</f>
        <v>0</v>
      </c>
      <c r="E170" s="217"/>
      <c r="F170" s="217" t="s">
        <v>455</v>
      </c>
      <c r="G170" s="343">
        <f>I233</f>
        <v>0.97077283287764871</v>
      </c>
      <c r="H170" s="217"/>
      <c r="I170" s="217">
        <f>+G170*D170</f>
        <v>0</v>
      </c>
      <c r="J170" s="217"/>
      <c r="K170" s="348"/>
      <c r="L170" s="344">
        <f>'WP Dep &amp; Amort Exp'!$F$14</f>
        <v>0</v>
      </c>
      <c r="M170" s="344">
        <f>'WP Dep &amp; Amort Exp'!$H$14</f>
        <v>0</v>
      </c>
    </row>
    <row r="171" spans="1:14">
      <c r="A171" s="290">
        <v>10</v>
      </c>
      <c r="B171" s="369" t="s">
        <v>536</v>
      </c>
      <c r="C171" s="217" t="s">
        <v>714</v>
      </c>
      <c r="D171" s="301">
        <f>L171+M171</f>
        <v>23195505</v>
      </c>
      <c r="E171" s="217"/>
      <c r="F171" s="217" t="s">
        <v>538</v>
      </c>
      <c r="G171" s="343">
        <f>+G159</f>
        <v>4.9494000160464867E-2</v>
      </c>
      <c r="H171" s="217"/>
      <c r="I171" s="217">
        <f>+G171*D171</f>
        <v>1148038.3281920636</v>
      </c>
      <c r="J171" s="217"/>
      <c r="K171" s="348"/>
      <c r="L171" s="344">
        <f>'WP Dep &amp; Amort Exp'!$F$16</f>
        <v>20374734</v>
      </c>
      <c r="M171" s="344">
        <f>'WP Dep &amp; Amort Exp'!$H$16</f>
        <v>2820771</v>
      </c>
    </row>
    <row r="172" spans="1:14" ht="16.5" thickBot="1">
      <c r="A172" s="290">
        <v>11</v>
      </c>
      <c r="B172" s="313" t="s">
        <v>715</v>
      </c>
      <c r="C172" s="217" t="s">
        <v>716</v>
      </c>
      <c r="D172" s="309">
        <f>L172+M172</f>
        <v>37530963</v>
      </c>
      <c r="E172" s="217"/>
      <c r="F172" s="217" t="s">
        <v>541</v>
      </c>
      <c r="G172" s="343">
        <f>+G163</f>
        <v>4.5452497246181507E-2</v>
      </c>
      <c r="H172" s="217"/>
      <c r="I172" s="302">
        <f>+G172*D172</f>
        <v>1705875.9924040399</v>
      </c>
      <c r="J172" s="303"/>
      <c r="K172" s="348"/>
      <c r="L172" s="345">
        <f>'WP Dep &amp; Amort Exp'!$F$18</f>
        <v>32304077</v>
      </c>
      <c r="M172" s="345">
        <f>'WP Dep &amp; Amort Exp'!$H$18</f>
        <v>5226886</v>
      </c>
    </row>
    <row r="173" spans="1:14">
      <c r="A173" s="290">
        <v>12</v>
      </c>
      <c r="B173" s="296" t="s">
        <v>717</v>
      </c>
      <c r="C173" s="217"/>
      <c r="D173" s="350">
        <f>SUM(D168:D172)</f>
        <v>121085028.22499409</v>
      </c>
      <c r="E173" s="217"/>
      <c r="F173" s="217"/>
      <c r="G173" s="217"/>
      <c r="H173" s="217"/>
      <c r="I173" s="217">
        <f>SUM(I168:I172)</f>
        <v>61448364.818629771</v>
      </c>
      <c r="J173" s="217"/>
      <c r="K173" s="297"/>
      <c r="L173" s="217">
        <f>SUM(L168:L172)</f>
        <v>95129293.224994093</v>
      </c>
      <c r="M173" s="217">
        <f>SUM(M168:M172)</f>
        <v>25955735</v>
      </c>
    </row>
    <row r="174" spans="1:14">
      <c r="A174" s="290"/>
      <c r="B174" s="296"/>
      <c r="C174" s="217"/>
      <c r="D174" s="217"/>
      <c r="E174" s="217"/>
      <c r="F174" s="217"/>
      <c r="G174" s="217"/>
      <c r="H174" s="217"/>
      <c r="I174" s="217"/>
      <c r="J174" s="217"/>
      <c r="K174" s="297"/>
    </row>
    <row r="175" spans="1:14">
      <c r="A175" s="290" t="s">
        <v>133</v>
      </c>
      <c r="B175" s="296" t="s">
        <v>718</v>
      </c>
      <c r="D175" s="217"/>
      <c r="E175" s="217"/>
      <c r="F175" s="217"/>
      <c r="G175" s="217"/>
      <c r="H175" s="217"/>
      <c r="I175" s="217"/>
      <c r="J175" s="217"/>
      <c r="K175" s="297"/>
    </row>
    <row r="176" spans="1:14">
      <c r="A176" s="290"/>
      <c r="B176" s="296" t="s">
        <v>719</v>
      </c>
      <c r="E176" s="217"/>
      <c r="F176" s="217"/>
      <c r="H176" s="217"/>
      <c r="K176" s="348"/>
    </row>
    <row r="177" spans="1:14">
      <c r="A177" s="290">
        <v>13</v>
      </c>
      <c r="B177" s="296" t="s">
        <v>720</v>
      </c>
      <c r="C177" s="217" t="s">
        <v>721</v>
      </c>
      <c r="D177" s="301">
        <f t="shared" ref="D177:D182" si="7">L177+M177</f>
        <v>36790556</v>
      </c>
      <c r="E177" s="217"/>
      <c r="F177" s="217" t="s">
        <v>538</v>
      </c>
      <c r="G177" s="299">
        <f>+G171</f>
        <v>4.9494000160464867E-2</v>
      </c>
      <c r="H177" s="217"/>
      <c r="I177" s="217">
        <f>+G177*D177</f>
        <v>1820911.7845675917</v>
      </c>
      <c r="J177" s="217"/>
      <c r="K177" s="348"/>
      <c r="L177" s="344">
        <f>'WP Taxes Other Than Income'!$F$12</f>
        <v>33608991</v>
      </c>
      <c r="M177" s="344">
        <f>'WP Taxes Other Than Income'!$H$12</f>
        <v>3181565</v>
      </c>
    </row>
    <row r="178" spans="1:14">
      <c r="A178" s="290">
        <v>14</v>
      </c>
      <c r="B178" s="296" t="s">
        <v>722</v>
      </c>
      <c r="C178" s="217" t="str">
        <f>+C177</f>
        <v>263.i</v>
      </c>
      <c r="D178" s="301">
        <f t="shared" si="7"/>
        <v>57408</v>
      </c>
      <c r="E178" s="217"/>
      <c r="F178" s="217" t="str">
        <f>+F177</f>
        <v>W/S</v>
      </c>
      <c r="G178" s="299">
        <f>+G177</f>
        <v>4.9494000160464867E-2</v>
      </c>
      <c r="H178" s="217"/>
      <c r="I178" s="217">
        <f>+G178*D178</f>
        <v>2841.3515612119672</v>
      </c>
      <c r="J178" s="217"/>
      <c r="K178" s="348"/>
      <c r="L178" s="344">
        <f>'WP Taxes Other Than Income'!$F$13</f>
        <v>57408</v>
      </c>
      <c r="M178" s="365">
        <f>'WP Taxes Other Than Income'!$H$13</f>
        <v>0</v>
      </c>
      <c r="N178" s="365"/>
    </row>
    <row r="179" spans="1:14">
      <c r="A179" s="290">
        <v>15</v>
      </c>
      <c r="B179" s="296" t="s">
        <v>723</v>
      </c>
      <c r="C179" s="217" t="s">
        <v>133</v>
      </c>
      <c r="D179" s="370"/>
      <c r="E179" s="217"/>
      <c r="F179" s="217"/>
      <c r="H179" s="217"/>
      <c r="K179" s="348"/>
      <c r="L179" s="370"/>
      <c r="M179" s="370"/>
    </row>
    <row r="180" spans="1:14">
      <c r="A180" s="290">
        <v>16</v>
      </c>
      <c r="B180" s="296" t="s">
        <v>724</v>
      </c>
      <c r="C180" s="217" t="s">
        <v>721</v>
      </c>
      <c r="D180" s="301">
        <f t="shared" si="7"/>
        <v>153906155</v>
      </c>
      <c r="E180" s="217"/>
      <c r="F180" s="217" t="s">
        <v>688</v>
      </c>
      <c r="G180" s="299">
        <f>+G89</f>
        <v>0.18356787679977463</v>
      </c>
      <c r="H180" s="217"/>
      <c r="I180" s="217">
        <f>+G180*D180</f>
        <v>28252226.099767018</v>
      </c>
      <c r="J180" s="217"/>
      <c r="K180" s="348"/>
      <c r="L180" s="344">
        <f>'WP Taxes Other Than Income'!$F$17</f>
        <v>153098453</v>
      </c>
      <c r="M180" s="344">
        <f>'WP Taxes Other Than Income'!$H$17</f>
        <v>807702</v>
      </c>
    </row>
    <row r="181" spans="1:14">
      <c r="A181" s="290">
        <v>17</v>
      </c>
      <c r="B181" s="296" t="s">
        <v>725</v>
      </c>
      <c r="C181" s="217" t="s">
        <v>721</v>
      </c>
      <c r="D181" s="301">
        <f>L181+M181</f>
        <v>19118300</v>
      </c>
      <c r="E181" s="217"/>
      <c r="F181" s="297" t="str">
        <f>+F110</f>
        <v>NA</v>
      </c>
      <c r="G181" s="371" t="s">
        <v>564</v>
      </c>
      <c r="H181" s="217"/>
      <c r="I181" s="217">
        <v>0</v>
      </c>
      <c r="J181" s="217"/>
      <c r="K181" s="348"/>
      <c r="L181" s="344">
        <f>'WP Taxes Other Than Income'!$F$18</f>
        <v>0</v>
      </c>
      <c r="M181" s="344">
        <f>'WP Taxes Other Than Income'!$H$18</f>
        <v>19118300</v>
      </c>
      <c r="N181" s="365"/>
    </row>
    <row r="182" spans="1:14">
      <c r="A182" s="290">
        <v>18</v>
      </c>
      <c r="B182" s="296" t="s">
        <v>726</v>
      </c>
      <c r="C182" s="217" t="str">
        <f>+C181</f>
        <v>263.i</v>
      </c>
      <c r="D182" s="301">
        <f t="shared" si="7"/>
        <v>151810</v>
      </c>
      <c r="E182" s="217"/>
      <c r="F182" s="217" t="str">
        <f>+F180</f>
        <v>GP</v>
      </c>
      <c r="G182" s="299">
        <f>+G180</f>
        <v>0.18356787679977463</v>
      </c>
      <c r="H182" s="217"/>
      <c r="I182" s="217">
        <f>+G182*D182</f>
        <v>27867.439376973787</v>
      </c>
      <c r="J182" s="217"/>
      <c r="K182" s="348"/>
      <c r="L182" s="344">
        <f>'WP Taxes Other Than Income'!$F$19</f>
        <v>111777</v>
      </c>
      <c r="M182" s="344">
        <f>'WP Taxes Other Than Income'!$H$19</f>
        <v>40033</v>
      </c>
    </row>
    <row r="183" spans="1:14" ht="16.5" thickBot="1">
      <c r="A183" s="290">
        <v>19</v>
      </c>
      <c r="B183" s="296" t="s">
        <v>727</v>
      </c>
      <c r="C183" s="217"/>
      <c r="D183" s="309">
        <f>L183+M183</f>
        <v>0</v>
      </c>
      <c r="E183" s="217"/>
      <c r="F183" s="217" t="s">
        <v>688</v>
      </c>
      <c r="G183" s="299">
        <f>+G180</f>
        <v>0.18356787679977463</v>
      </c>
      <c r="H183" s="217"/>
      <c r="I183" s="302">
        <f>+G183*D183</f>
        <v>0</v>
      </c>
      <c r="J183" s="303"/>
      <c r="K183" s="348"/>
      <c r="L183" s="345">
        <f>'WP Taxes Other Than Income'!$F$20</f>
        <v>0</v>
      </c>
      <c r="M183" s="345">
        <f>'WP Taxes Other Than Income'!$H$20</f>
        <v>0</v>
      </c>
    </row>
    <row r="184" spans="1:14">
      <c r="A184" s="290">
        <v>20</v>
      </c>
      <c r="B184" s="296" t="s">
        <v>728</v>
      </c>
      <c r="C184" s="217"/>
      <c r="D184" s="350">
        <f>SUM(D177:D183)</f>
        <v>210024229</v>
      </c>
      <c r="E184" s="217"/>
      <c r="F184" s="217"/>
      <c r="G184" s="299"/>
      <c r="H184" s="217"/>
      <c r="I184" s="217">
        <f>SUM(I177:I183)</f>
        <v>30103846.675272793</v>
      </c>
      <c r="J184" s="217"/>
      <c r="K184" s="297"/>
      <c r="L184" s="217">
        <f>SUM(L177:L183)</f>
        <v>186876629</v>
      </c>
      <c r="M184" s="217">
        <f>SUM(M177:M183)</f>
        <v>23147600</v>
      </c>
    </row>
    <row r="185" spans="1:14">
      <c r="A185" s="290"/>
      <c r="B185" s="296"/>
      <c r="C185" s="217"/>
      <c r="D185" s="217"/>
      <c r="E185" s="217"/>
      <c r="F185" s="217"/>
      <c r="G185" s="299"/>
      <c r="H185" s="217"/>
      <c r="I185" s="217"/>
      <c r="J185" s="217"/>
      <c r="K185" s="297"/>
    </row>
    <row r="186" spans="1:14">
      <c r="A186" s="290" t="s">
        <v>133</v>
      </c>
      <c r="B186" s="296" t="s">
        <v>729</v>
      </c>
      <c r="C186" s="217" t="s">
        <v>730</v>
      </c>
      <c r="D186" s="217"/>
      <c r="E186" s="217"/>
      <c r="G186" s="372"/>
      <c r="H186" s="217"/>
    </row>
    <row r="187" spans="1:14">
      <c r="A187" s="290">
        <v>21</v>
      </c>
      <c r="B187" s="373" t="s">
        <v>731</v>
      </c>
      <c r="C187" s="217"/>
      <c r="D187" s="374">
        <f>IF(D326&gt;0,1-(((1-D327)*(1-D326))/(1-D327*D326*D328)),0)</f>
        <v>0.40866100000000005</v>
      </c>
      <c r="E187" s="217"/>
      <c r="G187" s="372"/>
      <c r="H187" s="217"/>
    </row>
    <row r="188" spans="1:14">
      <c r="A188" s="290">
        <v>22</v>
      </c>
      <c r="B188" s="280" t="s">
        <v>732</v>
      </c>
      <c r="C188" s="217"/>
      <c r="D188" s="374">
        <f>IF(I274&gt;0,(D187/(1-D187))*(1-I271/I274),0)</f>
        <v>0.51811102507508622</v>
      </c>
      <c r="E188" s="217"/>
      <c r="G188" s="372"/>
      <c r="H188" s="217"/>
    </row>
    <row r="189" spans="1:14">
      <c r="A189" s="290"/>
      <c r="B189" s="296" t="s">
        <v>733</v>
      </c>
      <c r="C189" s="217"/>
      <c r="D189" s="217"/>
      <c r="E189" s="217"/>
      <c r="G189" s="372"/>
      <c r="H189" s="217"/>
    </row>
    <row r="190" spans="1:14">
      <c r="A190" s="290"/>
      <c r="B190" s="296" t="s">
        <v>734</v>
      </c>
      <c r="C190" s="217"/>
      <c r="D190" s="217"/>
      <c r="E190" s="217"/>
      <c r="G190" s="372"/>
      <c r="H190" s="217"/>
    </row>
    <row r="191" spans="1:14">
      <c r="A191" s="290">
        <v>23</v>
      </c>
      <c r="B191" s="373" t="s">
        <v>735</v>
      </c>
      <c r="C191" s="217"/>
      <c r="D191" s="375">
        <f>IF(D187&gt;0,1/(1-D187),0)</f>
        <v>1.6910773684806855</v>
      </c>
      <c r="E191" s="217"/>
      <c r="G191" s="372"/>
      <c r="H191" s="217"/>
    </row>
    <row r="192" spans="1:14">
      <c r="A192" s="290">
        <v>24</v>
      </c>
      <c r="B192" s="296" t="s">
        <v>736</v>
      </c>
      <c r="C192" s="217"/>
      <c r="D192" s="301">
        <f>L192+M192</f>
        <v>-2118742</v>
      </c>
      <c r="E192" s="217"/>
      <c r="G192" s="372"/>
      <c r="H192" s="217"/>
      <c r="L192" s="344">
        <f>'WP Taxes Other Than Income'!$F$26</f>
        <v>-1488792</v>
      </c>
      <c r="M192" s="344">
        <f>'WP Taxes Other Than Income'!$H$26</f>
        <v>-629950</v>
      </c>
      <c r="N192" s="365"/>
    </row>
    <row r="193" spans="1:12">
      <c r="A193" s="290"/>
      <c r="B193" s="296"/>
      <c r="C193" s="217"/>
      <c r="D193" s="217"/>
      <c r="E193" s="217"/>
      <c r="G193" s="372"/>
      <c r="H193" s="217"/>
    </row>
    <row r="194" spans="1:12">
      <c r="A194" s="290">
        <v>25</v>
      </c>
      <c r="B194" s="373" t="s">
        <v>737</v>
      </c>
      <c r="C194" s="376"/>
      <c r="D194" s="217">
        <f>D188*D198</f>
        <v>322467980.22198081</v>
      </c>
      <c r="E194" s="217"/>
      <c r="F194" s="217" t="s">
        <v>531</v>
      </c>
      <c r="G194" s="299"/>
      <c r="H194" s="217"/>
      <c r="I194" s="217">
        <f>D188*I198</f>
        <v>81335911.806089044</v>
      </c>
      <c r="J194" s="217"/>
      <c r="K194" s="377" t="s">
        <v>133</v>
      </c>
    </row>
    <row r="195" spans="1:12" ht="16.5" thickBot="1">
      <c r="A195" s="290">
        <v>26</v>
      </c>
      <c r="B195" s="280" t="s">
        <v>738</v>
      </c>
      <c r="C195" s="376"/>
      <c r="D195" s="302">
        <f>D191*D192</f>
        <v>-3582956.6458495045</v>
      </c>
      <c r="E195" s="217"/>
      <c r="F195" s="280" t="s">
        <v>567</v>
      </c>
      <c r="G195" s="299">
        <f>G105</f>
        <v>0.21874550511942328</v>
      </c>
      <c r="H195" s="217"/>
      <c r="I195" s="302">
        <f>G195*D195</f>
        <v>-783755.66131734452</v>
      </c>
      <c r="J195" s="303"/>
      <c r="K195" s="377"/>
    </row>
    <row r="196" spans="1:12">
      <c r="A196" s="290">
        <v>27</v>
      </c>
      <c r="B196" s="378" t="s">
        <v>739</v>
      </c>
      <c r="C196" s="280" t="s">
        <v>740</v>
      </c>
      <c r="D196" s="379">
        <f>+D194+D195</f>
        <v>318885023.57613128</v>
      </c>
      <c r="E196" s="217"/>
      <c r="F196" s="217" t="s">
        <v>133</v>
      </c>
      <c r="G196" s="299" t="s">
        <v>133</v>
      </c>
      <c r="H196" s="217"/>
      <c r="I196" s="379">
        <f>+I194+I195</f>
        <v>80552156.144771695</v>
      </c>
      <c r="J196" s="379"/>
      <c r="K196" s="297"/>
    </row>
    <row r="197" spans="1:12">
      <c r="A197" s="290" t="s">
        <v>133</v>
      </c>
      <c r="C197" s="380"/>
      <c r="D197" s="217"/>
      <c r="E197" s="217"/>
      <c r="F197" s="217"/>
      <c r="G197" s="299"/>
      <c r="H197" s="217"/>
      <c r="I197" s="217"/>
      <c r="J197" s="217"/>
      <c r="K197" s="297"/>
    </row>
    <row r="198" spans="1:12">
      <c r="A198" s="290">
        <v>28</v>
      </c>
      <c r="B198" s="296" t="s">
        <v>741</v>
      </c>
      <c r="C198" s="347"/>
      <c r="D198" s="217">
        <f>+$I274*D127</f>
        <v>622391658.57404363</v>
      </c>
      <c r="E198" s="217"/>
      <c r="F198" s="217" t="s">
        <v>531</v>
      </c>
      <c r="G198" s="372"/>
      <c r="H198" s="217"/>
      <c r="I198" s="217">
        <f>+$I274*I127</f>
        <v>156985487.41421127</v>
      </c>
      <c r="J198" s="217"/>
    </row>
    <row r="199" spans="1:12">
      <c r="A199" s="290"/>
      <c r="B199" s="378" t="s">
        <v>742</v>
      </c>
      <c r="D199" s="217"/>
      <c r="E199" s="217"/>
      <c r="F199" s="217"/>
      <c r="G199" s="372"/>
      <c r="H199" s="217"/>
      <c r="I199" s="217"/>
      <c r="J199" s="217"/>
      <c r="K199" s="348"/>
    </row>
    <row r="200" spans="1:12" ht="16.5" thickBot="1">
      <c r="A200" s="290"/>
      <c r="B200" s="296"/>
      <c r="D200" s="302"/>
      <c r="E200" s="217"/>
      <c r="F200" s="217"/>
      <c r="G200" s="372"/>
      <c r="H200" s="217"/>
      <c r="I200" s="302"/>
      <c r="J200" s="303"/>
      <c r="K200" s="348"/>
    </row>
    <row r="201" spans="1:12">
      <c r="A201" s="290">
        <v>29</v>
      </c>
      <c r="B201" s="296" t="s">
        <v>743</v>
      </c>
      <c r="C201" s="217"/>
      <c r="D201" s="350">
        <f>+D198+D196+D184+D173+D165</f>
        <v>1598829604.375169</v>
      </c>
      <c r="E201" s="217"/>
      <c r="F201" s="217"/>
      <c r="G201" s="217"/>
      <c r="H201" s="217"/>
      <c r="I201" s="303">
        <f>+I198+I196+I184+I173+I165</f>
        <v>390715323.29071742</v>
      </c>
      <c r="J201" s="303"/>
      <c r="K201" s="286"/>
    </row>
    <row r="202" spans="1:12">
      <c r="A202" s="290"/>
      <c r="B202" s="296"/>
      <c r="C202" s="217"/>
      <c r="D202" s="303"/>
      <c r="E202" s="217"/>
      <c r="F202" s="217"/>
      <c r="G202" s="217"/>
      <c r="H202" s="217"/>
      <c r="I202" s="303"/>
      <c r="J202" s="303"/>
      <c r="K202" s="286"/>
    </row>
    <row r="203" spans="1:12">
      <c r="A203" s="290">
        <v>30</v>
      </c>
      <c r="B203" s="296" t="s">
        <v>744</v>
      </c>
      <c r="C203" s="217"/>
      <c r="J203" s="303"/>
      <c r="K203" s="286"/>
    </row>
    <row r="204" spans="1:12">
      <c r="A204" s="290"/>
      <c r="B204" s="296" t="s">
        <v>745</v>
      </c>
      <c r="C204" s="217"/>
      <c r="D204" s="303"/>
      <c r="E204" s="217"/>
      <c r="F204" s="217"/>
      <c r="G204" s="217"/>
      <c r="H204" s="217"/>
      <c r="I204" s="303"/>
      <c r="J204" s="303"/>
      <c r="K204" s="286"/>
    </row>
    <row r="205" spans="1:12">
      <c r="A205" s="290"/>
      <c r="B205" s="296" t="s">
        <v>746</v>
      </c>
      <c r="C205" s="217"/>
      <c r="D205" s="307">
        <f>L205</f>
        <v>32430779.23893949</v>
      </c>
      <c r="E205" s="217"/>
      <c r="F205" s="217"/>
      <c r="G205" s="217"/>
      <c r="H205" s="217"/>
      <c r="I205" s="307">
        <f>D205</f>
        <v>32430779.23893949</v>
      </c>
      <c r="J205" s="303"/>
      <c r="K205" s="286"/>
      <c r="L205" s="344">
        <f>'WP Revenue Credits-Rev 2'!$F$30</f>
        <v>32430779.23893949</v>
      </c>
    </row>
    <row r="206" spans="1:12">
      <c r="A206" s="290"/>
      <c r="B206" s="296"/>
      <c r="C206" s="217"/>
      <c r="D206" s="303"/>
      <c r="E206" s="217"/>
      <c r="F206" s="217"/>
      <c r="G206" s="217"/>
      <c r="H206" s="217"/>
      <c r="I206" s="303"/>
      <c r="J206" s="303"/>
      <c r="K206" s="286"/>
      <c r="L206" s="344"/>
    </row>
    <row r="207" spans="1:12">
      <c r="A207" s="290" t="s">
        <v>747</v>
      </c>
      <c r="B207" s="296" t="s">
        <v>748</v>
      </c>
      <c r="C207" s="217"/>
      <c r="K207" s="286"/>
      <c r="L207" s="344"/>
    </row>
    <row r="208" spans="1:12">
      <c r="A208" s="290"/>
      <c r="B208" s="296" t="s">
        <v>745</v>
      </c>
      <c r="C208" s="217"/>
      <c r="D208" s="303"/>
      <c r="E208" s="217"/>
      <c r="F208" s="217"/>
      <c r="G208" s="217"/>
      <c r="H208" s="217"/>
      <c r="I208" s="303"/>
      <c r="J208" s="303"/>
      <c r="K208" s="286"/>
      <c r="L208" s="344"/>
    </row>
    <row r="209" spans="1:13" ht="16.5" thickBot="1">
      <c r="A209" s="290"/>
      <c r="B209" s="296" t="s">
        <v>749</v>
      </c>
      <c r="C209" s="217"/>
      <c r="D209" s="309">
        <f>L209</f>
        <v>27612949</v>
      </c>
      <c r="E209" s="217"/>
      <c r="F209" s="217"/>
      <c r="G209" s="217"/>
      <c r="H209" s="217"/>
      <c r="I209" s="309">
        <f>D209</f>
        <v>27612949</v>
      </c>
      <c r="J209" s="308"/>
      <c r="K209" s="286"/>
      <c r="L209" s="344">
        <f>'WP Revenue Credits-Rev 2'!$F$33</f>
        <v>27612949</v>
      </c>
    </row>
    <row r="210" spans="1:13" ht="16.5" thickBot="1">
      <c r="A210" s="290">
        <v>31</v>
      </c>
      <c r="B210" s="296" t="s">
        <v>750</v>
      </c>
      <c r="C210" s="217"/>
      <c r="D210" s="381">
        <f>+D201-D205-D209</f>
        <v>1538785876.1362295</v>
      </c>
      <c r="E210" s="217"/>
      <c r="F210" s="217"/>
      <c r="G210" s="217"/>
      <c r="H210" s="217"/>
      <c r="I210" s="381">
        <f>+I201-I205-I209</f>
        <v>330671595.05177796</v>
      </c>
      <c r="J210" s="303"/>
      <c r="K210" s="286"/>
    </row>
    <row r="211" spans="1:13" ht="16.5" thickTop="1">
      <c r="A211" s="290"/>
      <c r="B211" s="296" t="s">
        <v>751</v>
      </c>
      <c r="C211" s="217"/>
      <c r="D211" s="303"/>
      <c r="E211" s="217"/>
      <c r="F211" s="217"/>
      <c r="G211" s="217"/>
      <c r="H211" s="217"/>
      <c r="I211" s="303"/>
      <c r="J211" s="303"/>
      <c r="K211" s="286"/>
    </row>
    <row r="212" spans="1:13">
      <c r="A212" s="290"/>
      <c r="B212" s="296"/>
      <c r="C212" s="217"/>
      <c r="D212" s="303"/>
      <c r="E212" s="217"/>
      <c r="F212" s="217"/>
      <c r="G212" s="217"/>
      <c r="H212" s="217"/>
      <c r="I212" s="303"/>
      <c r="J212" s="303"/>
      <c r="K212" s="286"/>
    </row>
    <row r="213" spans="1:13">
      <c r="A213" s="290"/>
      <c r="B213" s="296"/>
      <c r="C213" s="217"/>
      <c r="D213" s="303"/>
      <c r="E213" s="217"/>
      <c r="F213" s="217"/>
      <c r="G213" s="217"/>
      <c r="H213" s="217"/>
      <c r="I213" s="303"/>
      <c r="J213" s="303"/>
      <c r="K213" s="286"/>
    </row>
    <row r="214" spans="1:13">
      <c r="A214" s="290"/>
      <c r="B214" s="296"/>
      <c r="C214" s="217"/>
      <c r="D214" s="303"/>
      <c r="E214" s="217"/>
      <c r="F214" s="217"/>
      <c r="G214" s="217"/>
      <c r="H214" s="217"/>
      <c r="I214" s="303"/>
      <c r="J214" s="303"/>
      <c r="K214" s="286"/>
    </row>
    <row r="215" spans="1:13">
      <c r="A215" s="290"/>
      <c r="B215" s="296"/>
      <c r="C215" s="217"/>
      <c r="D215" s="303"/>
      <c r="E215" s="217"/>
      <c r="F215" s="217"/>
      <c r="G215" s="217"/>
      <c r="H215" s="217"/>
      <c r="I215" s="303"/>
      <c r="J215" s="303"/>
      <c r="K215" s="286"/>
    </row>
    <row r="216" spans="1:13">
      <c r="A216" s="290"/>
      <c r="B216" s="296"/>
      <c r="C216" s="217"/>
      <c r="D216" s="303"/>
      <c r="E216" s="217"/>
      <c r="F216" s="217"/>
      <c r="G216" s="217"/>
      <c r="H216" s="217"/>
      <c r="I216" s="303"/>
      <c r="J216" s="303"/>
      <c r="K216" s="286"/>
    </row>
    <row r="217" spans="1:13">
      <c r="A217" s="290"/>
      <c r="B217" s="296"/>
      <c r="C217" s="217"/>
      <c r="D217" s="303"/>
      <c r="E217" s="217"/>
      <c r="F217" s="217"/>
      <c r="G217" s="217"/>
      <c r="H217" s="217"/>
      <c r="I217" s="303"/>
      <c r="J217" s="303"/>
      <c r="K217" s="286"/>
    </row>
    <row r="218" spans="1:13">
      <c r="A218" s="290"/>
      <c r="B218" s="296"/>
      <c r="C218" s="217"/>
      <c r="D218" s="303"/>
      <c r="E218" s="217"/>
      <c r="F218" s="217"/>
      <c r="G218" s="217"/>
      <c r="H218" s="217"/>
      <c r="I218" s="303"/>
      <c r="J218" s="303"/>
      <c r="K218" s="286"/>
    </row>
    <row r="219" spans="1:13">
      <c r="A219" s="290"/>
      <c r="B219" s="296"/>
      <c r="C219" s="217"/>
      <c r="D219" s="303"/>
      <c r="E219" s="217"/>
      <c r="F219" s="217"/>
      <c r="G219" s="217"/>
      <c r="H219" s="217"/>
      <c r="I219" s="303"/>
      <c r="J219" s="303"/>
      <c r="K219" s="286"/>
    </row>
    <row r="220" spans="1:13">
      <c r="B220" s="281"/>
      <c r="C220" s="281"/>
      <c r="D220" s="282"/>
      <c r="E220" s="281"/>
      <c r="F220" s="281"/>
      <c r="G220" s="281"/>
      <c r="H220" s="283"/>
      <c r="I220" s="284"/>
      <c r="J220" s="284"/>
      <c r="K220" s="285" t="s">
        <v>752</v>
      </c>
    </row>
    <row r="221" spans="1:13">
      <c r="B221" s="281" t="s">
        <v>443</v>
      </c>
      <c r="C221" s="281"/>
      <c r="D221" s="282" t="s">
        <v>444</v>
      </c>
      <c r="E221" s="281"/>
      <c r="F221" s="281"/>
      <c r="G221" s="281"/>
      <c r="H221" s="283"/>
      <c r="K221" s="284" t="str">
        <f>K3</f>
        <v>For the 12 months ended 12/31/13</v>
      </c>
    </row>
    <row r="222" spans="1:13">
      <c r="B222" s="281"/>
      <c r="C222" s="281"/>
      <c r="D222" s="217" t="s">
        <v>446</v>
      </c>
      <c r="E222" s="281"/>
      <c r="F222" s="281"/>
      <c r="G222" s="281"/>
      <c r="H222" s="283"/>
      <c r="I222" s="283"/>
      <c r="J222" s="283"/>
      <c r="K222" s="329"/>
    </row>
    <row r="223" spans="1:13" ht="11.25" customHeight="1">
      <c r="B223" s="281"/>
      <c r="C223" s="281"/>
      <c r="D223" s="217"/>
      <c r="E223" s="281"/>
      <c r="F223" s="281"/>
      <c r="G223" s="281"/>
      <c r="H223" s="283"/>
      <c r="I223" s="283"/>
      <c r="J223" s="283"/>
      <c r="K223" s="329"/>
    </row>
    <row r="224" spans="1:13">
      <c r="A224" s="540" t="str">
        <f>A6</f>
        <v>Northern States Power Companies</v>
      </c>
      <c r="B224" s="540"/>
      <c r="C224" s="540"/>
      <c r="D224" s="540"/>
      <c r="E224" s="540"/>
      <c r="F224" s="540"/>
      <c r="G224" s="540"/>
      <c r="H224" s="540"/>
      <c r="I224" s="540"/>
      <c r="J224" s="540"/>
      <c r="K224" s="540"/>
      <c r="L224" s="337" t="s">
        <v>521</v>
      </c>
      <c r="M224" s="337" t="s">
        <v>522</v>
      </c>
    </row>
    <row r="225" spans="1:20">
      <c r="B225" s="281"/>
      <c r="C225" s="281"/>
      <c r="D225" s="287"/>
      <c r="E225" s="356"/>
      <c r="F225" s="356"/>
      <c r="G225" s="356"/>
      <c r="H225" s="283"/>
      <c r="I225" s="283"/>
      <c r="J225" s="283"/>
      <c r="K225" s="286"/>
      <c r="L225" s="337"/>
      <c r="M225" s="337"/>
    </row>
    <row r="226" spans="1:20">
      <c r="A226" s="290" t="s">
        <v>174</v>
      </c>
      <c r="B226" s="281"/>
      <c r="C226" s="341" t="s">
        <v>753</v>
      </c>
      <c r="E226" s="217"/>
      <c r="F226" s="217"/>
      <c r="G226" s="217"/>
      <c r="H226" s="283"/>
      <c r="I226" s="283"/>
      <c r="J226" s="283"/>
      <c r="K226" s="286"/>
      <c r="L226" s="337" t="s">
        <v>151</v>
      </c>
      <c r="M226" s="337" t="s">
        <v>151</v>
      </c>
    </row>
    <row r="227" spans="1:20" ht="16.5" thickBot="1">
      <c r="A227" s="292" t="s">
        <v>150</v>
      </c>
      <c r="B227" s="356" t="s">
        <v>754</v>
      </c>
      <c r="C227" s="286"/>
      <c r="D227" s="286"/>
      <c r="E227" s="286"/>
      <c r="F227" s="286"/>
      <c r="G227" s="286"/>
      <c r="H227" s="287"/>
      <c r="I227" s="287"/>
      <c r="J227" s="287"/>
      <c r="K227" s="297"/>
    </row>
    <row r="228" spans="1:20">
      <c r="A228" s="290">
        <v>1</v>
      </c>
      <c r="B228" s="314" t="s">
        <v>755</v>
      </c>
      <c r="C228" s="286"/>
      <c r="D228" s="297"/>
      <c r="E228" s="297"/>
      <c r="F228" s="297"/>
      <c r="G228" s="297"/>
      <c r="H228" s="297"/>
      <c r="I228" s="297">
        <f>D85</f>
        <v>2779661698.3063998</v>
      </c>
      <c r="J228" s="297"/>
      <c r="K228" s="297"/>
    </row>
    <row r="229" spans="1:20">
      <c r="A229" s="290">
        <v>2</v>
      </c>
      <c r="B229" s="314" t="s">
        <v>756</v>
      </c>
      <c r="C229" s="287"/>
      <c r="D229" s="382"/>
      <c r="E229" s="287"/>
      <c r="F229" s="287"/>
      <c r="G229" s="287"/>
      <c r="H229" s="287"/>
      <c r="I229" s="301">
        <f>L229+M229</f>
        <v>0</v>
      </c>
      <c r="J229" s="297"/>
      <c r="K229" s="297"/>
      <c r="L229" s="344">
        <f>'WP Support for Alloc Factors'!$F$11</f>
        <v>0</v>
      </c>
      <c r="M229" s="344">
        <f>'WP Support for Alloc Factors'!$H$11</f>
        <v>0</v>
      </c>
    </row>
    <row r="230" spans="1:20" ht="16.5" thickBot="1">
      <c r="A230" s="290">
        <v>3</v>
      </c>
      <c r="B230" s="383" t="s">
        <v>757</v>
      </c>
      <c r="C230" s="384"/>
      <c r="D230" s="308"/>
      <c r="E230" s="297"/>
      <c r="F230" s="297"/>
      <c r="G230" s="330"/>
      <c r="H230" s="297"/>
      <c r="I230" s="301">
        <f>L230+M230</f>
        <v>81241637</v>
      </c>
      <c r="J230" s="297"/>
      <c r="K230" s="297"/>
      <c r="L230" s="354">
        <f>'WP Support for Alloc Factors'!$F$12</f>
        <v>72021703</v>
      </c>
      <c r="M230" s="354">
        <f>'WP Support for Alloc Factors'!$H$12</f>
        <v>9219934</v>
      </c>
      <c r="N230" s="365"/>
    </row>
    <row r="231" spans="1:20">
      <c r="A231" s="290">
        <v>4</v>
      </c>
      <c r="B231" s="314" t="s">
        <v>758</v>
      </c>
      <c r="C231" s="286"/>
      <c r="D231" s="308"/>
      <c r="E231" s="297"/>
      <c r="F231" s="297"/>
      <c r="G231" s="330"/>
      <c r="H231" s="297"/>
      <c r="I231" s="385">
        <f>I228-I229-I230</f>
        <v>2698420061.3063998</v>
      </c>
      <c r="J231" s="308"/>
      <c r="K231" s="297"/>
    </row>
    <row r="232" spans="1:20" ht="11.25" customHeight="1">
      <c r="A232" s="290"/>
      <c r="B232" s="287"/>
      <c r="C232" s="286"/>
      <c r="D232" s="308"/>
      <c r="E232" s="297"/>
      <c r="F232" s="297"/>
      <c r="G232" s="330"/>
      <c r="H232" s="297"/>
      <c r="I232" s="287"/>
      <c r="J232" s="287"/>
      <c r="K232" s="297"/>
      <c r="N232" s="316"/>
      <c r="O232" s="316"/>
      <c r="P232" s="316"/>
      <c r="Q232" s="316"/>
      <c r="R232" s="316"/>
      <c r="S232" s="316"/>
    </row>
    <row r="233" spans="1:20">
      <c r="A233" s="290">
        <v>5</v>
      </c>
      <c r="B233" s="314" t="s">
        <v>759</v>
      </c>
      <c r="C233" s="386"/>
      <c r="D233" s="387"/>
      <c r="E233" s="388"/>
      <c r="F233" s="388"/>
      <c r="G233" s="289"/>
      <c r="H233" s="297" t="s">
        <v>760</v>
      </c>
      <c r="I233" s="353">
        <f>IF(I228&gt;0,I231/I228,0)</f>
        <v>0.97077283287764871</v>
      </c>
      <c r="J233" s="353"/>
      <c r="K233" s="297"/>
      <c r="M233" s="316"/>
      <c r="N233" s="480"/>
      <c r="O233" s="480"/>
      <c r="P233" s="480"/>
      <c r="Q233" s="480"/>
      <c r="R233" s="480"/>
      <c r="S233" s="480"/>
      <c r="T233" s="316"/>
    </row>
    <row r="234" spans="1:20" ht="11.25" customHeight="1">
      <c r="A234" s="290"/>
      <c r="B234" s="287"/>
      <c r="C234" s="287"/>
      <c r="D234" s="382"/>
      <c r="E234" s="287"/>
      <c r="F234" s="287"/>
      <c r="G234" s="287"/>
      <c r="H234" s="287"/>
      <c r="I234" s="287"/>
      <c r="J234" s="287"/>
      <c r="K234" s="297"/>
      <c r="M234" s="316"/>
      <c r="N234" s="480"/>
      <c r="O234" s="480"/>
      <c r="P234" s="480"/>
      <c r="Q234" s="480"/>
      <c r="R234" s="480"/>
      <c r="S234" s="480"/>
      <c r="T234" s="316"/>
    </row>
    <row r="235" spans="1:20">
      <c r="A235" s="290"/>
      <c r="B235" s="313" t="s">
        <v>761</v>
      </c>
      <c r="C235" s="287"/>
      <c r="D235" s="382"/>
      <c r="E235" s="287"/>
      <c r="F235" s="287"/>
      <c r="G235" s="287"/>
      <c r="H235" s="287"/>
      <c r="I235" s="287"/>
      <c r="J235" s="287"/>
      <c r="K235" s="297"/>
      <c r="M235" s="316"/>
      <c r="N235" s="480"/>
      <c r="O235" s="480"/>
      <c r="P235" s="480"/>
      <c r="Q235" s="480"/>
      <c r="R235" s="480"/>
      <c r="S235" s="480"/>
      <c r="T235" s="316"/>
    </row>
    <row r="236" spans="1:20">
      <c r="A236" s="290"/>
      <c r="B236" s="287"/>
      <c r="C236" s="287"/>
      <c r="D236" s="382"/>
      <c r="E236" s="287"/>
      <c r="F236" s="287"/>
      <c r="G236" s="287"/>
      <c r="H236" s="287"/>
      <c r="I236" s="287"/>
      <c r="J236" s="287"/>
      <c r="K236" s="297"/>
      <c r="M236" s="316"/>
      <c r="N236" s="541" t="s">
        <v>762</v>
      </c>
      <c r="O236" s="541"/>
      <c r="P236" s="541"/>
      <c r="Q236" s="541"/>
      <c r="R236" s="541"/>
      <c r="S236" s="541"/>
      <c r="T236" s="316"/>
    </row>
    <row r="237" spans="1:20">
      <c r="A237" s="290">
        <v>6</v>
      </c>
      <c r="B237" s="287" t="s">
        <v>763</v>
      </c>
      <c r="C237" s="287"/>
      <c r="D237" s="389"/>
      <c r="E237" s="286"/>
      <c r="F237" s="286"/>
      <c r="G237" s="334"/>
      <c r="H237" s="286"/>
      <c r="I237" s="297">
        <f>D156</f>
        <v>186216113</v>
      </c>
      <c r="J237" s="297"/>
      <c r="K237" s="297"/>
      <c r="M237" s="316"/>
      <c r="N237" s="480"/>
      <c r="O237" s="480"/>
      <c r="P237" s="499"/>
      <c r="Q237" s="488"/>
      <c r="R237" s="480"/>
      <c r="S237" s="480"/>
      <c r="T237" s="316"/>
    </row>
    <row r="238" spans="1:20" ht="16.5" thickBot="1">
      <c r="A238" s="290">
        <v>7</v>
      </c>
      <c r="B238" s="383" t="s">
        <v>764</v>
      </c>
      <c r="C238" s="384"/>
      <c r="D238" s="308"/>
      <c r="E238" s="308"/>
      <c r="F238" s="297"/>
      <c r="G238" s="297"/>
      <c r="H238" s="297"/>
      <c r="I238" s="301">
        <f>L238+M238</f>
        <v>6750701</v>
      </c>
      <c r="J238" s="297"/>
      <c r="K238" s="297"/>
      <c r="L238" s="354">
        <f>'WP Support for Alloc Factors'!$F$22</f>
        <v>4827610</v>
      </c>
      <c r="M238" s="354">
        <f>'WP Support for Alloc Factors'!$H$22</f>
        <v>1923091</v>
      </c>
      <c r="N238" s="503">
        <f>+I238</f>
        <v>6750701</v>
      </c>
      <c r="O238" s="499" t="s">
        <v>765</v>
      </c>
      <c r="P238" s="499"/>
      <c r="Q238" s="488"/>
      <c r="R238" s="480"/>
      <c r="S238" s="480"/>
      <c r="T238" s="316"/>
    </row>
    <row r="239" spans="1:20">
      <c r="A239" s="290">
        <v>8</v>
      </c>
      <c r="B239" s="314" t="s">
        <v>766</v>
      </c>
      <c r="C239" s="386"/>
      <c r="D239" s="387"/>
      <c r="E239" s="388"/>
      <c r="F239" s="388"/>
      <c r="G239" s="289"/>
      <c r="H239" s="388"/>
      <c r="I239" s="385">
        <f>+I237-I238</f>
        <v>179465412</v>
      </c>
      <c r="J239" s="308"/>
      <c r="K239" s="297"/>
      <c r="L239" s="354"/>
      <c r="M239" s="354"/>
      <c r="N239" s="504">
        <v>0</v>
      </c>
      <c r="O239" s="480" t="s">
        <v>767</v>
      </c>
      <c r="P239" s="480"/>
      <c r="Q239" s="480"/>
      <c r="R239" s="480"/>
      <c r="S239" s="480"/>
      <c r="T239" s="316"/>
    </row>
    <row r="240" spans="1:20">
      <c r="A240" s="290"/>
      <c r="B240" s="314"/>
      <c r="C240" s="286"/>
      <c r="D240" s="297"/>
      <c r="E240" s="297"/>
      <c r="F240" s="297"/>
      <c r="G240" s="297"/>
      <c r="H240" s="287"/>
      <c r="I240" s="287"/>
      <c r="J240" s="287"/>
      <c r="M240" s="316"/>
      <c r="N240" s="504">
        <f>N238-N239</f>
        <v>6750701</v>
      </c>
      <c r="O240" s="480" t="s">
        <v>768</v>
      </c>
      <c r="P240" s="480"/>
      <c r="Q240" s="480"/>
      <c r="R240" s="480"/>
      <c r="S240" s="480"/>
      <c r="T240" s="316"/>
    </row>
    <row r="241" spans="1:20">
      <c r="A241" s="290">
        <v>9</v>
      </c>
      <c r="B241" s="314" t="s">
        <v>769</v>
      </c>
      <c r="C241" s="286"/>
      <c r="D241" s="297"/>
      <c r="E241" s="297"/>
      <c r="F241" s="297"/>
      <c r="G241" s="297"/>
      <c r="H241" s="297"/>
      <c r="I241" s="355">
        <f>IF(I237&gt;0,I239/I237,0)</f>
        <v>0.96374802968849427</v>
      </c>
      <c r="J241" s="355"/>
      <c r="M241" s="316"/>
      <c r="N241" s="504"/>
      <c r="O241" s="500" t="s">
        <v>770</v>
      </c>
      <c r="P241" s="501"/>
      <c r="Q241" s="501"/>
      <c r="R241" s="480"/>
      <c r="S241" s="480"/>
      <c r="T241" s="316"/>
    </row>
    <row r="242" spans="1:20">
      <c r="A242" s="290">
        <v>10</v>
      </c>
      <c r="B242" s="314" t="s">
        <v>771</v>
      </c>
      <c r="C242" s="286"/>
      <c r="D242" s="297"/>
      <c r="E242" s="297"/>
      <c r="F242" s="297"/>
      <c r="G242" s="297"/>
      <c r="H242" s="286" t="s">
        <v>455</v>
      </c>
      <c r="I242" s="390">
        <f>I233</f>
        <v>0.97077283287764871</v>
      </c>
      <c r="J242" s="390"/>
      <c r="M242" s="316"/>
      <c r="N242" s="504">
        <v>0</v>
      </c>
      <c r="O242" s="501" t="s">
        <v>772</v>
      </c>
      <c r="P242" s="480"/>
      <c r="Q242" s="501"/>
      <c r="R242" s="480"/>
      <c r="S242" s="480"/>
      <c r="T242" s="316"/>
    </row>
    <row r="243" spans="1:20">
      <c r="A243" s="290">
        <v>11</v>
      </c>
      <c r="B243" s="314" t="s">
        <v>773</v>
      </c>
      <c r="C243" s="286"/>
      <c r="D243" s="286"/>
      <c r="E243" s="286"/>
      <c r="F243" s="286"/>
      <c r="G243" s="286"/>
      <c r="H243" s="286" t="s">
        <v>774</v>
      </c>
      <c r="I243" s="391">
        <f>+I242*I241</f>
        <v>0.93558040496095185</v>
      </c>
      <c r="J243" s="391"/>
      <c r="M243" s="316"/>
      <c r="N243" s="504">
        <v>0</v>
      </c>
      <c r="O243" s="501" t="s">
        <v>775</v>
      </c>
      <c r="P243" s="480"/>
      <c r="Q243" s="501"/>
      <c r="R243" s="480"/>
      <c r="S243" s="480"/>
      <c r="T243" s="316"/>
    </row>
    <row r="244" spans="1:20">
      <c r="A244" s="290"/>
      <c r="C244" s="288"/>
      <c r="D244" s="217"/>
      <c r="E244" s="217"/>
      <c r="F244" s="217"/>
      <c r="G244" s="357"/>
      <c r="H244" s="217"/>
      <c r="M244" s="316"/>
      <c r="N244" s="503">
        <v>0</v>
      </c>
      <c r="O244" s="501" t="s">
        <v>776</v>
      </c>
      <c r="P244" s="480"/>
      <c r="Q244" s="502"/>
      <c r="R244" s="480"/>
      <c r="S244" s="480"/>
      <c r="T244" s="316"/>
    </row>
    <row r="245" spans="1:20">
      <c r="A245" s="290" t="s">
        <v>133</v>
      </c>
      <c r="B245" s="296" t="s">
        <v>777</v>
      </c>
      <c r="C245" s="217"/>
      <c r="D245" s="217"/>
      <c r="E245" s="217"/>
      <c r="F245" s="217"/>
      <c r="G245" s="217"/>
      <c r="H245" s="217"/>
      <c r="I245" s="217"/>
      <c r="J245" s="217"/>
      <c r="M245" s="316"/>
      <c r="N245" s="504">
        <f>SUM(N242:N244)</f>
        <v>0</v>
      </c>
      <c r="O245" s="480" t="s">
        <v>778</v>
      </c>
      <c r="P245" s="499"/>
      <c r="Q245" s="488"/>
      <c r="R245" s="480"/>
      <c r="S245" s="480"/>
      <c r="T245" s="316"/>
    </row>
    <row r="246" spans="1:20" ht="16.5" thickBot="1">
      <c r="A246" s="290" t="s">
        <v>133</v>
      </c>
      <c r="B246" s="296"/>
      <c r="C246" s="302" t="s">
        <v>779</v>
      </c>
      <c r="D246" s="392" t="s">
        <v>780</v>
      </c>
      <c r="E246" s="392" t="s">
        <v>455</v>
      </c>
      <c r="F246" s="217"/>
      <c r="G246" s="392" t="s">
        <v>781</v>
      </c>
      <c r="H246" s="217"/>
      <c r="I246" s="217"/>
      <c r="J246" s="217"/>
      <c r="K246" s="297"/>
      <c r="M246" s="316"/>
      <c r="N246" s="504">
        <f>N240-N245</f>
        <v>6750701</v>
      </c>
      <c r="O246" s="480" t="s">
        <v>782</v>
      </c>
      <c r="P246" s="499"/>
      <c r="Q246" s="488"/>
      <c r="R246" s="480"/>
      <c r="S246" s="480"/>
      <c r="T246" s="316"/>
    </row>
    <row r="247" spans="1:20">
      <c r="A247" s="290">
        <v>12</v>
      </c>
      <c r="B247" s="296" t="s">
        <v>529</v>
      </c>
      <c r="C247" s="217" t="s">
        <v>783</v>
      </c>
      <c r="D247" s="301">
        <f>L247+M247</f>
        <v>318448023</v>
      </c>
      <c r="E247" s="393">
        <v>0</v>
      </c>
      <c r="F247" s="393"/>
      <c r="G247" s="217">
        <f>D247*E247</f>
        <v>0</v>
      </c>
      <c r="H247" s="217"/>
      <c r="I247" s="217"/>
      <c r="J247" s="217"/>
      <c r="K247" s="297"/>
      <c r="L247" s="344">
        <f>'WP Support for Alloc Factors'!$F$26</f>
        <v>306283937</v>
      </c>
      <c r="M247" s="354">
        <f>'WP Support for Alloc Factors'!$H$26</f>
        <v>12164086</v>
      </c>
      <c r="N247" s="480"/>
      <c r="O247" s="480"/>
      <c r="P247" s="480"/>
      <c r="Q247" s="480"/>
      <c r="R247" s="480"/>
      <c r="S247" s="480"/>
      <c r="T247" s="316"/>
    </row>
    <row r="248" spans="1:20">
      <c r="A248" s="290">
        <v>13</v>
      </c>
      <c r="B248" s="296" t="s">
        <v>532</v>
      </c>
      <c r="C248" s="217" t="s">
        <v>784</v>
      </c>
      <c r="D248" s="301">
        <f>L248+M248</f>
        <v>21724235</v>
      </c>
      <c r="E248" s="393">
        <f>+I233</f>
        <v>0.97077283287764871</v>
      </c>
      <c r="F248" s="393"/>
      <c r="G248" s="217">
        <f>D248*E248</f>
        <v>21089297.153049767</v>
      </c>
      <c r="H248" s="217"/>
      <c r="I248" s="217"/>
      <c r="J248" s="217"/>
      <c r="K248" s="297"/>
      <c r="L248" s="344">
        <f>'WP Support for Alloc Factors'!$F$27</f>
        <v>16860627</v>
      </c>
      <c r="M248" s="354">
        <f>'WP Support for Alloc Factors'!$H$27</f>
        <v>4863608</v>
      </c>
      <c r="N248" s="480"/>
      <c r="O248" s="480"/>
      <c r="P248" s="480"/>
      <c r="Q248" s="480"/>
      <c r="R248" s="480"/>
      <c r="S248" s="480"/>
      <c r="T248" s="316"/>
    </row>
    <row r="249" spans="1:20">
      <c r="A249" s="290">
        <v>14</v>
      </c>
      <c r="B249" s="296" t="s">
        <v>534</v>
      </c>
      <c r="C249" s="217" t="s">
        <v>785</v>
      </c>
      <c r="D249" s="301">
        <f>L249+M249</f>
        <v>66037002</v>
      </c>
      <c r="E249" s="393">
        <v>0</v>
      </c>
      <c r="F249" s="393"/>
      <c r="G249" s="217">
        <f>D249*E249</f>
        <v>0</v>
      </c>
      <c r="H249" s="217"/>
      <c r="I249" s="394" t="s">
        <v>786</v>
      </c>
      <c r="J249" s="394"/>
      <c r="K249" s="297"/>
      <c r="L249" s="344">
        <f>'WP Support for Alloc Factors'!$F$28</f>
        <v>53486736</v>
      </c>
      <c r="M249" s="344">
        <f>'WP Support for Alloc Factors'!$H$28</f>
        <v>12550266</v>
      </c>
      <c r="N249" s="316"/>
      <c r="O249" s="316"/>
      <c r="P249" s="316"/>
      <c r="Q249" s="316"/>
      <c r="R249" s="316"/>
      <c r="S249" s="316"/>
    </row>
    <row r="250" spans="1:20" ht="16.5" thickBot="1">
      <c r="A250" s="290">
        <v>15</v>
      </c>
      <c r="B250" s="296" t="s">
        <v>787</v>
      </c>
      <c r="C250" s="217" t="s">
        <v>788</v>
      </c>
      <c r="D250" s="301">
        <f>L250+M250</f>
        <v>19888794</v>
      </c>
      <c r="E250" s="393">
        <v>0</v>
      </c>
      <c r="F250" s="393"/>
      <c r="G250" s="302">
        <f>D250*E250</f>
        <v>0</v>
      </c>
      <c r="H250" s="217"/>
      <c r="I250" s="292" t="s">
        <v>789</v>
      </c>
      <c r="J250" s="293"/>
      <c r="K250" s="297"/>
      <c r="L250" s="345">
        <f>'WP Support for Alloc Factors'!$F$29</f>
        <v>16202190</v>
      </c>
      <c r="M250" s="345">
        <f>'WP Support for Alloc Factors'!$H$29</f>
        <v>3686604</v>
      </c>
    </row>
    <row r="251" spans="1:20">
      <c r="A251" s="290">
        <v>16</v>
      </c>
      <c r="B251" s="296" t="s">
        <v>790</v>
      </c>
      <c r="C251" s="217"/>
      <c r="D251" s="350">
        <f>SUM(D247:D250)</f>
        <v>426098054</v>
      </c>
      <c r="E251" s="217"/>
      <c r="F251" s="217"/>
      <c r="G251" s="217">
        <f>SUM(G247:G250)</f>
        <v>21089297.153049767</v>
      </c>
      <c r="H251" s="331" t="s">
        <v>383</v>
      </c>
      <c r="I251" s="343">
        <f>IF(G251&gt;0,G251/D251,0)</f>
        <v>4.9494000160464867E-2</v>
      </c>
      <c r="J251" s="395" t="s">
        <v>791</v>
      </c>
      <c r="K251" s="297"/>
      <c r="L251" s="217">
        <f>SUM(L247:L250)</f>
        <v>392833490</v>
      </c>
      <c r="M251" s="217">
        <f>SUM(M247:M250)</f>
        <v>33264564</v>
      </c>
      <c r="N251" s="296"/>
      <c r="P251" s="217"/>
      <c r="Q251" s="296"/>
    </row>
    <row r="252" spans="1:20">
      <c r="A252" s="290"/>
      <c r="B252" s="296"/>
      <c r="C252" s="217"/>
      <c r="D252" s="217"/>
      <c r="E252" s="217"/>
      <c r="F252" s="217"/>
      <c r="G252" s="217"/>
      <c r="H252" s="217"/>
      <c r="I252" s="217"/>
    </row>
    <row r="253" spans="1:20">
      <c r="A253" s="290"/>
      <c r="B253" s="296" t="s">
        <v>792</v>
      </c>
      <c r="C253" s="217"/>
      <c r="D253" s="217"/>
      <c r="E253" s="217"/>
      <c r="F253" s="217"/>
      <c r="G253" s="217"/>
      <c r="H253" s="217"/>
      <c r="I253" s="217"/>
      <c r="J253" s="217"/>
      <c r="K253" s="297"/>
    </row>
    <row r="254" spans="1:20">
      <c r="A254" s="290"/>
      <c r="B254" s="296"/>
      <c r="C254" s="217"/>
      <c r="D254" s="335" t="s">
        <v>780</v>
      </c>
      <c r="E254" s="217"/>
      <c r="F254" s="217"/>
      <c r="G254" s="357" t="s">
        <v>793</v>
      </c>
      <c r="H254" s="372" t="s">
        <v>133</v>
      </c>
      <c r="I254" s="347" t="str">
        <f>+I249</f>
        <v>W&amp;S Allocator</v>
      </c>
      <c r="J254" s="347"/>
      <c r="K254" s="297"/>
    </row>
    <row r="255" spans="1:20">
      <c r="A255" s="290">
        <v>17</v>
      </c>
      <c r="B255" s="296" t="s">
        <v>794</v>
      </c>
      <c r="C255" s="217" t="s">
        <v>795</v>
      </c>
      <c r="D255" s="301">
        <f>L255+M255</f>
        <v>14034010266</v>
      </c>
      <c r="E255" s="217"/>
      <c r="G255" s="290" t="s">
        <v>796</v>
      </c>
      <c r="H255" s="396"/>
      <c r="I255" s="290" t="s">
        <v>797</v>
      </c>
      <c r="J255" s="290"/>
      <c r="K255" s="334" t="s">
        <v>541</v>
      </c>
      <c r="L255" s="344">
        <f>'WP Support for Alloc Factors'!$F$35</f>
        <v>12282791522</v>
      </c>
      <c r="M255" s="344">
        <f>'WP Support for Alloc Factors'!$H$35</f>
        <v>1751218744</v>
      </c>
    </row>
    <row r="256" spans="1:20">
      <c r="A256" s="290">
        <v>18</v>
      </c>
      <c r="B256" s="296" t="s">
        <v>798</v>
      </c>
      <c r="C256" s="217" t="s">
        <v>799</v>
      </c>
      <c r="D256" s="301">
        <f>L256+M256</f>
        <v>1247863084</v>
      </c>
      <c r="E256" s="217"/>
      <c r="G256" s="299">
        <f>IF(D258&gt;0,D255/D258,0)</f>
        <v>0.91834357899583041</v>
      </c>
      <c r="H256" s="357" t="s">
        <v>254</v>
      </c>
      <c r="I256" s="299">
        <f>I251</f>
        <v>4.9494000160464867E-2</v>
      </c>
      <c r="J256" s="397" t="s">
        <v>383</v>
      </c>
      <c r="K256" s="306">
        <f>I256*G256</f>
        <v>4.5452497246181507E-2</v>
      </c>
      <c r="L256" s="344">
        <f>'WP Support for Alloc Factors'!$F$36</f>
        <v>1020907484</v>
      </c>
      <c r="M256" s="344">
        <f>'WP Support for Alloc Factors'!$H$36</f>
        <v>226955600</v>
      </c>
    </row>
    <row r="257" spans="1:13" ht="16.5" thickBot="1">
      <c r="A257" s="290">
        <v>19</v>
      </c>
      <c r="B257" s="398" t="s">
        <v>800</v>
      </c>
      <c r="C257" s="302" t="s">
        <v>801</v>
      </c>
      <c r="D257" s="301">
        <f>L257+M257</f>
        <v>0</v>
      </c>
      <c r="E257" s="217"/>
      <c r="F257" s="217"/>
      <c r="G257" s="217" t="s">
        <v>133</v>
      </c>
      <c r="H257" s="217"/>
      <c r="I257" s="399"/>
      <c r="J257" s="399"/>
      <c r="L257" s="345">
        <f>'WP Support for Alloc Factors'!$F$37</f>
        <v>0</v>
      </c>
      <c r="M257" s="345">
        <f>'WP Support for Alloc Factors'!$H$37</f>
        <v>0</v>
      </c>
    </row>
    <row r="258" spans="1:13">
      <c r="A258" s="290">
        <v>20</v>
      </c>
      <c r="B258" s="296" t="s">
        <v>802</v>
      </c>
      <c r="C258" s="217"/>
      <c r="D258" s="350">
        <f>D255+D256+D257</f>
        <v>15281873350</v>
      </c>
      <c r="E258" s="217"/>
      <c r="F258" s="217"/>
      <c r="G258" s="217"/>
      <c r="H258" s="217"/>
      <c r="I258" s="217"/>
      <c r="J258" s="217"/>
      <c r="K258" s="297"/>
      <c r="L258" s="217">
        <f>L255+L256+L257</f>
        <v>13303699006</v>
      </c>
      <c r="M258" s="217">
        <f>M255+M256+M257</f>
        <v>1978174344</v>
      </c>
    </row>
    <row r="259" spans="1:13" ht="11.25" customHeight="1">
      <c r="A259" s="290"/>
      <c r="B259" s="296"/>
      <c r="C259" s="217"/>
      <c r="E259" s="217"/>
      <c r="F259" s="217"/>
      <c r="G259" s="217"/>
      <c r="H259" s="217"/>
      <c r="I259" s="217"/>
      <c r="J259" s="217"/>
      <c r="K259" s="297"/>
    </row>
    <row r="260" spans="1:13" ht="16.5" thickBot="1">
      <c r="A260" s="290"/>
      <c r="B260" s="281" t="s">
        <v>803</v>
      </c>
      <c r="C260" s="217"/>
      <c r="D260" s="217"/>
      <c r="E260" s="217"/>
      <c r="F260" s="217"/>
      <c r="G260" s="217"/>
      <c r="H260" s="217"/>
      <c r="I260" s="392" t="s">
        <v>780</v>
      </c>
      <c r="J260" s="400"/>
      <c r="K260" s="297"/>
      <c r="L260" s="296"/>
    </row>
    <row r="261" spans="1:13">
      <c r="A261" s="290">
        <v>21</v>
      </c>
      <c r="B261" s="283"/>
      <c r="C261" s="217" t="s">
        <v>804</v>
      </c>
      <c r="D261" s="217"/>
      <c r="E261" s="217"/>
      <c r="F261" s="217"/>
      <c r="G261" s="217"/>
      <c r="H261" s="217"/>
      <c r="I261" s="301">
        <f>L261+M261</f>
        <v>210170396</v>
      </c>
      <c r="J261" s="297"/>
      <c r="K261" s="297"/>
      <c r="L261" s="401">
        <f>'WP Capital Structure'!$F$12</f>
        <v>183390157</v>
      </c>
      <c r="M261" s="401">
        <f>'WP Capital Structure'!$H$12</f>
        <v>26780239</v>
      </c>
    </row>
    <row r="262" spans="1:13" ht="11.25" customHeight="1">
      <c r="A262" s="290"/>
      <c r="B262" s="296"/>
      <c r="C262" s="217"/>
      <c r="D262" s="217"/>
      <c r="E262" s="217"/>
      <c r="F262" s="217"/>
      <c r="G262" s="217"/>
      <c r="H262" s="217"/>
      <c r="I262" s="217"/>
      <c r="J262" s="297"/>
      <c r="K262" s="297"/>
      <c r="L262" s="402"/>
      <c r="M262" s="402"/>
    </row>
    <row r="263" spans="1:13">
      <c r="A263" s="290">
        <v>22</v>
      </c>
      <c r="B263" s="281"/>
      <c r="C263" s="217" t="s">
        <v>805</v>
      </c>
      <c r="D263" s="217"/>
      <c r="E263" s="217"/>
      <c r="F263" s="217"/>
      <c r="G263" s="217"/>
      <c r="H263" s="297"/>
      <c r="I263" s="403">
        <f>L263+M263</f>
        <v>0</v>
      </c>
      <c r="J263" s="404"/>
      <c r="K263" s="297"/>
      <c r="L263" s="401">
        <v>0</v>
      </c>
      <c r="M263" s="401">
        <v>0</v>
      </c>
    </row>
    <row r="264" spans="1:13" ht="11.25" customHeight="1">
      <c r="A264" s="290"/>
      <c r="B264" s="281"/>
      <c r="C264" s="217"/>
      <c r="D264" s="217"/>
      <c r="E264" s="217"/>
      <c r="F264" s="217"/>
      <c r="G264" s="217"/>
      <c r="H264" s="217"/>
      <c r="I264" s="217"/>
      <c r="J264" s="297"/>
      <c r="K264" s="297"/>
      <c r="L264" s="217"/>
      <c r="M264" s="217"/>
    </row>
    <row r="265" spans="1:13">
      <c r="A265" s="290"/>
      <c r="B265" s="281" t="s">
        <v>806</v>
      </c>
      <c r="C265" s="217"/>
      <c r="D265" s="217"/>
      <c r="E265" s="217"/>
      <c r="F265" s="217"/>
      <c r="G265" s="217"/>
      <c r="H265" s="217"/>
      <c r="I265" s="217"/>
      <c r="J265" s="297"/>
      <c r="K265" s="297"/>
      <c r="L265" s="217"/>
      <c r="M265" s="217"/>
    </row>
    <row r="266" spans="1:13">
      <c r="A266" s="290">
        <v>23</v>
      </c>
      <c r="B266" s="281"/>
      <c r="C266" s="217" t="s">
        <v>807</v>
      </c>
      <c r="D266" s="283"/>
      <c r="E266" s="217"/>
      <c r="F266" s="217"/>
      <c r="G266" s="217"/>
      <c r="H266" s="217"/>
      <c r="I266" s="301">
        <f>L266+M266</f>
        <v>5085075263</v>
      </c>
      <c r="J266" s="297"/>
      <c r="K266" s="297"/>
      <c r="L266" s="344">
        <f>'WP Capital Structure'!$F$17</f>
        <v>4480793973</v>
      </c>
      <c r="M266" s="344">
        <f>'WP Capital Structure'!$H$17</f>
        <v>604281290</v>
      </c>
    </row>
    <row r="267" spans="1:13">
      <c r="A267" s="290">
        <v>24</v>
      </c>
      <c r="B267" s="281"/>
      <c r="C267" s="217" t="s">
        <v>808</v>
      </c>
      <c r="D267" s="217"/>
      <c r="E267" s="217"/>
      <c r="F267" s="217"/>
      <c r="G267" s="217"/>
      <c r="H267" s="217"/>
      <c r="I267" s="405">
        <f>L267+M267</f>
        <v>0</v>
      </c>
      <c r="J267" s="405"/>
      <c r="K267" s="297"/>
      <c r="L267" s="405">
        <f>'WP Capital Structure'!$F$18</f>
        <v>0</v>
      </c>
      <c r="M267" s="405">
        <f>'WP Capital Structure'!$H$18</f>
        <v>0</v>
      </c>
    </row>
    <row r="268" spans="1:13" ht="16.5" thickBot="1">
      <c r="A268" s="290">
        <v>25</v>
      </c>
      <c r="B268" s="281"/>
      <c r="C268" s="217" t="s">
        <v>809</v>
      </c>
      <c r="D268" s="217"/>
      <c r="E268" s="217"/>
      <c r="F268" s="217"/>
      <c r="G268" s="217"/>
      <c r="H268" s="217"/>
      <c r="I268" s="309">
        <f>L268+M268</f>
        <v>172617</v>
      </c>
      <c r="J268" s="308"/>
      <c r="K268" s="297"/>
      <c r="L268" s="354">
        <f>'WP Capital Structure'!$F$19</f>
        <v>2570659</v>
      </c>
      <c r="M268" s="354">
        <f>'WP Capital Structure'!$H$19</f>
        <v>-2398042</v>
      </c>
    </row>
    <row r="269" spans="1:13" s="316" customFormat="1">
      <c r="A269" s="293">
        <v>26</v>
      </c>
      <c r="B269" s="406"/>
      <c r="C269" s="303" t="s">
        <v>123</v>
      </c>
      <c r="D269" s="406" t="s">
        <v>810</v>
      </c>
      <c r="E269" s="406"/>
      <c r="F269" s="406"/>
      <c r="G269" s="394" t="s">
        <v>166</v>
      </c>
      <c r="H269" s="406"/>
      <c r="I269" s="303">
        <f>+I266+I267+I268</f>
        <v>5085247880</v>
      </c>
      <c r="J269" s="303"/>
      <c r="K269" s="308"/>
      <c r="L269" s="217">
        <f>+L266+L267+L268</f>
        <v>4483364632</v>
      </c>
      <c r="M269" s="217">
        <f>+M266+M267+M268</f>
        <v>601883248</v>
      </c>
    </row>
    <row r="270" spans="1:13" ht="16.5" thickBot="1">
      <c r="A270" s="290"/>
      <c r="B270" s="296"/>
      <c r="C270" s="217"/>
      <c r="D270" s="292" t="s">
        <v>780</v>
      </c>
      <c r="E270" s="292" t="s">
        <v>811</v>
      </c>
      <c r="F270" s="217"/>
      <c r="G270" s="292" t="s">
        <v>812</v>
      </c>
      <c r="H270" s="217"/>
      <c r="I270" s="292" t="s">
        <v>165</v>
      </c>
      <c r="J270" s="293"/>
      <c r="K270" s="297"/>
    </row>
    <row r="271" spans="1:13">
      <c r="A271" s="290">
        <v>27</v>
      </c>
      <c r="B271" s="281" t="s">
        <v>813</v>
      </c>
      <c r="D271" s="301">
        <f>L271+M271</f>
        <v>4369205161</v>
      </c>
      <c r="E271" s="407">
        <f>IF($D$274&gt;0,D271/$D$274,0)</f>
        <v>0.46213198606546446</v>
      </c>
      <c r="F271" s="408"/>
      <c r="G271" s="408">
        <f>IF(D271&gt;0,I261/D271,0)</f>
        <v>4.8102661297758177E-2</v>
      </c>
      <c r="I271" s="408">
        <f>G271*E271</f>
        <v>2.2229778400567338E-2</v>
      </c>
      <c r="J271" s="409" t="s">
        <v>814</v>
      </c>
      <c r="K271" s="297"/>
      <c r="L271" s="344">
        <f>'WP Capital Structure'!$F$11</f>
        <v>3900047711</v>
      </c>
      <c r="M271" s="344">
        <f>'WP Capital Structure'!$H$11</f>
        <v>469157450</v>
      </c>
    </row>
    <row r="272" spans="1:13">
      <c r="A272" s="290">
        <v>28</v>
      </c>
      <c r="B272" s="281" t="s">
        <v>815</v>
      </c>
      <c r="D272" s="301">
        <f>L272+M272</f>
        <v>0</v>
      </c>
      <c r="E272" s="407">
        <f>IF($D$274&gt;0,D272/$D$274,0)</f>
        <v>0</v>
      </c>
      <c r="F272" s="408"/>
      <c r="G272" s="408">
        <f>IF(D272&gt;0,I263/D272,0)</f>
        <v>0</v>
      </c>
      <c r="I272" s="408">
        <f>G272*E272</f>
        <v>0</v>
      </c>
      <c r="L272" s="344">
        <v>0</v>
      </c>
      <c r="M272" s="344">
        <v>0</v>
      </c>
    </row>
    <row r="273" spans="1:14" ht="16.5" thickBot="1">
      <c r="A273" s="290">
        <v>29</v>
      </c>
      <c r="B273" s="281" t="s">
        <v>816</v>
      </c>
      <c r="D273" s="302">
        <f>I269</f>
        <v>5085247880</v>
      </c>
      <c r="E273" s="407">
        <f>IF($D$274&gt;0,D273/$D$274,0)</f>
        <v>0.53786801393453554</v>
      </c>
      <c r="F273" s="408"/>
      <c r="G273" s="410">
        <v>0.12379999999999999</v>
      </c>
      <c r="I273" s="411">
        <f>G273*E273</f>
        <v>6.6588060125095494E-2</v>
      </c>
      <c r="J273" s="412"/>
    </row>
    <row r="274" spans="1:14">
      <c r="A274" s="290">
        <v>30</v>
      </c>
      <c r="B274" s="296" t="s">
        <v>817</v>
      </c>
      <c r="D274" s="217">
        <f>D273+D272+D271</f>
        <v>9454453041</v>
      </c>
      <c r="E274" s="217" t="s">
        <v>133</v>
      </c>
      <c r="F274" s="217"/>
      <c r="G274" s="217"/>
      <c r="H274" s="217"/>
      <c r="I274" s="408">
        <f>SUM(I271:I273)</f>
        <v>8.8817838525662829E-2</v>
      </c>
      <c r="J274" s="409" t="s">
        <v>818</v>
      </c>
      <c r="N274" s="346"/>
    </row>
    <row r="275" spans="1:14" ht="11.25" customHeight="1">
      <c r="E275" s="217"/>
      <c r="F275" s="217"/>
      <c r="G275" s="217"/>
      <c r="H275" s="217"/>
    </row>
    <row r="276" spans="1:14" ht="16.5" thickBot="1">
      <c r="A276" s="290"/>
      <c r="B276" s="281" t="s">
        <v>819</v>
      </c>
      <c r="C276" s="283"/>
      <c r="D276" s="283"/>
      <c r="E276" s="283"/>
      <c r="F276" s="283"/>
      <c r="G276" s="283"/>
      <c r="H276" s="283"/>
      <c r="I276" s="292" t="s">
        <v>229</v>
      </c>
      <c r="J276" s="413"/>
    </row>
    <row r="277" spans="1:14" s="287" customFormat="1" ht="11.25" customHeight="1">
      <c r="A277" s="305"/>
      <c r="B277" s="356"/>
      <c r="C277" s="356"/>
      <c r="D277" s="356"/>
      <c r="E277" s="356"/>
      <c r="F277" s="356"/>
      <c r="G277" s="356"/>
      <c r="H277" s="356"/>
      <c r="K277" s="314"/>
    </row>
    <row r="278" spans="1:14">
      <c r="A278" s="290"/>
      <c r="B278" s="281" t="s">
        <v>820</v>
      </c>
      <c r="C278" s="283"/>
      <c r="D278" s="283" t="s">
        <v>821</v>
      </c>
      <c r="E278" s="283" t="s">
        <v>822</v>
      </c>
      <c r="F278" s="283"/>
      <c r="G278" s="414" t="s">
        <v>133</v>
      </c>
      <c r="H278" s="370"/>
      <c r="I278" s="415"/>
      <c r="J278" s="415"/>
    </row>
    <row r="279" spans="1:14">
      <c r="A279" s="290">
        <v>31</v>
      </c>
      <c r="B279" s="280" t="s">
        <v>823</v>
      </c>
      <c r="C279" s="283"/>
      <c r="D279" s="283"/>
      <c r="F279" s="283"/>
      <c r="H279" s="370"/>
      <c r="I279" s="416">
        <f>L279+M279</f>
        <v>1816105</v>
      </c>
      <c r="J279" s="417"/>
      <c r="L279" s="344">
        <f>'WP Revenue Credits-Rev 2'!$F$11</f>
        <v>1816105</v>
      </c>
      <c r="M279" s="344">
        <f>'WP Revenue Credits-Rev 2'!$H$11</f>
        <v>0</v>
      </c>
    </row>
    <row r="280" spans="1:14" ht="16.5" thickBot="1">
      <c r="A280" s="290">
        <v>32</v>
      </c>
      <c r="B280" s="359" t="s">
        <v>824</v>
      </c>
      <c r="C280" s="418"/>
      <c r="D280" s="316"/>
      <c r="E280" s="406"/>
      <c r="F280" s="406"/>
      <c r="G280" s="406"/>
      <c r="H280" s="283"/>
      <c r="I280" s="419">
        <f>L280+M280</f>
        <v>1816105</v>
      </c>
      <c r="J280" s="417"/>
      <c r="L280" s="344">
        <f>'WP Revenue Credits-Rev 2'!$F$12</f>
        <v>1816105</v>
      </c>
      <c r="M280" s="344">
        <f>'WP Revenue Credits-Rev 2'!$H$12</f>
        <v>0</v>
      </c>
    </row>
    <row r="281" spans="1:14">
      <c r="A281" s="290">
        <v>33</v>
      </c>
      <c r="B281" s="280" t="s">
        <v>825</v>
      </c>
      <c r="C281" s="288"/>
      <c r="E281" s="283"/>
      <c r="F281" s="283"/>
      <c r="G281" s="283"/>
      <c r="H281" s="283"/>
      <c r="I281" s="420">
        <f>+I279-I280</f>
        <v>0</v>
      </c>
      <c r="J281" s="420"/>
      <c r="L281" s="344"/>
      <c r="M281" s="344"/>
      <c r="N281" s="287"/>
    </row>
    <row r="282" spans="1:14" s="287" customFormat="1" ht="11.25" customHeight="1">
      <c r="A282" s="305"/>
      <c r="B282" s="287" t="s">
        <v>133</v>
      </c>
      <c r="C282" s="286"/>
      <c r="E282" s="314"/>
      <c r="F282" s="314"/>
      <c r="G282" s="327"/>
      <c r="H282" s="314"/>
      <c r="I282" s="421" t="s">
        <v>133</v>
      </c>
      <c r="J282" s="421"/>
      <c r="L282" s="344"/>
      <c r="M282" s="344"/>
      <c r="N282" s="280"/>
    </row>
    <row r="283" spans="1:14">
      <c r="A283" s="290">
        <v>34</v>
      </c>
      <c r="B283" s="281" t="s">
        <v>826</v>
      </c>
      <c r="C283" s="288"/>
      <c r="E283" s="283"/>
      <c r="F283" s="283"/>
      <c r="G283" s="422"/>
      <c r="H283" s="283"/>
      <c r="I283" s="423">
        <f>L283+M283</f>
        <v>831810.58</v>
      </c>
      <c r="J283" s="424"/>
      <c r="K283" s="425"/>
      <c r="L283" s="344">
        <f>'WP Revenue Credits-Rev 2'!$F$18</f>
        <v>831810.58</v>
      </c>
      <c r="M283" s="344">
        <f>'WP Revenue Credits-Rev 2'!$H$18</f>
        <v>0</v>
      </c>
      <c r="N283" s="426"/>
    </row>
    <row r="284" spans="1:14" s="287" customFormat="1" ht="11.25" customHeight="1">
      <c r="A284" s="305"/>
      <c r="C284" s="314"/>
      <c r="D284" s="314"/>
      <c r="E284" s="314"/>
      <c r="F284" s="314"/>
      <c r="G284" s="314"/>
      <c r="H284" s="314"/>
      <c r="I284" s="421"/>
      <c r="J284" s="421"/>
      <c r="K284" s="425"/>
      <c r="L284" s="344"/>
      <c r="M284" s="344"/>
      <c r="N284" s="280"/>
    </row>
    <row r="285" spans="1:14">
      <c r="B285" s="281" t="s">
        <v>827</v>
      </c>
      <c r="C285" s="283"/>
      <c r="D285" s="283" t="s">
        <v>828</v>
      </c>
      <c r="E285" s="283"/>
      <c r="F285" s="283"/>
      <c r="G285" s="283"/>
      <c r="H285" s="283"/>
      <c r="J285" s="287"/>
      <c r="K285" s="425"/>
      <c r="L285" s="344"/>
      <c r="M285" s="344"/>
    </row>
    <row r="286" spans="1:14">
      <c r="A286" s="290">
        <v>35</v>
      </c>
      <c r="B286" s="281" t="s">
        <v>829</v>
      </c>
      <c r="C286" s="217"/>
      <c r="D286" s="217"/>
      <c r="E286" s="217"/>
      <c r="F286" s="217"/>
      <c r="G286" s="217"/>
      <c r="H286" s="217"/>
      <c r="I286" s="427">
        <f>L286+M286</f>
        <v>160278684.59893948</v>
      </c>
      <c r="J286" s="428"/>
      <c r="K286" s="429"/>
      <c r="L286" s="344">
        <f>'WP Revenue Credits-Rev 2'!$F$22</f>
        <v>160278684.59893948</v>
      </c>
      <c r="M286" s="344">
        <f>'WP Revenue Credits-Rev 2'!$H$22</f>
        <v>0</v>
      </c>
    </row>
    <row r="287" spans="1:14">
      <c r="A287" s="290">
        <v>36</v>
      </c>
      <c r="B287" s="430" t="s">
        <v>830</v>
      </c>
      <c r="C287" s="406"/>
      <c r="D287" s="406"/>
      <c r="E287" s="406"/>
      <c r="F287" s="406"/>
      <c r="G287" s="283"/>
      <c r="H287" s="283"/>
      <c r="I287" s="427">
        <f>L287+M287</f>
        <v>70487229.5</v>
      </c>
      <c r="J287" s="428"/>
      <c r="K287" s="429"/>
      <c r="L287" s="344">
        <f>'WP Revenue Credits-Rev 2'!$F$23</f>
        <v>70487229.5</v>
      </c>
      <c r="M287" s="344">
        <f>'WP Revenue Credits-Rev 2'!$H$23</f>
        <v>0</v>
      </c>
    </row>
    <row r="288" spans="1:14">
      <c r="A288" s="290" t="s">
        <v>831</v>
      </c>
      <c r="B288" s="430" t="s">
        <v>832</v>
      </c>
      <c r="C288" s="406"/>
      <c r="D288" s="406"/>
      <c r="E288" s="406"/>
      <c r="F288" s="406"/>
      <c r="G288" s="283"/>
      <c r="H288" s="283"/>
      <c r="I288" s="427">
        <f>L288+M288</f>
        <v>33892605.238939486</v>
      </c>
      <c r="J288" s="428"/>
      <c r="K288" s="429"/>
      <c r="L288" s="344">
        <f>'WP Revenue Credits-Rev 2'!$F$25</f>
        <v>33892605.238939486</v>
      </c>
      <c r="M288" s="344">
        <f>'WP Revenue Credits-Rev 2'!$H$25</f>
        <v>0</v>
      </c>
    </row>
    <row r="289" spans="1:13" ht="16.5" thickBot="1">
      <c r="A289" s="290" t="s">
        <v>833</v>
      </c>
      <c r="B289" s="431" t="s">
        <v>834</v>
      </c>
      <c r="C289" s="432"/>
      <c r="D289" s="406"/>
      <c r="E289" s="406"/>
      <c r="F289" s="406"/>
      <c r="G289" s="283"/>
      <c r="H289" s="283"/>
      <c r="I289" s="433">
        <f>L289+M289</f>
        <v>27612949</v>
      </c>
      <c r="J289" s="428"/>
      <c r="K289" s="434"/>
      <c r="L289" s="344">
        <f>'WP Revenue Credits-Rev 2'!$F$26</f>
        <v>27612949</v>
      </c>
      <c r="M289" s="344">
        <f>'WP Revenue Credits-Rev 2'!$H$26</f>
        <v>0</v>
      </c>
    </row>
    <row r="290" spans="1:13">
      <c r="A290" s="290">
        <v>37</v>
      </c>
      <c r="B290" s="435" t="s">
        <v>835</v>
      </c>
      <c r="C290" s="290"/>
      <c r="D290" s="217"/>
      <c r="E290" s="217"/>
      <c r="F290" s="217"/>
      <c r="G290" s="217"/>
      <c r="H290" s="283"/>
      <c r="I290" s="436">
        <f>+I286-I287-I288-I289</f>
        <v>28285900.859999992</v>
      </c>
      <c r="J290" s="436"/>
      <c r="K290" s="434"/>
    </row>
    <row r="291" spans="1:13">
      <c r="A291" s="290"/>
      <c r="B291" s="435"/>
      <c r="C291" s="290"/>
      <c r="D291" s="217"/>
      <c r="E291" s="217"/>
      <c r="F291" s="217"/>
      <c r="G291" s="217"/>
      <c r="H291" s="283"/>
      <c r="I291" s="436"/>
      <c r="J291" s="436"/>
      <c r="K291" s="437"/>
    </row>
    <row r="292" spans="1:13">
      <c r="A292" s="290"/>
      <c r="B292" s="435"/>
      <c r="C292" s="290"/>
      <c r="D292" s="217"/>
      <c r="E292" s="217"/>
      <c r="F292" s="217"/>
      <c r="G292" s="217"/>
      <c r="H292" s="283"/>
      <c r="I292" s="436"/>
      <c r="J292" s="436"/>
      <c r="K292" s="437"/>
    </row>
    <row r="293" spans="1:13">
      <c r="A293" s="290"/>
      <c r="B293" s="435"/>
      <c r="C293" s="290"/>
      <c r="D293" s="217"/>
      <c r="E293" s="217"/>
      <c r="F293" s="217"/>
      <c r="G293" s="217"/>
      <c r="H293" s="283"/>
      <c r="I293" s="436"/>
      <c r="J293" s="436"/>
      <c r="K293" s="437"/>
    </row>
    <row r="294" spans="1:13">
      <c r="A294" s="290"/>
      <c r="B294" s="435"/>
      <c r="C294" s="290"/>
      <c r="D294" s="217"/>
      <c r="E294" s="217"/>
      <c r="F294" s="217"/>
      <c r="G294" s="217"/>
      <c r="H294" s="283"/>
      <c r="I294" s="436"/>
      <c r="J294" s="436"/>
      <c r="K294" s="437"/>
    </row>
    <row r="295" spans="1:13">
      <c r="A295" s="438"/>
      <c r="B295" s="439"/>
      <c r="C295" s="439"/>
      <c r="D295" s="439"/>
      <c r="E295" s="439"/>
      <c r="F295" s="439"/>
      <c r="G295" s="439"/>
      <c r="H295" s="439"/>
      <c r="I295" s="439"/>
      <c r="J295" s="439"/>
      <c r="K295" s="379"/>
    </row>
    <row r="296" spans="1:13">
      <c r="A296" s="439"/>
      <c r="B296" s="439"/>
      <c r="C296" s="439"/>
      <c r="D296" s="439"/>
      <c r="E296" s="439"/>
      <c r="F296" s="439"/>
      <c r="G296" s="439"/>
      <c r="H296" s="439"/>
      <c r="I296" s="439"/>
      <c r="J296" s="439"/>
      <c r="K296" s="439"/>
    </row>
    <row r="297" spans="1:13">
      <c r="B297" s="281"/>
      <c r="C297" s="281"/>
      <c r="D297" s="282"/>
      <c r="E297" s="281"/>
      <c r="F297" s="281"/>
      <c r="G297" s="281"/>
      <c r="H297" s="283"/>
      <c r="I297" s="283"/>
      <c r="J297" s="283"/>
      <c r="K297" s="329" t="s">
        <v>836</v>
      </c>
    </row>
    <row r="298" spans="1:13">
      <c r="B298" s="281" t="s">
        <v>443</v>
      </c>
      <c r="C298" s="281"/>
      <c r="D298" s="282" t="s">
        <v>444</v>
      </c>
      <c r="E298" s="281"/>
      <c r="F298" s="281"/>
      <c r="G298" s="281"/>
      <c r="H298" s="283"/>
      <c r="K298" s="284" t="s">
        <v>837</v>
      </c>
    </row>
    <row r="299" spans="1:13">
      <c r="B299" s="281"/>
      <c r="C299" s="217" t="s">
        <v>133</v>
      </c>
      <c r="D299" s="217" t="s">
        <v>446</v>
      </c>
      <c r="E299" s="217"/>
      <c r="F299" s="217"/>
      <c r="G299" s="217"/>
      <c r="H299" s="283"/>
      <c r="I299" s="283"/>
      <c r="J299" s="283"/>
      <c r="K299" s="286"/>
    </row>
    <row r="300" spans="1:13" ht="7.5" customHeight="1">
      <c r="A300" s="290"/>
      <c r="B300" s="435"/>
      <c r="C300" s="290"/>
      <c r="D300" s="217"/>
      <c r="E300" s="217"/>
      <c r="F300" s="217"/>
      <c r="G300" s="217"/>
      <c r="H300" s="283"/>
      <c r="I300" s="440"/>
      <c r="J300" s="440"/>
      <c r="K300" s="286"/>
    </row>
    <row r="301" spans="1:13">
      <c r="A301" s="542" t="str">
        <f>A6</f>
        <v>Northern States Power Companies</v>
      </c>
      <c r="B301" s="542"/>
      <c r="C301" s="542"/>
      <c r="D301" s="542"/>
      <c r="E301" s="542"/>
      <c r="F301" s="542"/>
      <c r="G301" s="542"/>
      <c r="H301" s="542"/>
      <c r="I301" s="542"/>
      <c r="J301" s="542"/>
      <c r="K301" s="542"/>
    </row>
    <row r="302" spans="1:13" ht="6" customHeight="1">
      <c r="A302" s="290"/>
      <c r="B302" s="435"/>
      <c r="C302" s="290"/>
      <c r="D302" s="217"/>
      <c r="E302" s="217"/>
      <c r="F302" s="217"/>
      <c r="G302" s="217"/>
      <c r="H302" s="283"/>
      <c r="I302" s="440"/>
      <c r="J302" s="440"/>
      <c r="K302" s="437"/>
    </row>
    <row r="303" spans="1:13">
      <c r="A303" s="290"/>
      <c r="B303" s="281" t="s">
        <v>838</v>
      </c>
      <c r="C303" s="290"/>
      <c r="D303" s="217"/>
      <c r="E303" s="217"/>
      <c r="F303" s="217"/>
      <c r="G303" s="217"/>
      <c r="H303" s="283"/>
      <c r="I303" s="217"/>
      <c r="J303" s="217"/>
      <c r="K303" s="437"/>
    </row>
    <row r="304" spans="1:13">
      <c r="A304" s="290"/>
      <c r="B304" s="441" t="s">
        <v>839</v>
      </c>
      <c r="C304" s="290"/>
      <c r="D304" s="217"/>
      <c r="E304" s="217"/>
      <c r="F304" s="217"/>
      <c r="G304" s="217"/>
      <c r="H304" s="283"/>
      <c r="I304" s="217"/>
      <c r="J304" s="217"/>
      <c r="K304" s="297"/>
    </row>
    <row r="305" spans="1:11">
      <c r="A305" s="290" t="s">
        <v>840</v>
      </c>
      <c r="B305" s="281"/>
      <c r="C305" s="283"/>
      <c r="D305" s="217"/>
      <c r="E305" s="217"/>
      <c r="F305" s="217"/>
      <c r="G305" s="217"/>
      <c r="H305" s="283"/>
      <c r="I305" s="217"/>
      <c r="J305" s="217"/>
      <c r="K305" s="297"/>
    </row>
    <row r="306" spans="1:11" ht="16.5" thickBot="1">
      <c r="A306" s="292" t="s">
        <v>841</v>
      </c>
      <c r="B306" s="281"/>
      <c r="C306" s="283"/>
      <c r="D306" s="217"/>
      <c r="E306" s="217"/>
      <c r="F306" s="217"/>
      <c r="G306" s="217"/>
      <c r="H306" s="283"/>
      <c r="I306" s="217"/>
      <c r="J306" s="217"/>
      <c r="K306" s="297"/>
    </row>
    <row r="307" spans="1:11">
      <c r="A307" s="290" t="s">
        <v>842</v>
      </c>
      <c r="B307" s="356" t="s">
        <v>843</v>
      </c>
      <c r="C307" s="314"/>
      <c r="D307" s="297"/>
      <c r="E307" s="297"/>
      <c r="F307" s="297"/>
      <c r="G307" s="297"/>
      <c r="H307" s="314"/>
      <c r="I307" s="297"/>
      <c r="J307" s="297"/>
      <c r="K307" s="297"/>
    </row>
    <row r="308" spans="1:11">
      <c r="A308" s="290" t="s">
        <v>844</v>
      </c>
      <c r="B308" s="356" t="s">
        <v>845</v>
      </c>
      <c r="C308" s="314"/>
      <c r="D308" s="297"/>
      <c r="E308" s="297"/>
      <c r="F308" s="297"/>
      <c r="G308" s="297"/>
      <c r="H308" s="314"/>
      <c r="I308" s="297"/>
      <c r="J308" s="297"/>
      <c r="K308" s="297"/>
    </row>
    <row r="309" spans="1:11">
      <c r="A309" s="290" t="s">
        <v>846</v>
      </c>
      <c r="B309" s="356" t="s">
        <v>847</v>
      </c>
      <c r="C309" s="314"/>
      <c r="D309" s="314"/>
      <c r="E309" s="314"/>
      <c r="F309" s="314"/>
      <c r="G309" s="314"/>
      <c r="H309" s="314"/>
      <c r="I309" s="297"/>
      <c r="J309" s="297"/>
      <c r="K309" s="297"/>
    </row>
    <row r="310" spans="1:11">
      <c r="A310" s="290" t="s">
        <v>848</v>
      </c>
      <c r="B310" s="356" t="s">
        <v>849</v>
      </c>
      <c r="C310" s="314"/>
      <c r="D310" s="314"/>
      <c r="E310" s="314"/>
      <c r="F310" s="314"/>
      <c r="G310" s="314"/>
      <c r="H310" s="314"/>
      <c r="I310" s="297"/>
      <c r="J310" s="297"/>
      <c r="K310" s="314"/>
    </row>
    <row r="311" spans="1:11">
      <c r="A311" s="290" t="s">
        <v>850</v>
      </c>
      <c r="B311" s="314" t="s">
        <v>851</v>
      </c>
      <c r="C311" s="314"/>
      <c r="D311" s="314"/>
      <c r="E311" s="314"/>
      <c r="F311" s="314"/>
      <c r="G311" s="314"/>
      <c r="H311" s="314"/>
      <c r="I311" s="314"/>
      <c r="J311" s="314"/>
      <c r="K311" s="314"/>
    </row>
    <row r="312" spans="1:11">
      <c r="A312" s="290" t="s">
        <v>852</v>
      </c>
      <c r="B312" s="314" t="s">
        <v>853</v>
      </c>
      <c r="C312" s="314"/>
      <c r="D312" s="314"/>
      <c r="E312" s="314"/>
      <c r="F312" s="314"/>
      <c r="G312" s="314"/>
      <c r="H312" s="314"/>
      <c r="I312" s="314"/>
      <c r="J312" s="314"/>
      <c r="K312" s="314"/>
    </row>
    <row r="313" spans="1:11">
      <c r="A313" s="290"/>
      <c r="B313" s="314" t="s">
        <v>854</v>
      </c>
      <c r="C313" s="314"/>
      <c r="D313" s="314"/>
      <c r="E313" s="314"/>
      <c r="F313" s="314"/>
      <c r="G313" s="314"/>
      <c r="H313" s="314"/>
      <c r="I313" s="314"/>
      <c r="J313" s="314"/>
      <c r="K313" s="314"/>
    </row>
    <row r="314" spans="1:11">
      <c r="A314" s="290"/>
      <c r="B314" s="314" t="s">
        <v>855</v>
      </c>
      <c r="C314" s="314"/>
      <c r="D314" s="314"/>
      <c r="E314" s="314"/>
      <c r="F314" s="314"/>
      <c r="G314" s="314"/>
      <c r="H314" s="314"/>
      <c r="I314" s="314"/>
      <c r="J314" s="314"/>
      <c r="K314" s="314"/>
    </row>
    <row r="315" spans="1:11">
      <c r="A315" s="290" t="s">
        <v>856</v>
      </c>
      <c r="B315" s="314" t="s">
        <v>857</v>
      </c>
      <c r="C315" s="314"/>
      <c r="D315" s="314"/>
      <c r="E315" s="314"/>
      <c r="F315" s="314"/>
      <c r="G315" s="314"/>
      <c r="H315" s="314"/>
      <c r="I315" s="314"/>
      <c r="J315" s="314"/>
      <c r="K315" s="314"/>
    </row>
    <row r="316" spans="1:11">
      <c r="A316" s="290" t="s">
        <v>858</v>
      </c>
      <c r="B316" s="314" t="s">
        <v>859</v>
      </c>
      <c r="C316" s="314"/>
      <c r="D316" s="314"/>
      <c r="E316" s="314"/>
      <c r="F316" s="314"/>
      <c r="G316" s="314"/>
      <c r="H316" s="314"/>
      <c r="I316" s="314"/>
      <c r="J316" s="314"/>
      <c r="K316" s="314"/>
    </row>
    <row r="317" spans="1:11">
      <c r="A317" s="290"/>
      <c r="B317" s="314" t="s">
        <v>860</v>
      </c>
      <c r="C317" s="314"/>
      <c r="D317" s="314"/>
      <c r="E317" s="314"/>
      <c r="F317" s="314"/>
      <c r="G317" s="314"/>
      <c r="H317" s="314"/>
      <c r="I317" s="314"/>
      <c r="J317" s="314"/>
      <c r="K317" s="314"/>
    </row>
    <row r="318" spans="1:11">
      <c r="A318" s="290" t="s">
        <v>861</v>
      </c>
      <c r="B318" s="314" t="s">
        <v>872</v>
      </c>
      <c r="C318" s="314"/>
      <c r="D318" s="314"/>
      <c r="E318" s="314"/>
      <c r="F318" s="314"/>
      <c r="G318" s="314"/>
      <c r="H318" s="314"/>
      <c r="I318" s="314"/>
      <c r="J318" s="314"/>
      <c r="K318" s="314"/>
    </row>
    <row r="319" spans="1:11">
      <c r="A319" s="290"/>
      <c r="B319" s="287" t="s">
        <v>873</v>
      </c>
      <c r="C319" s="314"/>
      <c r="D319" s="314"/>
      <c r="E319" s="314"/>
      <c r="F319" s="314"/>
      <c r="G319" s="314"/>
      <c r="H319" s="314"/>
      <c r="I319" s="314"/>
      <c r="J319" s="314"/>
      <c r="K319" s="314"/>
    </row>
    <row r="320" spans="1:11">
      <c r="A320" s="290" t="s">
        <v>874</v>
      </c>
      <c r="B320" s="314" t="s">
        <v>875</v>
      </c>
      <c r="C320" s="314"/>
      <c r="D320" s="314"/>
      <c r="E320" s="314"/>
      <c r="F320" s="314"/>
      <c r="G320" s="314"/>
      <c r="H320" s="314"/>
      <c r="I320" s="314"/>
      <c r="J320" s="314"/>
      <c r="K320" s="314"/>
    </row>
    <row r="321" spans="1:11">
      <c r="A321" s="290"/>
      <c r="B321" s="314" t="s">
        <v>876</v>
      </c>
      <c r="C321" s="314"/>
      <c r="D321" s="314"/>
      <c r="E321" s="314"/>
      <c r="F321" s="314"/>
      <c r="G321" s="314"/>
      <c r="H321" s="314"/>
      <c r="I321" s="314"/>
      <c r="J321" s="314"/>
      <c r="K321" s="314"/>
    </row>
    <row r="322" spans="1:11">
      <c r="A322" s="290" t="s">
        <v>877</v>
      </c>
      <c r="B322" s="314" t="s">
        <v>878</v>
      </c>
      <c r="C322" s="314"/>
      <c r="D322" s="314"/>
      <c r="E322" s="314"/>
      <c r="F322" s="314"/>
      <c r="G322" s="314"/>
      <c r="H322" s="314"/>
      <c r="I322" s="314"/>
      <c r="J322" s="314"/>
      <c r="K322" s="314"/>
    </row>
    <row r="323" spans="1:11">
      <c r="A323" s="290"/>
      <c r="B323" s="314" t="s">
        <v>879</v>
      </c>
      <c r="C323" s="314"/>
      <c r="D323" s="314"/>
      <c r="E323" s="314"/>
      <c r="F323" s="314"/>
      <c r="G323" s="314"/>
      <c r="H323" s="314"/>
      <c r="I323" s="314"/>
      <c r="J323" s="314"/>
      <c r="K323" s="314"/>
    </row>
    <row r="324" spans="1:11">
      <c r="A324" s="290"/>
      <c r="B324" s="314" t="s">
        <v>880</v>
      </c>
      <c r="C324" s="314"/>
      <c r="D324" s="314"/>
      <c r="E324" s="314"/>
      <c r="F324" s="314"/>
      <c r="G324" s="314"/>
      <c r="H324" s="314"/>
      <c r="I324" s="314"/>
      <c r="J324" s="314"/>
      <c r="K324" s="314"/>
    </row>
    <row r="325" spans="1:11">
      <c r="A325" s="290"/>
      <c r="B325" s="314" t="s">
        <v>881</v>
      </c>
      <c r="C325" s="314"/>
      <c r="D325" s="314"/>
      <c r="E325" s="314"/>
      <c r="F325" s="314"/>
      <c r="G325" s="314"/>
      <c r="H325" s="314"/>
      <c r="I325" s="314"/>
      <c r="J325" s="314"/>
      <c r="K325" s="314"/>
    </row>
    <row r="326" spans="1:11">
      <c r="A326" s="290" t="s">
        <v>133</v>
      </c>
      <c r="B326" s="314" t="s">
        <v>882</v>
      </c>
      <c r="C326" s="314" t="s">
        <v>883</v>
      </c>
      <c r="D326" s="442">
        <f>'WP Tax Rate Calc'!$C$3</f>
        <v>0.35</v>
      </c>
      <c r="E326" s="314"/>
      <c r="F326" s="314"/>
      <c r="G326" s="314"/>
      <c r="H326" s="314"/>
      <c r="I326" s="314"/>
      <c r="J326" s="314"/>
      <c r="K326" s="314"/>
    </row>
    <row r="327" spans="1:11">
      <c r="A327" s="290"/>
      <c r="B327" s="314"/>
      <c r="C327" s="314" t="s">
        <v>884</v>
      </c>
      <c r="D327" s="442">
        <f>'WP Tax Rate Calc'!$C$9</f>
        <v>9.0247692307692334E-2</v>
      </c>
      <c r="E327" s="535" t="s">
        <v>885</v>
      </c>
      <c r="F327" s="314"/>
      <c r="G327" s="314"/>
      <c r="H327" s="314"/>
      <c r="I327" s="314"/>
      <c r="J327" s="314"/>
      <c r="K327" s="314"/>
    </row>
    <row r="328" spans="1:11">
      <c r="A328" s="290"/>
      <c r="B328" s="314"/>
      <c r="C328" s="314" t="s">
        <v>886</v>
      </c>
      <c r="D328" s="442">
        <v>0</v>
      </c>
      <c r="E328" s="535" t="s">
        <v>887</v>
      </c>
      <c r="F328" s="314"/>
      <c r="G328" s="314"/>
      <c r="H328" s="314"/>
      <c r="I328" s="314"/>
      <c r="J328" s="314"/>
      <c r="K328" s="314"/>
    </row>
    <row r="329" spans="1:11">
      <c r="A329" s="290" t="s">
        <v>888</v>
      </c>
      <c r="B329" s="314" t="s">
        <v>889</v>
      </c>
      <c r="C329" s="314"/>
      <c r="D329" s="314"/>
      <c r="E329" s="314"/>
      <c r="F329" s="314"/>
      <c r="G329" s="314"/>
      <c r="H329" s="314"/>
      <c r="I329" s="443"/>
      <c r="J329" s="443"/>
      <c r="K329" s="314"/>
    </row>
    <row r="330" spans="1:11">
      <c r="A330" s="290" t="s">
        <v>890</v>
      </c>
      <c r="B330" s="314" t="s">
        <v>891</v>
      </c>
      <c r="C330" s="314"/>
      <c r="D330" s="314"/>
      <c r="E330" s="314"/>
      <c r="F330" s="314"/>
      <c r="G330" s="314"/>
      <c r="H330" s="314"/>
      <c r="I330" s="314"/>
      <c r="J330" s="314"/>
      <c r="K330" s="314"/>
    </row>
    <row r="331" spans="1:11">
      <c r="A331" s="290"/>
      <c r="B331" s="314" t="s">
        <v>892</v>
      </c>
      <c r="C331" s="314"/>
      <c r="D331" s="314"/>
      <c r="E331" s="314"/>
      <c r="F331" s="314"/>
      <c r="G331" s="314"/>
      <c r="H331" s="314"/>
      <c r="I331" s="314"/>
      <c r="J331" s="314"/>
      <c r="K331" s="314"/>
    </row>
    <row r="332" spans="1:11">
      <c r="A332" s="290" t="s">
        <v>893</v>
      </c>
      <c r="B332" s="314" t="s">
        <v>894</v>
      </c>
      <c r="C332" s="314"/>
      <c r="D332" s="314"/>
      <c r="E332" s="314"/>
      <c r="F332" s="314"/>
      <c r="G332" s="314"/>
      <c r="H332" s="314"/>
      <c r="I332" s="314"/>
      <c r="J332" s="314"/>
      <c r="K332" s="314"/>
    </row>
    <row r="333" spans="1:11">
      <c r="A333" s="290"/>
      <c r="B333" s="314" t="s">
        <v>895</v>
      </c>
      <c r="C333" s="314"/>
      <c r="D333" s="314"/>
      <c r="E333" s="314"/>
      <c r="F333" s="314"/>
      <c r="G333" s="314"/>
      <c r="H333" s="314"/>
      <c r="I333" s="314"/>
      <c r="J333" s="314"/>
      <c r="K333" s="314"/>
    </row>
    <row r="334" spans="1:11">
      <c r="A334" s="290"/>
      <c r="B334" s="314" t="s">
        <v>896</v>
      </c>
      <c r="C334" s="314"/>
      <c r="D334" s="314"/>
      <c r="E334" s="314"/>
      <c r="F334" s="314"/>
      <c r="G334" s="314"/>
      <c r="H334" s="314"/>
      <c r="I334" s="314"/>
      <c r="J334" s="314"/>
      <c r="K334" s="314"/>
    </row>
    <row r="335" spans="1:11">
      <c r="A335" s="290" t="s">
        <v>897</v>
      </c>
      <c r="B335" s="314" t="s">
        <v>898</v>
      </c>
      <c r="C335" s="314"/>
      <c r="D335" s="314"/>
      <c r="E335" s="314"/>
      <c r="F335" s="314"/>
      <c r="G335" s="314"/>
      <c r="H335" s="314"/>
      <c r="I335" s="314"/>
      <c r="J335" s="314"/>
      <c r="K335" s="314"/>
    </row>
    <row r="336" spans="1:11">
      <c r="A336" s="290" t="s">
        <v>899</v>
      </c>
      <c r="B336" s="314" t="s">
        <v>900</v>
      </c>
      <c r="C336" s="314"/>
      <c r="D336" s="314"/>
      <c r="E336" s="314"/>
      <c r="F336" s="314"/>
      <c r="G336" s="314"/>
      <c r="H336" s="314"/>
      <c r="I336" s="314"/>
      <c r="J336" s="314"/>
      <c r="K336" s="314"/>
    </row>
    <row r="337" spans="1:11">
      <c r="A337" s="290"/>
      <c r="B337" s="314" t="s">
        <v>901</v>
      </c>
      <c r="C337" s="314"/>
      <c r="D337" s="314"/>
      <c r="E337" s="314"/>
      <c r="F337" s="314"/>
      <c r="G337" s="314"/>
      <c r="H337" s="314"/>
      <c r="I337" s="314"/>
      <c r="J337" s="314"/>
      <c r="K337" s="314"/>
    </row>
    <row r="338" spans="1:11">
      <c r="A338" s="290" t="s">
        <v>902</v>
      </c>
      <c r="B338" s="314" t="s">
        <v>903</v>
      </c>
      <c r="C338" s="314"/>
      <c r="D338" s="314"/>
      <c r="E338" s="314"/>
      <c r="F338" s="314"/>
      <c r="G338" s="314"/>
      <c r="H338" s="314"/>
      <c r="I338" s="314"/>
      <c r="J338" s="314"/>
      <c r="K338" s="314"/>
    </row>
    <row r="339" spans="1:11">
      <c r="A339" s="290"/>
      <c r="B339" s="314" t="s">
        <v>904</v>
      </c>
      <c r="C339" s="314"/>
      <c r="D339" s="314"/>
      <c r="E339" s="314"/>
      <c r="F339" s="314"/>
      <c r="G339" s="314"/>
      <c r="H339" s="314"/>
      <c r="I339" s="314"/>
      <c r="J339" s="314"/>
      <c r="K339" s="314"/>
    </row>
    <row r="340" spans="1:11">
      <c r="A340" s="290" t="s">
        <v>905</v>
      </c>
      <c r="B340" s="314" t="s">
        <v>906</v>
      </c>
      <c r="C340" s="314"/>
      <c r="D340" s="314"/>
      <c r="E340" s="314"/>
      <c r="F340" s="314"/>
      <c r="G340" s="314"/>
      <c r="H340" s="314"/>
      <c r="I340" s="314"/>
      <c r="J340" s="314"/>
      <c r="K340" s="314"/>
    </row>
    <row r="341" spans="1:11">
      <c r="A341" s="290" t="s">
        <v>907</v>
      </c>
      <c r="B341" s="314" t="s">
        <v>908</v>
      </c>
      <c r="C341" s="314"/>
      <c r="D341" s="314"/>
      <c r="E341" s="314"/>
      <c r="F341" s="314"/>
      <c r="G341" s="314"/>
      <c r="H341" s="314"/>
      <c r="I341" s="314"/>
      <c r="J341" s="314"/>
      <c r="K341" s="314"/>
    </row>
    <row r="342" spans="1:11">
      <c r="B342" s="314" t="s">
        <v>909</v>
      </c>
      <c r="C342" s="314"/>
      <c r="D342" s="314"/>
      <c r="E342" s="314"/>
      <c r="F342" s="314"/>
      <c r="G342" s="314"/>
      <c r="H342" s="314"/>
      <c r="I342" s="314"/>
      <c r="J342" s="314"/>
      <c r="K342" s="314"/>
    </row>
    <row r="343" spans="1:11">
      <c r="B343" s="286" t="s">
        <v>910</v>
      </c>
      <c r="C343" s="286"/>
      <c r="D343" s="286"/>
      <c r="E343" s="286"/>
      <c r="F343" s="286"/>
      <c r="G343" s="286"/>
      <c r="H343" s="286"/>
      <c r="I343" s="286"/>
      <c r="J343" s="286"/>
      <c r="K343" s="314"/>
    </row>
    <row r="344" spans="1:11">
      <c r="A344" s="322" t="s">
        <v>911</v>
      </c>
      <c r="B344" s="286" t="s">
        <v>912</v>
      </c>
      <c r="C344" s="286"/>
      <c r="D344" s="286"/>
      <c r="E344" s="286"/>
      <c r="F344" s="286"/>
      <c r="G344" s="286"/>
      <c r="H344" s="286"/>
      <c r="I344" s="286"/>
      <c r="J344" s="286"/>
      <c r="K344" s="286"/>
    </row>
    <row r="345" spans="1:11">
      <c r="B345" s="286" t="s">
        <v>913</v>
      </c>
      <c r="C345" s="444"/>
      <c r="D345" s="286"/>
      <c r="E345" s="286"/>
      <c r="F345" s="286"/>
      <c r="G345" s="286"/>
      <c r="H345" s="286"/>
      <c r="I345" s="286"/>
      <c r="J345" s="286"/>
      <c r="K345" s="286"/>
    </row>
    <row r="346" spans="1:11">
      <c r="B346" s="286" t="s">
        <v>914</v>
      </c>
      <c r="C346" s="286"/>
      <c r="D346" s="286"/>
      <c r="E346" s="286"/>
      <c r="F346" s="286"/>
      <c r="G346" s="286"/>
      <c r="H346" s="286"/>
      <c r="I346" s="286"/>
      <c r="J346" s="286"/>
      <c r="K346" s="286"/>
    </row>
    <row r="347" spans="1:11">
      <c r="A347" s="322" t="s">
        <v>915</v>
      </c>
      <c r="B347" s="286" t="s">
        <v>916</v>
      </c>
      <c r="C347" s="288"/>
      <c r="D347" s="288"/>
      <c r="E347" s="288"/>
      <c r="F347" s="288"/>
      <c r="G347" s="288"/>
      <c r="H347" s="288"/>
      <c r="I347" s="286"/>
      <c r="J347" s="286"/>
      <c r="K347" s="286"/>
    </row>
    <row r="348" spans="1:11">
      <c r="A348" s="362" t="s">
        <v>917</v>
      </c>
      <c r="B348" s="286" t="s">
        <v>918</v>
      </c>
      <c r="C348" s="286"/>
      <c r="D348" s="286"/>
      <c r="E348" s="286"/>
      <c r="F348" s="286"/>
      <c r="G348" s="286"/>
      <c r="H348" s="286"/>
      <c r="I348" s="286"/>
      <c r="J348" s="286"/>
      <c r="K348" s="286"/>
    </row>
    <row r="349" spans="1:11" s="287" customFormat="1">
      <c r="A349" s="362" t="s">
        <v>919</v>
      </c>
      <c r="B349" s="288" t="s">
        <v>920</v>
      </c>
      <c r="C349" s="286"/>
      <c r="D349" s="286"/>
      <c r="E349" s="286"/>
      <c r="F349" s="286"/>
      <c r="G349" s="286"/>
      <c r="H349" s="286"/>
      <c r="I349" s="286"/>
      <c r="J349" s="286"/>
      <c r="K349" s="286"/>
    </row>
    <row r="350" spans="1:11" s="287" customFormat="1">
      <c r="A350" s="362"/>
      <c r="B350" s="286" t="s">
        <v>921</v>
      </c>
      <c r="C350" s="286"/>
      <c r="D350" s="286"/>
      <c r="E350" s="286"/>
      <c r="F350" s="286"/>
      <c r="G350" s="288"/>
      <c r="H350" s="280"/>
      <c r="I350" s="286"/>
      <c r="J350" s="286"/>
      <c r="K350" s="286"/>
    </row>
    <row r="351" spans="1:11">
      <c r="A351" s="362"/>
      <c r="B351" s="286" t="s">
        <v>922</v>
      </c>
      <c r="C351" s="286"/>
      <c r="D351" s="286"/>
      <c r="E351" s="286"/>
      <c r="F351" s="286"/>
      <c r="G351" s="288"/>
      <c r="H351" s="288"/>
      <c r="I351" s="286"/>
      <c r="J351" s="286"/>
      <c r="K351" s="286"/>
    </row>
    <row r="352" spans="1:11">
      <c r="A352" s="362"/>
      <c r="B352" s="286" t="s">
        <v>923</v>
      </c>
      <c r="C352" s="286"/>
      <c r="D352" s="286"/>
      <c r="E352" s="286"/>
      <c r="F352" s="286"/>
      <c r="G352" s="288"/>
      <c r="H352" s="288"/>
      <c r="I352" s="286"/>
      <c r="J352" s="286"/>
      <c r="K352" s="286"/>
    </row>
    <row r="353" spans="1:11">
      <c r="A353" s="362"/>
      <c r="B353" s="286" t="s">
        <v>924</v>
      </c>
      <c r="C353" s="286"/>
      <c r="D353" s="286"/>
      <c r="E353" s="286"/>
      <c r="F353" s="286"/>
      <c r="G353" s="288"/>
      <c r="H353" s="288"/>
      <c r="I353" s="286"/>
      <c r="J353" s="286"/>
      <c r="K353" s="286"/>
    </row>
    <row r="354" spans="1:11">
      <c r="A354" s="362"/>
      <c r="B354" s="286" t="s">
        <v>925</v>
      </c>
      <c r="C354" s="286"/>
      <c r="D354" s="286"/>
      <c r="E354" s="286"/>
      <c r="F354" s="286"/>
      <c r="G354" s="288"/>
      <c r="H354" s="288"/>
      <c r="I354" s="286"/>
      <c r="J354" s="286"/>
      <c r="K354" s="286"/>
    </row>
    <row r="355" spans="1:11">
      <c r="A355" s="322" t="s">
        <v>926</v>
      </c>
      <c r="B355" s="286" t="s">
        <v>927</v>
      </c>
      <c r="C355" s="286"/>
      <c r="D355" s="286"/>
      <c r="E355" s="286"/>
      <c r="F355" s="286"/>
      <c r="G355" s="286"/>
      <c r="H355" s="288"/>
      <c r="I355" s="286"/>
      <c r="J355" s="286"/>
      <c r="K355" s="286"/>
    </row>
    <row r="356" spans="1:11">
      <c r="A356" s="322" t="s">
        <v>928</v>
      </c>
      <c r="B356" s="286" t="s">
        <v>0</v>
      </c>
      <c r="C356" s="286"/>
      <c r="D356" s="286"/>
      <c r="E356" s="286"/>
      <c r="F356" s="286"/>
      <c r="G356" s="286"/>
      <c r="H356" s="288"/>
      <c r="I356" s="286"/>
      <c r="J356" s="286"/>
      <c r="K356" s="286"/>
    </row>
    <row r="357" spans="1:11">
      <c r="A357" s="322"/>
      <c r="B357" s="286" t="s">
        <v>1</v>
      </c>
      <c r="C357" s="286"/>
      <c r="D357" s="286"/>
      <c r="E357" s="286"/>
      <c r="F357" s="286"/>
      <c r="G357" s="286"/>
      <c r="H357" s="288"/>
      <c r="I357" s="286"/>
      <c r="J357" s="286"/>
      <c r="K357" s="286"/>
    </row>
    <row r="358" spans="1:11">
      <c r="A358" s="322" t="s">
        <v>2</v>
      </c>
      <c r="B358" s="286" t="s">
        <v>3</v>
      </c>
      <c r="C358" s="287"/>
      <c r="D358" s="287"/>
      <c r="E358" s="287"/>
      <c r="F358" s="286"/>
      <c r="G358" s="286"/>
      <c r="H358" s="288"/>
      <c r="I358" s="286"/>
      <c r="J358" s="286"/>
      <c r="K358" s="286"/>
    </row>
    <row r="359" spans="1:11">
      <c r="A359" s="322"/>
      <c r="B359" s="445" t="s">
        <v>266</v>
      </c>
      <c r="C359" s="286" t="s">
        <v>4</v>
      </c>
      <c r="D359" s="287"/>
      <c r="E359" s="287"/>
      <c r="F359" s="286"/>
      <c r="G359" s="286"/>
      <c r="H359" s="288"/>
      <c r="I359" s="286"/>
      <c r="J359" s="286"/>
      <c r="K359" s="286"/>
    </row>
    <row r="360" spans="1:11">
      <c r="A360" s="322"/>
      <c r="B360" s="445" t="s">
        <v>267</v>
      </c>
      <c r="C360" s="286" t="s">
        <v>4</v>
      </c>
      <c r="D360" s="382"/>
      <c r="E360" s="287"/>
      <c r="F360" s="286"/>
      <c r="G360" s="286"/>
      <c r="H360" s="288"/>
      <c r="I360" s="286"/>
      <c r="J360" s="286"/>
      <c r="K360" s="286"/>
    </row>
    <row r="361" spans="1:11">
      <c r="A361" s="322"/>
      <c r="B361" s="446" t="s">
        <v>268</v>
      </c>
      <c r="C361" s="286"/>
      <c r="D361" s="287"/>
      <c r="E361" s="287"/>
      <c r="F361" s="286"/>
      <c r="G361" s="286"/>
      <c r="H361" s="288"/>
      <c r="I361" s="286"/>
      <c r="J361" s="286"/>
      <c r="K361" s="286"/>
    </row>
    <row r="362" spans="1:11">
      <c r="A362" s="322"/>
      <c r="B362" s="445" t="s">
        <v>269</v>
      </c>
      <c r="C362" s="286" t="s">
        <v>5</v>
      </c>
      <c r="D362" s="287"/>
      <c r="E362" s="287"/>
      <c r="F362" s="286"/>
      <c r="G362" s="286"/>
      <c r="H362" s="288"/>
      <c r="I362" s="286"/>
      <c r="J362" s="286"/>
      <c r="K362" s="286"/>
    </row>
    <row r="363" spans="1:11">
      <c r="A363" s="322"/>
      <c r="B363" s="445" t="s">
        <v>270</v>
      </c>
      <c r="C363" s="286"/>
      <c r="D363" s="287"/>
      <c r="E363" s="286"/>
      <c r="F363" s="286"/>
      <c r="G363" s="286"/>
      <c r="H363" s="288"/>
      <c r="I363" s="286"/>
      <c r="J363" s="286"/>
      <c r="K363" s="286"/>
    </row>
    <row r="364" spans="1:11">
      <c r="A364" s="322" t="s">
        <v>6</v>
      </c>
      <c r="B364" s="447" t="s">
        <v>7</v>
      </c>
      <c r="C364" s="286"/>
      <c r="D364" s="287"/>
      <c r="E364" s="286"/>
      <c r="F364" s="286"/>
      <c r="G364" s="286"/>
      <c r="H364" s="288"/>
      <c r="I364" s="286"/>
      <c r="J364" s="286"/>
      <c r="K364" s="286"/>
    </row>
    <row r="365" spans="1:11">
      <c r="A365" s="322"/>
      <c r="B365" s="447" t="s">
        <v>8</v>
      </c>
      <c r="C365" s="286"/>
      <c r="D365" s="287"/>
      <c r="E365" s="286"/>
      <c r="F365" s="286"/>
      <c r="G365" s="286"/>
      <c r="H365" s="288"/>
      <c r="I365" s="286"/>
      <c r="J365" s="286"/>
      <c r="K365" s="286"/>
    </row>
    <row r="366" spans="1:11">
      <c r="A366" s="322" t="s">
        <v>9</v>
      </c>
      <c r="B366" s="447" t="s">
        <v>10</v>
      </c>
      <c r="C366" s="286"/>
      <c r="D366" s="287"/>
      <c r="E366" s="286"/>
      <c r="F366" s="286"/>
      <c r="G366" s="286"/>
      <c r="H366" s="288"/>
      <c r="I366" s="286"/>
      <c r="J366" s="286"/>
      <c r="K366" s="286"/>
    </row>
    <row r="367" spans="1:11">
      <c r="A367" s="322"/>
      <c r="B367" s="447" t="s">
        <v>11</v>
      </c>
      <c r="C367" s="286"/>
      <c r="D367" s="287"/>
      <c r="E367" s="286"/>
      <c r="F367" s="286"/>
      <c r="G367" s="286"/>
      <c r="H367" s="288"/>
      <c r="I367" s="286"/>
      <c r="J367" s="286"/>
      <c r="K367" s="286"/>
    </row>
    <row r="368" spans="1:11">
      <c r="A368" s="322" t="s">
        <v>12</v>
      </c>
      <c r="B368" s="447" t="s">
        <v>13</v>
      </c>
    </row>
    <row r="369" spans="1:11">
      <c r="A369" s="322"/>
      <c r="B369" s="447" t="s">
        <v>14</v>
      </c>
    </row>
    <row r="370" spans="1:11">
      <c r="A370" s="322" t="s">
        <v>15</v>
      </c>
      <c r="B370" s="447" t="s">
        <v>16</v>
      </c>
      <c r="C370" s="288"/>
      <c r="D370" s="288"/>
      <c r="E370" s="288"/>
      <c r="F370" s="288"/>
      <c r="G370" s="288"/>
      <c r="H370" s="288"/>
      <c r="I370" s="288"/>
      <c r="J370" s="288"/>
      <c r="K370" s="286"/>
    </row>
    <row r="371" spans="1:11">
      <c r="A371" s="322"/>
      <c r="B371" s="447" t="s">
        <v>17</v>
      </c>
      <c r="C371" s="288"/>
      <c r="D371" s="288"/>
      <c r="E371" s="288"/>
      <c r="F371" s="288"/>
      <c r="G371" s="288"/>
      <c r="H371" s="288"/>
      <c r="I371" s="288"/>
      <c r="J371" s="288"/>
      <c r="K371" s="286"/>
    </row>
    <row r="372" spans="1:11">
      <c r="A372" s="322" t="s">
        <v>18</v>
      </c>
      <c r="B372" s="448" t="s">
        <v>19</v>
      </c>
      <c r="K372" s="286"/>
    </row>
    <row r="373" spans="1:11">
      <c r="A373" s="322" t="s">
        <v>20</v>
      </c>
      <c r="B373" s="448" t="s">
        <v>21</v>
      </c>
    </row>
  </sheetData>
  <mergeCells count="8">
    <mergeCell ref="F154:G154"/>
    <mergeCell ref="A224:K224"/>
    <mergeCell ref="N236:S236"/>
    <mergeCell ref="A301:K301"/>
    <mergeCell ref="A6:K6"/>
    <mergeCell ref="Q26:S26"/>
    <mergeCell ref="A77:K77"/>
    <mergeCell ref="A149:K149"/>
  </mergeCells>
  <phoneticPr fontId="13" type="noConversion"/>
  <conditionalFormatting sqref="N21">
    <cfRule type="cellIs" dxfId="1" priority="1" stopIfTrue="1" operator="equal">
      <formula>"ERROR in RR detail"</formula>
    </cfRule>
  </conditionalFormatting>
  <conditionalFormatting sqref="N25">
    <cfRule type="cellIs" dxfId="0" priority="2" stopIfTrue="1" operator="equal">
      <formula>"ERROR MW detail"</formula>
    </cfRule>
  </conditionalFormatting>
  <pageMargins left="0.75" right="0.75" top="1" bottom="1" header="0.5" footer="0.5"/>
  <pageSetup scale="53" fitToHeight="5" orientation="portrait" r:id="rId1"/>
  <headerFooter alignWithMargins="0"/>
  <rowBreaks count="4" manualBreakCount="4">
    <brk id="71" max="16383" man="1"/>
    <brk id="142" max="16383" man="1"/>
    <brk id="218" max="16383" man="1"/>
    <brk id="29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8B"/>
  </sheetPr>
  <dimension ref="A11:C16"/>
  <sheetViews>
    <sheetView showGridLines="0" zoomScaleNormal="100" workbookViewId="0">
      <selection activeCell="B20" sqref="B20"/>
    </sheetView>
  </sheetViews>
  <sheetFormatPr defaultRowHeight="15"/>
  <cols>
    <col min="1" max="1" width="13.5546875" customWidth="1"/>
    <col min="2" max="2" width="54.5546875" bestFit="1" customWidth="1"/>
  </cols>
  <sheetData>
    <row r="11" spans="1:3" ht="23.25">
      <c r="A11" s="545" t="s">
        <v>359</v>
      </c>
      <c r="B11" s="546"/>
      <c r="C11" s="546"/>
    </row>
    <row r="12" spans="1:3" ht="24" thickBot="1">
      <c r="A12" s="545" t="s">
        <v>259</v>
      </c>
      <c r="B12" s="546"/>
      <c r="C12" s="546"/>
    </row>
    <row r="13" spans="1:3" ht="24" thickBot="1">
      <c r="B13" s="538" t="s">
        <v>942</v>
      </c>
    </row>
    <row r="15" spans="1:3" ht="15.75">
      <c r="B15" s="2"/>
    </row>
    <row r="16" spans="1:3" ht="15.75">
      <c r="B16" s="2"/>
    </row>
  </sheetData>
  <mergeCells count="2">
    <mergeCell ref="A11:C11"/>
    <mergeCell ref="A12:C12"/>
  </mergeCells>
  <phoneticPr fontId="13" type="noConversion"/>
  <pageMargins left="0.75" right="0.75" top="1" bottom="1" header="0.5" footer="0.5"/>
  <pageSetup scale="92"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N81"/>
  <sheetViews>
    <sheetView showGridLines="0" zoomScale="90" zoomScaleNormal="75" workbookViewId="0">
      <selection activeCell="A4" sqref="A4"/>
    </sheetView>
  </sheetViews>
  <sheetFormatPr defaultColWidth="14.44140625" defaultRowHeight="12.75"/>
  <cols>
    <col min="1" max="1" width="4.77734375" style="75" customWidth="1"/>
    <col min="2" max="2" width="1.77734375" style="4" customWidth="1"/>
    <col min="3" max="3" width="29" style="4" customWidth="1"/>
    <col min="4" max="4" width="14.33203125" style="4" customWidth="1"/>
    <col min="5" max="5" width="0.88671875" style="4" customWidth="1"/>
    <col min="6" max="6" width="14.33203125" style="4" customWidth="1"/>
    <col min="7" max="7" width="0.88671875" style="4" customWidth="1"/>
    <col min="8" max="8" width="14.33203125" style="4" customWidth="1"/>
    <col min="9" max="9" width="0.88671875" style="4" customWidth="1"/>
    <col min="10" max="10" width="14.33203125" style="4" customWidth="1"/>
    <col min="11" max="11" width="0.88671875" style="4" customWidth="1"/>
    <col min="12" max="12" width="14.33203125" style="4" customWidth="1"/>
    <col min="13" max="13" width="0.77734375" style="4" customWidth="1"/>
    <col min="14" max="14" width="14.33203125" style="4" customWidth="1"/>
    <col min="15" max="15" width="14.44140625" style="4"/>
    <col min="16" max="16" width="1" style="4" customWidth="1"/>
    <col min="17" max="16384" width="14.44140625" style="4"/>
  </cols>
  <sheetData>
    <row r="1" spans="1:14">
      <c r="A1" s="72" t="s">
        <v>36</v>
      </c>
      <c r="B1" s="73"/>
      <c r="C1" s="73"/>
      <c r="D1" s="73"/>
      <c r="E1" s="73"/>
      <c r="F1" s="73"/>
      <c r="G1" s="73"/>
      <c r="H1" s="73"/>
      <c r="I1" s="73"/>
      <c r="J1" s="73"/>
      <c r="K1" s="73"/>
      <c r="L1" s="73"/>
      <c r="M1" s="73"/>
      <c r="N1" s="74" t="s">
        <v>360</v>
      </c>
    </row>
    <row r="2" spans="1:14">
      <c r="A2" s="72" t="s">
        <v>155</v>
      </c>
      <c r="B2" s="73"/>
      <c r="C2" s="73"/>
      <c r="D2" s="73"/>
      <c r="E2" s="73"/>
      <c r="F2" s="73"/>
      <c r="G2" s="73"/>
      <c r="H2" s="73"/>
      <c r="I2" s="73"/>
      <c r="J2" s="73"/>
      <c r="K2" s="73"/>
      <c r="L2" s="73"/>
      <c r="M2" s="73"/>
      <c r="N2" s="74"/>
    </row>
    <row r="3" spans="1:14">
      <c r="A3" s="72" t="s">
        <v>361</v>
      </c>
      <c r="B3" s="73"/>
      <c r="C3" s="73"/>
      <c r="D3" s="73"/>
      <c r="E3" s="73"/>
      <c r="F3" s="73"/>
      <c r="G3" s="73"/>
      <c r="H3" s="73"/>
      <c r="I3" s="73"/>
      <c r="J3" s="73"/>
      <c r="K3" s="73"/>
      <c r="L3" s="73"/>
      <c r="M3" s="73"/>
    </row>
    <row r="4" spans="1:14">
      <c r="A4" s="231" t="s">
        <v>283</v>
      </c>
      <c r="D4" s="78"/>
      <c r="E4" s="26"/>
      <c r="I4" s="77"/>
      <c r="K4" s="77"/>
      <c r="L4" s="77"/>
      <c r="M4" s="77"/>
      <c r="N4" s="78" t="s">
        <v>157</v>
      </c>
    </row>
    <row r="5" spans="1:14">
      <c r="A5" s="75" t="s">
        <v>174</v>
      </c>
      <c r="D5" s="77"/>
      <c r="E5" s="26"/>
      <c r="H5" s="186"/>
      <c r="J5" s="79" t="s">
        <v>211</v>
      </c>
      <c r="L5" s="79" t="s">
        <v>151</v>
      </c>
      <c r="N5" s="78" t="s">
        <v>158</v>
      </c>
    </row>
    <row r="6" spans="1:14">
      <c r="A6" s="80" t="s">
        <v>150</v>
      </c>
      <c r="D6" s="77" t="s">
        <v>132</v>
      </c>
      <c r="F6" s="77" t="s">
        <v>152</v>
      </c>
      <c r="H6" s="77" t="s">
        <v>153</v>
      </c>
      <c r="J6" s="77" t="s">
        <v>185</v>
      </c>
      <c r="L6" s="170" t="s">
        <v>38</v>
      </c>
      <c r="M6" s="78"/>
      <c r="N6" s="170" t="s">
        <v>159</v>
      </c>
    </row>
    <row r="7" spans="1:14">
      <c r="A7" s="81" t="s">
        <v>154</v>
      </c>
      <c r="B7" s="82" t="s">
        <v>37</v>
      </c>
      <c r="C7" s="83"/>
      <c r="D7" s="35"/>
      <c r="F7" s="35"/>
      <c r="H7" s="35"/>
      <c r="J7" s="35"/>
      <c r="N7" s="35"/>
    </row>
    <row r="8" spans="1:14">
      <c r="A8" s="84">
        <f>+A7+1</f>
        <v>2</v>
      </c>
      <c r="C8" s="85" t="s">
        <v>207</v>
      </c>
      <c r="D8" s="25">
        <f t="shared" ref="D8:D20" si="0">+D28+D48</f>
        <v>6796210576.0699997</v>
      </c>
      <c r="E8" s="26"/>
      <c r="F8" s="25">
        <f t="shared" ref="F8:L20" si="1">+F28+F48</f>
        <v>2684625374.6900001</v>
      </c>
      <c r="G8" s="25">
        <f t="shared" si="1"/>
        <v>0</v>
      </c>
      <c r="H8" s="25">
        <f t="shared" si="1"/>
        <v>3919006720.6599998</v>
      </c>
      <c r="I8" s="25">
        <f t="shared" si="1"/>
        <v>0</v>
      </c>
      <c r="J8" s="25">
        <f t="shared" si="1"/>
        <v>574439224.47000003</v>
      </c>
      <c r="K8" s="25">
        <f t="shared" si="1"/>
        <v>0</v>
      </c>
      <c r="L8" s="26">
        <f t="shared" si="1"/>
        <v>589025733.70000005</v>
      </c>
      <c r="M8" s="25"/>
      <c r="N8" s="25">
        <f>SUM(D8:L8)</f>
        <v>14563307629.59</v>
      </c>
    </row>
    <row r="9" spans="1:14">
      <c r="A9" s="84">
        <f t="shared" ref="A9:A62" si="2">+A8+1</f>
        <v>3</v>
      </c>
      <c r="C9" s="85" t="s">
        <v>362</v>
      </c>
      <c r="D9" s="26">
        <f t="shared" si="0"/>
        <v>6801783537.660799</v>
      </c>
      <c r="E9" s="26"/>
      <c r="F9" s="26">
        <f t="shared" si="1"/>
        <v>2701715317.3580999</v>
      </c>
      <c r="G9" s="26">
        <f t="shared" si="1"/>
        <v>0</v>
      </c>
      <c r="H9" s="26">
        <f t="shared" si="1"/>
        <v>3928975705.5101004</v>
      </c>
      <c r="I9" s="26">
        <f t="shared" si="1"/>
        <v>0</v>
      </c>
      <c r="J9" s="26">
        <f t="shared" si="1"/>
        <v>577164198.19000006</v>
      </c>
      <c r="K9" s="26">
        <f t="shared" si="1"/>
        <v>0</v>
      </c>
      <c r="L9" s="26">
        <f t="shared" si="1"/>
        <v>590715175.59089994</v>
      </c>
      <c r="M9" s="107"/>
      <c r="N9" s="18">
        <f>SUM(D9:L9)</f>
        <v>14600353934.3099</v>
      </c>
    </row>
    <row r="10" spans="1:14">
      <c r="A10" s="84">
        <f t="shared" si="2"/>
        <v>4</v>
      </c>
      <c r="C10" s="85" t="s">
        <v>285</v>
      </c>
      <c r="D10" s="26">
        <f t="shared" si="0"/>
        <v>6788940648.9400005</v>
      </c>
      <c r="E10" s="26"/>
      <c r="F10" s="26">
        <f t="shared" si="1"/>
        <v>2703944320.9180999</v>
      </c>
      <c r="G10" s="26">
        <f t="shared" si="1"/>
        <v>0</v>
      </c>
      <c r="H10" s="26">
        <f t="shared" si="1"/>
        <v>3933650843.4601002</v>
      </c>
      <c r="I10" s="26">
        <f t="shared" si="1"/>
        <v>0</v>
      </c>
      <c r="J10" s="26">
        <f t="shared" si="1"/>
        <v>579398254.37030005</v>
      </c>
      <c r="K10" s="26">
        <f t="shared" si="1"/>
        <v>0</v>
      </c>
      <c r="L10" s="26">
        <f t="shared" si="1"/>
        <v>583536024.51119995</v>
      </c>
      <c r="M10" s="107"/>
      <c r="N10" s="18">
        <f t="shared" ref="N10:N20" si="3">SUM(D10:L10)</f>
        <v>14589470092.199701</v>
      </c>
    </row>
    <row r="11" spans="1:14">
      <c r="A11" s="84">
        <f t="shared" si="2"/>
        <v>5</v>
      </c>
      <c r="C11" s="85" t="s">
        <v>286</v>
      </c>
      <c r="D11" s="26">
        <f t="shared" si="0"/>
        <v>6793185006.5808001</v>
      </c>
      <c r="E11" s="26"/>
      <c r="F11" s="26">
        <f t="shared" si="1"/>
        <v>2721726030.6085</v>
      </c>
      <c r="G11" s="26">
        <f t="shared" si="1"/>
        <v>0</v>
      </c>
      <c r="H11" s="26">
        <f t="shared" si="1"/>
        <v>3942852551.3100996</v>
      </c>
      <c r="I11" s="26">
        <f t="shared" si="1"/>
        <v>0</v>
      </c>
      <c r="J11" s="26">
        <f t="shared" si="1"/>
        <v>582035010.30870008</v>
      </c>
      <c r="K11" s="26">
        <f t="shared" si="1"/>
        <v>0</v>
      </c>
      <c r="L11" s="26">
        <f t="shared" si="1"/>
        <v>584817762.11169994</v>
      </c>
      <c r="M11" s="107"/>
      <c r="N11" s="18">
        <f t="shared" si="3"/>
        <v>14624616360.919802</v>
      </c>
    </row>
    <row r="12" spans="1:14">
      <c r="A12" s="84">
        <f t="shared" si="2"/>
        <v>6</v>
      </c>
      <c r="C12" s="85" t="s">
        <v>177</v>
      </c>
      <c r="D12" s="26">
        <f t="shared" si="0"/>
        <v>6805391487.1793995</v>
      </c>
      <c r="E12" s="26"/>
      <c r="F12" s="26">
        <f t="shared" si="1"/>
        <v>2765862178.9790001</v>
      </c>
      <c r="G12" s="26">
        <f t="shared" si="1"/>
        <v>0</v>
      </c>
      <c r="H12" s="26">
        <f t="shared" si="1"/>
        <v>3959421255.0401001</v>
      </c>
      <c r="I12" s="26">
        <f t="shared" si="1"/>
        <v>0</v>
      </c>
      <c r="J12" s="26">
        <f t="shared" si="1"/>
        <v>583712310.14840007</v>
      </c>
      <c r="K12" s="26">
        <f t="shared" si="1"/>
        <v>0</v>
      </c>
      <c r="L12" s="26">
        <f t="shared" si="1"/>
        <v>578019419.76079988</v>
      </c>
      <c r="M12" s="107"/>
      <c r="N12" s="18">
        <f t="shared" si="3"/>
        <v>14692406651.107698</v>
      </c>
    </row>
    <row r="13" spans="1:14">
      <c r="A13" s="84">
        <f t="shared" si="2"/>
        <v>7</v>
      </c>
      <c r="C13" s="85" t="s">
        <v>287</v>
      </c>
      <c r="D13" s="26">
        <f t="shared" si="0"/>
        <v>6815209083.2390995</v>
      </c>
      <c r="E13" s="26"/>
      <c r="F13" s="26">
        <f t="shared" si="1"/>
        <v>2780588432.8789997</v>
      </c>
      <c r="G13" s="26">
        <f t="shared" si="1"/>
        <v>0</v>
      </c>
      <c r="H13" s="26">
        <f t="shared" si="1"/>
        <v>3978318668.0000992</v>
      </c>
      <c r="I13" s="26">
        <f t="shared" si="1"/>
        <v>0</v>
      </c>
      <c r="J13" s="26">
        <f t="shared" si="1"/>
        <v>586212918.41910005</v>
      </c>
      <c r="K13" s="26">
        <f t="shared" si="1"/>
        <v>0</v>
      </c>
      <c r="L13" s="26">
        <f t="shared" si="1"/>
        <v>580200221.47099996</v>
      </c>
      <c r="M13" s="107"/>
      <c r="N13" s="18">
        <f t="shared" si="3"/>
        <v>14740529324.008299</v>
      </c>
    </row>
    <row r="14" spans="1:14">
      <c r="A14" s="84">
        <f t="shared" si="2"/>
        <v>8</v>
      </c>
      <c r="C14" s="85" t="s">
        <v>288</v>
      </c>
      <c r="D14" s="26">
        <f t="shared" si="0"/>
        <v>6873690482.8901997</v>
      </c>
      <c r="E14" s="26"/>
      <c r="F14" s="26">
        <f t="shared" si="1"/>
        <v>2787550879.5001001</v>
      </c>
      <c r="G14" s="26">
        <f t="shared" si="1"/>
        <v>0</v>
      </c>
      <c r="H14" s="26">
        <f t="shared" si="1"/>
        <v>3996380764.71</v>
      </c>
      <c r="I14" s="26">
        <f t="shared" si="1"/>
        <v>0</v>
      </c>
      <c r="J14" s="26">
        <f t="shared" si="1"/>
        <v>589189299.03909993</v>
      </c>
      <c r="K14" s="26">
        <f t="shared" si="1"/>
        <v>0</v>
      </c>
      <c r="L14" s="26">
        <f t="shared" si="1"/>
        <v>592658176.33099997</v>
      </c>
      <c r="M14" s="107"/>
      <c r="N14" s="18">
        <f t="shared" si="3"/>
        <v>14839469602.4704</v>
      </c>
    </row>
    <row r="15" spans="1:14">
      <c r="A15" s="84">
        <f t="shared" si="2"/>
        <v>9</v>
      </c>
      <c r="C15" s="85" t="s">
        <v>179</v>
      </c>
      <c r="D15" s="26">
        <f t="shared" si="0"/>
        <v>7180263666.4404993</v>
      </c>
      <c r="E15" s="26"/>
      <c r="F15" s="26">
        <f t="shared" si="1"/>
        <v>2797109503.7094007</v>
      </c>
      <c r="G15" s="26">
        <f t="shared" si="1"/>
        <v>0</v>
      </c>
      <c r="H15" s="26">
        <f t="shared" si="1"/>
        <v>4015828510.1900001</v>
      </c>
      <c r="I15" s="26">
        <f t="shared" si="1"/>
        <v>0</v>
      </c>
      <c r="J15" s="26">
        <f t="shared" si="1"/>
        <v>595775401.03919995</v>
      </c>
      <c r="K15" s="26">
        <f t="shared" si="1"/>
        <v>0</v>
      </c>
      <c r="L15" s="26">
        <f t="shared" si="1"/>
        <v>586364277.43109989</v>
      </c>
      <c r="M15" s="107"/>
      <c r="N15" s="18">
        <f t="shared" si="3"/>
        <v>15175341358.8102</v>
      </c>
    </row>
    <row r="16" spans="1:14">
      <c r="A16" s="84">
        <f t="shared" si="2"/>
        <v>10</v>
      </c>
      <c r="C16" s="85" t="s">
        <v>289</v>
      </c>
      <c r="D16" s="26">
        <f t="shared" si="0"/>
        <v>7194853321.3114004</v>
      </c>
      <c r="E16" s="26"/>
      <c r="F16" s="26">
        <f t="shared" si="1"/>
        <v>2799812750.2374001</v>
      </c>
      <c r="G16" s="26">
        <f t="shared" si="1"/>
        <v>0</v>
      </c>
      <c r="H16" s="26">
        <f t="shared" si="1"/>
        <v>4042138490.9099998</v>
      </c>
      <c r="I16" s="26">
        <f t="shared" si="1"/>
        <v>0</v>
      </c>
      <c r="J16" s="26">
        <f t="shared" si="1"/>
        <v>597325585.50050008</v>
      </c>
      <c r="K16" s="26">
        <f t="shared" si="1"/>
        <v>0</v>
      </c>
      <c r="L16" s="26">
        <f t="shared" si="1"/>
        <v>586493436.95029986</v>
      </c>
      <c r="M16" s="107"/>
      <c r="N16" s="18">
        <f t="shared" si="3"/>
        <v>15220623584.909601</v>
      </c>
    </row>
    <row r="17" spans="1:14">
      <c r="A17" s="84">
        <f t="shared" si="2"/>
        <v>11</v>
      </c>
      <c r="C17" s="85" t="s">
        <v>290</v>
      </c>
      <c r="D17" s="26">
        <f t="shared" si="0"/>
        <v>7255884324.8414001</v>
      </c>
      <c r="E17" s="26"/>
      <c r="F17" s="26">
        <f t="shared" si="1"/>
        <v>2818931996.1676002</v>
      </c>
      <c r="G17" s="26">
        <f t="shared" si="1"/>
        <v>0</v>
      </c>
      <c r="H17" s="26">
        <f t="shared" si="1"/>
        <v>4058846399.3600001</v>
      </c>
      <c r="I17" s="26">
        <f t="shared" si="1"/>
        <v>0</v>
      </c>
      <c r="J17" s="26">
        <f t="shared" si="1"/>
        <v>587085028.35070002</v>
      </c>
      <c r="K17" s="26">
        <f t="shared" si="1"/>
        <v>0</v>
      </c>
      <c r="L17" s="26">
        <f t="shared" si="1"/>
        <v>588074691.5302999</v>
      </c>
      <c r="M17" s="107"/>
      <c r="N17" s="18">
        <f t="shared" si="3"/>
        <v>15308822440.250002</v>
      </c>
    </row>
    <row r="18" spans="1:14">
      <c r="A18" s="84">
        <f t="shared" si="2"/>
        <v>12</v>
      </c>
      <c r="C18" s="85" t="s">
        <v>291</v>
      </c>
      <c r="D18" s="26">
        <f t="shared" si="0"/>
        <v>7274783555.6206999</v>
      </c>
      <c r="E18" s="26"/>
      <c r="F18" s="26">
        <f t="shared" si="1"/>
        <v>2827592098.1873999</v>
      </c>
      <c r="G18" s="26">
        <f t="shared" si="1"/>
        <v>0</v>
      </c>
      <c r="H18" s="26">
        <f t="shared" si="1"/>
        <v>4073940060.7399998</v>
      </c>
      <c r="I18" s="26">
        <f t="shared" si="1"/>
        <v>0</v>
      </c>
      <c r="J18" s="26">
        <f t="shared" si="1"/>
        <v>592360567.44010007</v>
      </c>
      <c r="K18" s="26">
        <f t="shared" si="1"/>
        <v>0</v>
      </c>
      <c r="L18" s="26">
        <f t="shared" si="1"/>
        <v>577454162.78040004</v>
      </c>
      <c r="M18" s="107"/>
      <c r="N18" s="18">
        <f t="shared" si="3"/>
        <v>15346130444.768599</v>
      </c>
    </row>
    <row r="19" spans="1:14">
      <c r="A19" s="84">
        <f t="shared" si="2"/>
        <v>13</v>
      </c>
      <c r="C19" s="85" t="s">
        <v>292</v>
      </c>
      <c r="D19" s="26">
        <f t="shared" si="0"/>
        <v>7313484915.3512001</v>
      </c>
      <c r="E19" s="26"/>
      <c r="F19" s="26">
        <f t="shared" si="1"/>
        <v>2855577826.9486003</v>
      </c>
      <c r="G19" s="26">
        <f t="shared" si="1"/>
        <v>0</v>
      </c>
      <c r="H19" s="26">
        <f t="shared" si="1"/>
        <v>4090581952.3399992</v>
      </c>
      <c r="I19" s="26">
        <f t="shared" si="1"/>
        <v>0</v>
      </c>
      <c r="J19" s="26">
        <f t="shared" si="1"/>
        <v>595985086.64980006</v>
      </c>
      <c r="K19" s="26">
        <f t="shared" si="1"/>
        <v>0</v>
      </c>
      <c r="L19" s="26">
        <f t="shared" si="1"/>
        <v>568290258.47059989</v>
      </c>
      <c r="M19" s="107"/>
      <c r="N19" s="18">
        <f t="shared" si="3"/>
        <v>15423920039.760201</v>
      </c>
    </row>
    <row r="20" spans="1:14">
      <c r="A20" s="84">
        <f t="shared" si="2"/>
        <v>14</v>
      </c>
      <c r="C20" s="85" t="s">
        <v>363</v>
      </c>
      <c r="D20" s="26">
        <f t="shared" si="0"/>
        <v>7656086190.6399994</v>
      </c>
      <c r="E20" s="26"/>
      <c r="F20" s="26">
        <f t="shared" si="1"/>
        <v>2890565367.8000002</v>
      </c>
      <c r="G20" s="26">
        <f t="shared" si="1"/>
        <v>0</v>
      </c>
      <c r="H20" s="26">
        <f t="shared" si="1"/>
        <v>4110015684.3499994</v>
      </c>
      <c r="I20" s="26">
        <f t="shared" si="1"/>
        <v>0</v>
      </c>
      <c r="J20" s="26">
        <f t="shared" si="1"/>
        <v>681783645.98000002</v>
      </c>
      <c r="K20" s="26">
        <f t="shared" si="1"/>
        <v>0</v>
      </c>
      <c r="L20" s="26">
        <f t="shared" si="1"/>
        <v>599930192.96999991</v>
      </c>
      <c r="M20" s="107"/>
      <c r="N20" s="18">
        <f t="shared" si="3"/>
        <v>15938381081.739996</v>
      </c>
    </row>
    <row r="21" spans="1:14">
      <c r="A21" s="84">
        <f t="shared" si="2"/>
        <v>15</v>
      </c>
      <c r="C21" s="85"/>
      <c r="D21" s="34"/>
      <c r="F21" s="34"/>
      <c r="H21" s="34"/>
      <c r="I21" s="18"/>
      <c r="J21" s="34"/>
      <c r="K21" s="18"/>
      <c r="L21" s="171"/>
      <c r="M21" s="107"/>
      <c r="N21" s="34"/>
    </row>
    <row r="22" spans="1:14" ht="13.5" thickBot="1">
      <c r="A22" s="84">
        <f t="shared" si="2"/>
        <v>16</v>
      </c>
      <c r="C22" s="179" t="s">
        <v>156</v>
      </c>
      <c r="D22" s="36">
        <f>D42+D62</f>
        <v>7042289753.5973463</v>
      </c>
      <c r="F22" s="36">
        <f>F42+F62</f>
        <v>2779661698.3063998</v>
      </c>
      <c r="G22" s="73"/>
      <c r="H22" s="36">
        <f>H42+H62</f>
        <v>4003842892.8138847</v>
      </c>
      <c r="I22" s="174"/>
      <c r="J22" s="36">
        <f>J42+J62</f>
        <v>594035886.91583848</v>
      </c>
      <c r="K22" s="25"/>
      <c r="L22" s="36">
        <f>L42+L62</f>
        <v>585044579.50840759</v>
      </c>
      <c r="M22" s="110"/>
      <c r="N22" s="36">
        <f>N42+N62</f>
        <v>15004874811.141876</v>
      </c>
    </row>
    <row r="23" spans="1:14" ht="13.5" thickTop="1">
      <c r="A23" s="84"/>
      <c r="D23" s="18"/>
      <c r="F23" s="18"/>
      <c r="H23" s="18"/>
      <c r="I23" s="18"/>
      <c r="J23" s="18"/>
      <c r="K23" s="18"/>
      <c r="L23" s="18"/>
      <c r="M23" s="18"/>
      <c r="N23" s="18"/>
    </row>
    <row r="24" spans="1:14">
      <c r="A24" s="84"/>
      <c r="D24" s="78"/>
      <c r="E24" s="26"/>
      <c r="I24" s="77"/>
      <c r="K24" s="77"/>
      <c r="L24" s="77"/>
      <c r="M24" s="77"/>
      <c r="N24" s="78" t="s">
        <v>157</v>
      </c>
    </row>
    <row r="25" spans="1:14">
      <c r="A25" s="84"/>
      <c r="D25" s="77"/>
      <c r="E25" s="26"/>
      <c r="H25" s="186"/>
      <c r="J25" s="79" t="s">
        <v>211</v>
      </c>
      <c r="L25" s="79" t="s">
        <v>151</v>
      </c>
      <c r="N25" s="78" t="s">
        <v>158</v>
      </c>
    </row>
    <row r="26" spans="1:14">
      <c r="A26" s="84"/>
      <c r="C26" s="7"/>
      <c r="D26" s="77" t="s">
        <v>132</v>
      </c>
      <c r="F26" s="77" t="s">
        <v>152</v>
      </c>
      <c r="H26" s="77" t="s">
        <v>153</v>
      </c>
      <c r="J26" s="77" t="s">
        <v>185</v>
      </c>
      <c r="L26" s="170" t="s">
        <v>38</v>
      </c>
      <c r="M26" s="78"/>
      <c r="N26" s="170" t="s">
        <v>159</v>
      </c>
    </row>
    <row r="27" spans="1:14">
      <c r="A27" s="84">
        <f>A22+1</f>
        <v>17</v>
      </c>
      <c r="B27" s="82" t="s">
        <v>39</v>
      </c>
      <c r="C27" s="83"/>
      <c r="D27" s="35"/>
      <c r="F27" s="35"/>
      <c r="H27" s="35"/>
      <c r="J27" s="35"/>
      <c r="N27" s="35"/>
    </row>
    <row r="28" spans="1:14" ht="13.5" customHeight="1">
      <c r="A28" s="84">
        <f t="shared" si="2"/>
        <v>18</v>
      </c>
      <c r="C28" s="85" t="s">
        <v>207</v>
      </c>
      <c r="D28" s="26">
        <v>6361945290</v>
      </c>
      <c r="E28" s="26"/>
      <c r="F28" s="26">
        <v>2119572239</v>
      </c>
      <c r="G28" s="26"/>
      <c r="H28" s="26">
        <v>3220149917</v>
      </c>
      <c r="I28" s="26"/>
      <c r="J28" s="26">
        <v>492786855</v>
      </c>
      <c r="K28" s="18"/>
      <c r="L28" s="26">
        <v>486535741</v>
      </c>
      <c r="M28" s="25"/>
      <c r="N28" s="25">
        <f>SUM(D28:L28)</f>
        <v>12680990042</v>
      </c>
    </row>
    <row r="29" spans="1:14">
      <c r="A29" s="84">
        <f t="shared" si="2"/>
        <v>19</v>
      </c>
      <c r="C29" s="85" t="s">
        <v>362</v>
      </c>
      <c r="D29" s="26">
        <v>6366901158.240799</v>
      </c>
      <c r="E29" s="26"/>
      <c r="F29" s="26">
        <v>2134412689.7581</v>
      </c>
      <c r="G29" s="26"/>
      <c r="H29" s="26">
        <v>3228893730.1701002</v>
      </c>
      <c r="I29" s="26"/>
      <c r="J29" s="26">
        <v>495136167.9000001</v>
      </c>
      <c r="K29" s="18"/>
      <c r="L29" s="26">
        <v>488163387.50089991</v>
      </c>
      <c r="M29" s="107"/>
      <c r="N29" s="18">
        <f>SUM(D29:L29)</f>
        <v>12713507133.569899</v>
      </c>
    </row>
    <row r="30" spans="1:14">
      <c r="A30" s="84">
        <f t="shared" si="2"/>
        <v>20</v>
      </c>
      <c r="C30" s="85" t="s">
        <v>285</v>
      </c>
      <c r="D30" s="26">
        <v>6353888495.0100002</v>
      </c>
      <c r="E30" s="26"/>
      <c r="F30" s="26">
        <v>2136225567.9480999</v>
      </c>
      <c r="G30" s="26"/>
      <c r="H30" s="26">
        <v>3231938740.0201001</v>
      </c>
      <c r="I30" s="26"/>
      <c r="J30" s="26">
        <v>496855462.40030003</v>
      </c>
      <c r="K30" s="18"/>
      <c r="L30" s="26">
        <v>481728889.75119996</v>
      </c>
      <c r="M30" s="107"/>
      <c r="N30" s="18">
        <f t="shared" ref="N30:N40" si="4">SUM(D30:L30)</f>
        <v>12700637155.129702</v>
      </c>
    </row>
    <row r="31" spans="1:14">
      <c r="A31" s="84">
        <f t="shared" si="2"/>
        <v>21</v>
      </c>
      <c r="C31" s="85" t="s">
        <v>286</v>
      </c>
      <c r="D31" s="26">
        <v>6358029328.2908001</v>
      </c>
      <c r="E31" s="26"/>
      <c r="F31" s="26">
        <v>2140328718.6984999</v>
      </c>
      <c r="G31" s="26"/>
      <c r="H31" s="26">
        <v>3240130004.8900995</v>
      </c>
      <c r="I31" s="26"/>
      <c r="J31" s="26">
        <v>499411757.48870003</v>
      </c>
      <c r="K31" s="18"/>
      <c r="L31" s="26">
        <v>482906464.63169998</v>
      </c>
      <c r="M31" s="107"/>
      <c r="N31" s="18">
        <f t="shared" si="4"/>
        <v>12720806273.9998</v>
      </c>
    </row>
    <row r="32" spans="1:14">
      <c r="A32" s="84">
        <f t="shared" si="2"/>
        <v>22</v>
      </c>
      <c r="C32" s="85" t="s">
        <v>177</v>
      </c>
      <c r="D32" s="26">
        <v>6370100412.8993998</v>
      </c>
      <c r="E32" s="26"/>
      <c r="F32" s="26">
        <v>2174898526.5089998</v>
      </c>
      <c r="G32" s="26"/>
      <c r="H32" s="26">
        <v>3252649374.9301</v>
      </c>
      <c r="I32" s="26"/>
      <c r="J32" s="26">
        <v>500398638.01840001</v>
      </c>
      <c r="K32" s="18"/>
      <c r="L32" s="26">
        <v>475677653.8707999</v>
      </c>
      <c r="M32" s="107"/>
      <c r="N32" s="18">
        <f t="shared" si="4"/>
        <v>12773724606.227699</v>
      </c>
    </row>
    <row r="33" spans="1:14">
      <c r="A33" s="84">
        <f t="shared" si="2"/>
        <v>23</v>
      </c>
      <c r="C33" s="85" t="s">
        <v>287</v>
      </c>
      <c r="D33" s="26">
        <v>6378330414.5091</v>
      </c>
      <c r="E33" s="26"/>
      <c r="F33" s="26">
        <v>2181515464.1789999</v>
      </c>
      <c r="G33" s="26"/>
      <c r="H33" s="26">
        <v>3269626681.9300995</v>
      </c>
      <c r="I33" s="26"/>
      <c r="J33" s="26">
        <v>502215256.46910006</v>
      </c>
      <c r="K33" s="18"/>
      <c r="L33" s="26">
        <v>477391702.52099991</v>
      </c>
      <c r="M33" s="107"/>
      <c r="N33" s="18">
        <f t="shared" si="4"/>
        <v>12809079519.608299</v>
      </c>
    </row>
    <row r="34" spans="1:14">
      <c r="A34" s="84">
        <f t="shared" si="2"/>
        <v>24</v>
      </c>
      <c r="C34" s="85" t="s">
        <v>288</v>
      </c>
      <c r="D34" s="26">
        <v>6435422184.8202</v>
      </c>
      <c r="E34" s="26"/>
      <c r="F34" s="26">
        <v>2188138092.7101002</v>
      </c>
      <c r="G34" s="26"/>
      <c r="H34" s="26">
        <v>3285705701.1300001</v>
      </c>
      <c r="I34" s="26"/>
      <c r="J34" s="26">
        <v>504653782.72909999</v>
      </c>
      <c r="K34" s="18"/>
      <c r="L34" s="26">
        <v>489343484.31099999</v>
      </c>
      <c r="M34" s="107"/>
      <c r="N34" s="18">
        <f t="shared" si="4"/>
        <v>12903263245.700401</v>
      </c>
    </row>
    <row r="35" spans="1:14">
      <c r="A35" s="84">
        <f t="shared" si="2"/>
        <v>25</v>
      </c>
      <c r="C35" s="85" t="s">
        <v>179</v>
      </c>
      <c r="D35" s="26">
        <v>6741984390.4904995</v>
      </c>
      <c r="E35" s="26"/>
      <c r="F35" s="26">
        <v>2196068485.4894004</v>
      </c>
      <c r="G35" s="26"/>
      <c r="H35" s="26">
        <v>3301972679.0500002</v>
      </c>
      <c r="I35" s="26"/>
      <c r="J35" s="26">
        <v>510670340.14919996</v>
      </c>
      <c r="K35" s="18"/>
      <c r="L35" s="26">
        <v>482928400.43109989</v>
      </c>
      <c r="M35" s="107"/>
      <c r="N35" s="18">
        <f t="shared" si="4"/>
        <v>13233624295.610199</v>
      </c>
    </row>
    <row r="36" spans="1:14">
      <c r="A36" s="84">
        <f t="shared" si="2"/>
        <v>26</v>
      </c>
      <c r="C36" s="85" t="s">
        <v>289</v>
      </c>
      <c r="D36" s="26">
        <v>6755725332.7114</v>
      </c>
      <c r="E36" s="26"/>
      <c r="F36" s="26">
        <v>2196520318.4373999</v>
      </c>
      <c r="G36" s="26"/>
      <c r="H36" s="26">
        <v>3322816308.71</v>
      </c>
      <c r="I36" s="26"/>
      <c r="J36" s="26">
        <v>511966465.11050004</v>
      </c>
      <c r="K36" s="18"/>
      <c r="L36" s="26">
        <v>482851628.01029986</v>
      </c>
      <c r="M36" s="107"/>
      <c r="N36" s="18">
        <f t="shared" si="4"/>
        <v>13269880052.979599</v>
      </c>
    </row>
    <row r="37" spans="1:14">
      <c r="A37" s="84">
        <f t="shared" si="2"/>
        <v>27</v>
      </c>
      <c r="C37" s="85" t="s">
        <v>290</v>
      </c>
      <c r="D37" s="26">
        <v>6816683909.5514002</v>
      </c>
      <c r="E37" s="26"/>
      <c r="F37" s="26">
        <v>2213859305.7976003</v>
      </c>
      <c r="G37" s="26"/>
      <c r="H37" s="26">
        <v>3335529824.8000002</v>
      </c>
      <c r="I37" s="26"/>
      <c r="J37" s="26">
        <v>500523481.58070004</v>
      </c>
      <c r="K37" s="18"/>
      <c r="L37" s="26">
        <v>484301771.88029993</v>
      </c>
      <c r="M37" s="107"/>
      <c r="N37" s="18">
        <f t="shared" si="4"/>
        <v>13350898293.610003</v>
      </c>
    </row>
    <row r="38" spans="1:14">
      <c r="A38" s="84">
        <f t="shared" si="2"/>
        <v>28</v>
      </c>
      <c r="C38" s="85" t="s">
        <v>291</v>
      </c>
      <c r="D38" s="26">
        <v>6833817074.7607002</v>
      </c>
      <c r="E38" s="26"/>
      <c r="F38" s="26">
        <v>2221343398.2873998</v>
      </c>
      <c r="G38" s="26"/>
      <c r="H38" s="26">
        <v>3346933281.8899999</v>
      </c>
      <c r="I38" s="26"/>
      <c r="J38" s="26">
        <v>505657195.84010005</v>
      </c>
      <c r="K38" s="18"/>
      <c r="L38" s="26">
        <v>475428672.18039995</v>
      </c>
      <c r="M38" s="107"/>
      <c r="N38" s="18">
        <f t="shared" si="4"/>
        <v>13383179622.958599</v>
      </c>
    </row>
    <row r="39" spans="1:14">
      <c r="A39" s="84">
        <f t="shared" si="2"/>
        <v>29</v>
      </c>
      <c r="C39" s="85" t="s">
        <v>292</v>
      </c>
      <c r="D39" s="26">
        <v>6872006276.2812004</v>
      </c>
      <c r="E39" s="26"/>
      <c r="F39" s="26">
        <v>2236110571.3386002</v>
      </c>
      <c r="G39" s="26"/>
      <c r="H39" s="26">
        <v>3359412911.6399994</v>
      </c>
      <c r="I39" s="26"/>
      <c r="J39" s="26">
        <v>508986486.2198</v>
      </c>
      <c r="K39" s="18"/>
      <c r="L39" s="26">
        <v>466057446.16059995</v>
      </c>
      <c r="M39" s="107"/>
      <c r="N39" s="18">
        <f t="shared" si="4"/>
        <v>13442573691.6402</v>
      </c>
    </row>
    <row r="40" spans="1:14">
      <c r="A40" s="84">
        <f t="shared" si="2"/>
        <v>30</v>
      </c>
      <c r="C40" s="85" t="s">
        <v>363</v>
      </c>
      <c r="D40" s="26">
        <v>7210024597</v>
      </c>
      <c r="E40" s="26"/>
      <c r="F40" s="26">
        <v>2260072707</v>
      </c>
      <c r="G40" s="26"/>
      <c r="H40" s="26">
        <v>3376119087</v>
      </c>
      <c r="I40" s="26"/>
      <c r="J40" s="26">
        <v>593912302</v>
      </c>
      <c r="K40" s="18"/>
      <c r="L40" s="26">
        <v>495888358</v>
      </c>
      <c r="M40" s="107"/>
      <c r="N40" s="18">
        <f t="shared" si="4"/>
        <v>13936017051</v>
      </c>
    </row>
    <row r="41" spans="1:14">
      <c r="A41" s="84">
        <f t="shared" si="2"/>
        <v>31</v>
      </c>
      <c r="C41" s="85"/>
      <c r="D41" s="34"/>
      <c r="F41" s="34"/>
      <c r="H41" s="34"/>
      <c r="I41" s="18"/>
      <c r="J41" s="34"/>
      <c r="K41" s="18"/>
      <c r="L41" s="171"/>
      <c r="M41" s="107"/>
      <c r="N41" s="34"/>
    </row>
    <row r="42" spans="1:14" ht="13.5" thickBot="1">
      <c r="A42" s="84">
        <f t="shared" si="2"/>
        <v>32</v>
      </c>
      <c r="C42" s="179" t="s">
        <v>156</v>
      </c>
      <c r="D42" s="36">
        <f>SUM(D28:D40)/13</f>
        <v>6604219912.658885</v>
      </c>
      <c r="F42" s="36">
        <f>SUM(F28:F40)/13</f>
        <v>2184543545.0117846</v>
      </c>
      <c r="H42" s="36">
        <f>SUM(H28:H40)/13</f>
        <v>3290144480.2431154</v>
      </c>
      <c r="I42" s="174"/>
      <c r="J42" s="36">
        <f>SUM(J28:J40)/13</f>
        <v>509474937.76199234</v>
      </c>
      <c r="K42" s="25"/>
      <c r="L42" s="36">
        <f>SUM(L28:L40)/13</f>
        <v>482246430.78840762</v>
      </c>
      <c r="M42" s="110"/>
      <c r="N42" s="36">
        <f>SUM(N28:N40)/13</f>
        <v>13070629306.464184</v>
      </c>
    </row>
    <row r="43" spans="1:14" ht="13.5" thickTop="1">
      <c r="A43" s="84"/>
      <c r="C43" s="7"/>
      <c r="D43" s="7"/>
      <c r="E43" s="7"/>
      <c r="F43" s="7"/>
      <c r="G43" s="7"/>
      <c r="H43" s="7"/>
      <c r="I43" s="7"/>
      <c r="J43" s="7"/>
      <c r="K43" s="7"/>
      <c r="L43" s="7"/>
      <c r="M43" s="7"/>
      <c r="N43" s="7"/>
    </row>
    <row r="44" spans="1:14">
      <c r="A44" s="84"/>
      <c r="C44" s="7"/>
      <c r="D44" s="78"/>
      <c r="E44" s="26"/>
      <c r="I44" s="77"/>
      <c r="K44" s="77"/>
      <c r="L44" s="77"/>
      <c r="M44" s="77"/>
      <c r="N44" s="78" t="s">
        <v>157</v>
      </c>
    </row>
    <row r="45" spans="1:14">
      <c r="A45" s="84"/>
      <c r="C45" s="7"/>
      <c r="D45" s="77"/>
      <c r="E45" s="26"/>
      <c r="H45" s="186"/>
      <c r="J45" s="79" t="s">
        <v>211</v>
      </c>
      <c r="L45" s="79" t="s">
        <v>151</v>
      </c>
      <c r="N45" s="78" t="s">
        <v>158</v>
      </c>
    </row>
    <row r="46" spans="1:14">
      <c r="A46" s="84"/>
      <c r="C46" s="7"/>
      <c r="D46" s="77" t="s">
        <v>132</v>
      </c>
      <c r="F46" s="77" t="s">
        <v>152</v>
      </c>
      <c r="H46" s="77" t="s">
        <v>153</v>
      </c>
      <c r="J46" s="77" t="s">
        <v>185</v>
      </c>
      <c r="L46" s="170" t="s">
        <v>38</v>
      </c>
      <c r="M46" s="78"/>
      <c r="N46" s="170" t="s">
        <v>159</v>
      </c>
    </row>
    <row r="47" spans="1:14">
      <c r="A47" s="84">
        <f>A42+1</f>
        <v>33</v>
      </c>
      <c r="B47" s="82" t="s">
        <v>40</v>
      </c>
      <c r="C47" s="83"/>
      <c r="D47" s="35"/>
      <c r="F47" s="35"/>
      <c r="H47" s="35"/>
      <c r="J47" s="35"/>
      <c r="N47" s="35"/>
    </row>
    <row r="48" spans="1:14">
      <c r="A48" s="84">
        <f t="shared" si="2"/>
        <v>34</v>
      </c>
      <c r="C48" s="85" t="s">
        <v>207</v>
      </c>
      <c r="D48" s="26">
        <v>434265286.06999999</v>
      </c>
      <c r="E48" s="26"/>
      <c r="F48" s="26">
        <v>565053135.69000006</v>
      </c>
      <c r="G48" s="26"/>
      <c r="H48" s="26">
        <v>698856803.65999997</v>
      </c>
      <c r="I48" s="26"/>
      <c r="J48" s="26">
        <v>81652369.469999984</v>
      </c>
      <c r="K48" s="18"/>
      <c r="L48" s="26">
        <v>102489992.70000003</v>
      </c>
      <c r="M48" s="25"/>
      <c r="N48" s="25">
        <f>SUM(D48:L48)</f>
        <v>1882317587.5900002</v>
      </c>
    </row>
    <row r="49" spans="1:14">
      <c r="A49" s="84">
        <f t="shared" si="2"/>
        <v>35</v>
      </c>
      <c r="C49" s="85" t="s">
        <v>362</v>
      </c>
      <c r="D49" s="26">
        <v>434882379.42000002</v>
      </c>
      <c r="E49" s="26"/>
      <c r="F49" s="26">
        <v>567302627.60000002</v>
      </c>
      <c r="G49" s="26"/>
      <c r="H49" s="26">
        <v>700081975.33999991</v>
      </c>
      <c r="I49" s="26"/>
      <c r="J49" s="26">
        <v>82028030.290000021</v>
      </c>
      <c r="K49" s="18"/>
      <c r="L49" s="26">
        <v>102551788.09000003</v>
      </c>
      <c r="M49" s="107"/>
      <c r="N49" s="18">
        <f>SUM(D49:L49)</f>
        <v>1886846800.7399998</v>
      </c>
    </row>
    <row r="50" spans="1:14">
      <c r="A50" s="84">
        <f t="shared" si="2"/>
        <v>36</v>
      </c>
      <c r="C50" s="85" t="s">
        <v>285</v>
      </c>
      <c r="D50" s="26">
        <v>435052153.93000001</v>
      </c>
      <c r="E50" s="26"/>
      <c r="F50" s="26">
        <v>567718752.97000003</v>
      </c>
      <c r="G50" s="26"/>
      <c r="H50" s="26">
        <v>701712103.43999994</v>
      </c>
      <c r="I50" s="26"/>
      <c r="J50" s="26">
        <v>82542791.970000014</v>
      </c>
      <c r="K50" s="18"/>
      <c r="L50" s="26">
        <v>101807134.76000002</v>
      </c>
      <c r="M50" s="107"/>
      <c r="N50" s="18">
        <f t="shared" ref="N50:N60" si="5">SUM(D50:L50)</f>
        <v>1888832937.0700002</v>
      </c>
    </row>
    <row r="51" spans="1:14">
      <c r="A51" s="84">
        <f t="shared" si="2"/>
        <v>37</v>
      </c>
      <c r="C51" s="85" t="s">
        <v>286</v>
      </c>
      <c r="D51" s="26">
        <v>435155678.29000002</v>
      </c>
      <c r="E51" s="26"/>
      <c r="F51" s="26">
        <v>581397311.91000009</v>
      </c>
      <c r="G51" s="26"/>
      <c r="H51" s="26">
        <v>702722546.42000008</v>
      </c>
      <c r="I51" s="26"/>
      <c r="J51" s="26">
        <v>82623252.820000008</v>
      </c>
      <c r="K51" s="18"/>
      <c r="L51" s="26">
        <v>101911297.48</v>
      </c>
      <c r="M51" s="107"/>
      <c r="N51" s="18">
        <f t="shared" si="5"/>
        <v>1903810086.9200001</v>
      </c>
    </row>
    <row r="52" spans="1:14">
      <c r="A52" s="84">
        <f t="shared" si="2"/>
        <v>38</v>
      </c>
      <c r="C52" s="85" t="s">
        <v>177</v>
      </c>
      <c r="D52" s="26">
        <v>435291074.28000003</v>
      </c>
      <c r="E52" s="26"/>
      <c r="F52" s="26">
        <v>590963652.47000003</v>
      </c>
      <c r="G52" s="26"/>
      <c r="H52" s="26">
        <v>706771880.11000001</v>
      </c>
      <c r="I52" s="26"/>
      <c r="J52" s="26">
        <v>83313672.130000025</v>
      </c>
      <c r="K52" s="18"/>
      <c r="L52" s="26">
        <v>102341765.89000003</v>
      </c>
      <c r="M52" s="107"/>
      <c r="N52" s="18">
        <f t="shared" si="5"/>
        <v>1918682044.8800004</v>
      </c>
    </row>
    <row r="53" spans="1:14">
      <c r="A53" s="84">
        <f t="shared" si="2"/>
        <v>39</v>
      </c>
      <c r="C53" s="85" t="s">
        <v>287</v>
      </c>
      <c r="D53" s="26">
        <v>436878668.73000002</v>
      </c>
      <c r="E53" s="26"/>
      <c r="F53" s="26">
        <v>599072968.70000005</v>
      </c>
      <c r="G53" s="26"/>
      <c r="H53" s="26">
        <v>708691986.06999993</v>
      </c>
      <c r="I53" s="26"/>
      <c r="J53" s="26">
        <v>83997661.950000018</v>
      </c>
      <c r="K53" s="18"/>
      <c r="L53" s="26">
        <v>102808518.95000002</v>
      </c>
      <c r="M53" s="107"/>
      <c r="N53" s="18">
        <f t="shared" si="5"/>
        <v>1931449804.4000001</v>
      </c>
    </row>
    <row r="54" spans="1:14">
      <c r="A54" s="84">
        <f t="shared" si="2"/>
        <v>40</v>
      </c>
      <c r="C54" s="85" t="s">
        <v>288</v>
      </c>
      <c r="D54" s="26">
        <v>438268298.06999999</v>
      </c>
      <c r="E54" s="26"/>
      <c r="F54" s="26">
        <v>599412786.79000008</v>
      </c>
      <c r="G54" s="26"/>
      <c r="H54" s="26">
        <v>710675063.57999992</v>
      </c>
      <c r="I54" s="26"/>
      <c r="J54" s="26">
        <v>84535516.310000002</v>
      </c>
      <c r="K54" s="18"/>
      <c r="L54" s="26">
        <v>103314692.02000003</v>
      </c>
      <c r="M54" s="107"/>
      <c r="N54" s="18">
        <f t="shared" si="5"/>
        <v>1936206356.77</v>
      </c>
    </row>
    <row r="55" spans="1:14">
      <c r="A55" s="84">
        <f t="shared" si="2"/>
        <v>41</v>
      </c>
      <c r="C55" s="85" t="s">
        <v>179</v>
      </c>
      <c r="D55" s="26">
        <v>438279275.94999999</v>
      </c>
      <c r="E55" s="26"/>
      <c r="F55" s="26">
        <v>601041018.22000015</v>
      </c>
      <c r="G55" s="26"/>
      <c r="H55" s="26">
        <v>713855831.13999999</v>
      </c>
      <c r="I55" s="26"/>
      <c r="J55" s="26">
        <v>85105060.890000001</v>
      </c>
      <c r="K55" s="18"/>
      <c r="L55" s="26">
        <v>103435877.00000001</v>
      </c>
      <c r="M55" s="107"/>
      <c r="N55" s="18">
        <f t="shared" si="5"/>
        <v>1941717063.2</v>
      </c>
    </row>
    <row r="56" spans="1:14">
      <c r="A56" s="84">
        <f t="shared" si="2"/>
        <v>42</v>
      </c>
      <c r="C56" s="85" t="s">
        <v>289</v>
      </c>
      <c r="D56" s="26">
        <v>439127988.60000002</v>
      </c>
      <c r="E56" s="26"/>
      <c r="F56" s="26">
        <v>603292431.80000007</v>
      </c>
      <c r="G56" s="26"/>
      <c r="H56" s="26">
        <v>719322182.19999993</v>
      </c>
      <c r="I56" s="26"/>
      <c r="J56" s="26">
        <v>85359120.390000001</v>
      </c>
      <c r="K56" s="18"/>
      <c r="L56" s="26">
        <v>103641808.94000001</v>
      </c>
      <c r="M56" s="107"/>
      <c r="N56" s="18">
        <f t="shared" si="5"/>
        <v>1950743531.9300001</v>
      </c>
    </row>
    <row r="57" spans="1:14">
      <c r="A57" s="84">
        <f t="shared" si="2"/>
        <v>43</v>
      </c>
      <c r="C57" s="85" t="s">
        <v>290</v>
      </c>
      <c r="D57" s="26">
        <v>439200415.29000002</v>
      </c>
      <c r="E57" s="26"/>
      <c r="F57" s="26">
        <v>605072690.37</v>
      </c>
      <c r="G57" s="26"/>
      <c r="H57" s="26">
        <v>723316574.56000006</v>
      </c>
      <c r="I57" s="26"/>
      <c r="J57" s="26">
        <v>86561546.769999996</v>
      </c>
      <c r="K57" s="18"/>
      <c r="L57" s="26">
        <v>103772919.65000001</v>
      </c>
      <c r="M57" s="107"/>
      <c r="N57" s="18">
        <f t="shared" si="5"/>
        <v>1957924146.6400003</v>
      </c>
    </row>
    <row r="58" spans="1:14">
      <c r="A58" s="84">
        <f t="shared" si="2"/>
        <v>44</v>
      </c>
      <c r="C58" s="85" t="s">
        <v>291</v>
      </c>
      <c r="D58" s="26">
        <v>440966480.86000001</v>
      </c>
      <c r="E58" s="26"/>
      <c r="F58" s="26">
        <v>606248699.89999998</v>
      </c>
      <c r="G58" s="26"/>
      <c r="H58" s="26">
        <v>727006778.85000002</v>
      </c>
      <c r="I58" s="26"/>
      <c r="J58" s="26">
        <v>86703371.599999994</v>
      </c>
      <c r="K58" s="18"/>
      <c r="L58" s="26">
        <v>102025490.60000002</v>
      </c>
      <c r="M58" s="107"/>
      <c r="N58" s="18">
        <f t="shared" si="5"/>
        <v>1962950821.8099999</v>
      </c>
    </row>
    <row r="59" spans="1:14">
      <c r="A59" s="84">
        <f t="shared" si="2"/>
        <v>45</v>
      </c>
      <c r="C59" s="85" t="s">
        <v>292</v>
      </c>
      <c r="D59" s="26">
        <v>441478639.06999999</v>
      </c>
      <c r="E59" s="26"/>
      <c r="F59" s="26">
        <v>619467255.61000001</v>
      </c>
      <c r="G59" s="26"/>
      <c r="H59" s="26">
        <v>731169040.70000005</v>
      </c>
      <c r="I59" s="26"/>
      <c r="J59" s="26">
        <v>86998600.430000022</v>
      </c>
      <c r="K59" s="18"/>
      <c r="L59" s="26">
        <v>102232812.30999999</v>
      </c>
      <c r="M59" s="107"/>
      <c r="N59" s="18">
        <f t="shared" si="5"/>
        <v>1981346348.1200001</v>
      </c>
    </row>
    <row r="60" spans="1:14">
      <c r="A60" s="84">
        <f t="shared" si="2"/>
        <v>46</v>
      </c>
      <c r="C60" s="85" t="s">
        <v>363</v>
      </c>
      <c r="D60" s="26">
        <v>446061593.63999981</v>
      </c>
      <c r="E60" s="26"/>
      <c r="F60" s="26">
        <v>630492660.79999995</v>
      </c>
      <c r="G60" s="26"/>
      <c r="H60" s="26">
        <v>733896597.34999967</v>
      </c>
      <c r="I60" s="26"/>
      <c r="J60" s="26">
        <v>87871343.979999974</v>
      </c>
      <c r="K60" s="18"/>
      <c r="L60" s="26">
        <v>104041834.96999994</v>
      </c>
      <c r="M60" s="107"/>
      <c r="N60" s="18">
        <f t="shared" si="5"/>
        <v>2002364030.7399995</v>
      </c>
    </row>
    <row r="61" spans="1:14">
      <c r="A61" s="84">
        <f t="shared" si="2"/>
        <v>47</v>
      </c>
      <c r="C61" s="85"/>
      <c r="D61" s="34"/>
      <c r="F61" s="34"/>
      <c r="H61" s="34"/>
      <c r="I61" s="18"/>
      <c r="J61" s="34"/>
      <c r="K61" s="18"/>
      <c r="L61" s="171"/>
      <c r="M61" s="107"/>
      <c r="N61" s="34"/>
    </row>
    <row r="62" spans="1:14" ht="13.5" thickBot="1">
      <c r="A62" s="84">
        <f t="shared" si="2"/>
        <v>48</v>
      </c>
      <c r="C62" s="179" t="s">
        <v>156</v>
      </c>
      <c r="D62" s="36">
        <f>SUM(D48:D60)/13</f>
        <v>438069840.93846142</v>
      </c>
      <c r="F62" s="36">
        <f>SUM(F48:F60)/13</f>
        <v>595118153.29461539</v>
      </c>
      <c r="G62" s="73"/>
      <c r="H62" s="36">
        <f>SUM(H48:H60)/13</f>
        <v>713698412.57076919</v>
      </c>
      <c r="I62" s="174"/>
      <c r="J62" s="36">
        <f>SUM(J48:J60)/13</f>
        <v>84560949.15384616</v>
      </c>
      <c r="K62" s="25"/>
      <c r="L62" s="36">
        <f>SUM(L48:L60)/13</f>
        <v>102798148.72000001</v>
      </c>
      <c r="M62" s="110"/>
      <c r="N62" s="36">
        <f>SUM(N48:N60)/13</f>
        <v>1934245504.6776922</v>
      </c>
    </row>
    <row r="63" spans="1:14" ht="13.5" thickTop="1"/>
    <row r="65" spans="1:12">
      <c r="A65" s="84">
        <f>A62+1</f>
        <v>49</v>
      </c>
      <c r="C65" s="82" t="s">
        <v>39</v>
      </c>
    </row>
    <row r="66" spans="1:12">
      <c r="A66" s="84">
        <f>A65+1</f>
        <v>50</v>
      </c>
      <c r="C66" s="85" t="s">
        <v>371</v>
      </c>
      <c r="D66" s="4">
        <v>6577077286</v>
      </c>
      <c r="F66" s="4">
        <v>2119572239</v>
      </c>
      <c r="H66" s="4">
        <v>3233191615</v>
      </c>
      <c r="J66" s="4">
        <f>188957835+303829020</f>
        <v>492786855</v>
      </c>
      <c r="L66" s="4">
        <v>484706409</v>
      </c>
    </row>
    <row r="67" spans="1:12">
      <c r="A67" s="84">
        <f t="shared" ref="A67:A81" si="6">A66+1</f>
        <v>51</v>
      </c>
      <c r="C67" s="4" t="s">
        <v>376</v>
      </c>
      <c r="D67" s="41">
        <f>28034129+159306083+27791784</f>
        <v>215131996</v>
      </c>
      <c r="F67" s="41">
        <v>0</v>
      </c>
      <c r="H67" s="41">
        <v>13041698</v>
      </c>
      <c r="J67" s="41">
        <v>0</v>
      </c>
      <c r="L67" s="42">
        <v>-1829332</v>
      </c>
    </row>
    <row r="68" spans="1:12">
      <c r="A68" s="84">
        <f t="shared" si="6"/>
        <v>52</v>
      </c>
      <c r="C68" s="4" t="s">
        <v>372</v>
      </c>
      <c r="D68" s="4">
        <f>D66-D67</f>
        <v>6361945290</v>
      </c>
      <c r="F68" s="4">
        <f>F66-F67</f>
        <v>2119572239</v>
      </c>
      <c r="H68" s="4">
        <f>H66-H67</f>
        <v>3220149917</v>
      </c>
      <c r="J68" s="4">
        <f>J66-J67</f>
        <v>492786855</v>
      </c>
      <c r="L68" s="4">
        <f>L66-L67</f>
        <v>486535741</v>
      </c>
    </row>
    <row r="69" spans="1:12">
      <c r="A69" s="84">
        <f t="shared" si="6"/>
        <v>53</v>
      </c>
    </row>
    <row r="70" spans="1:12">
      <c r="A70" s="84">
        <f t="shared" si="6"/>
        <v>54</v>
      </c>
      <c r="C70" s="85" t="s">
        <v>373</v>
      </c>
      <c r="D70" s="4">
        <v>7425982697</v>
      </c>
      <c r="F70" s="4">
        <v>2260246136</v>
      </c>
      <c r="H70" s="4">
        <v>3379693536</v>
      </c>
      <c r="J70" s="4">
        <f>256248348+337663954</f>
        <v>593912302</v>
      </c>
      <c r="L70" s="4">
        <v>493906163</v>
      </c>
    </row>
    <row r="71" spans="1:12">
      <c r="A71" s="84">
        <f t="shared" si="6"/>
        <v>55</v>
      </c>
      <c r="C71" s="4" t="s">
        <v>376</v>
      </c>
      <c r="D71" s="41">
        <f>28727672+159306083+132561+27791784</f>
        <v>215958100</v>
      </c>
      <c r="F71" s="41">
        <v>173429</v>
      </c>
      <c r="H71" s="41">
        <v>3574449</v>
      </c>
      <c r="J71" s="41">
        <v>0</v>
      </c>
      <c r="L71" s="42">
        <v>-1982195</v>
      </c>
    </row>
    <row r="72" spans="1:12">
      <c r="A72" s="84">
        <f t="shared" si="6"/>
        <v>56</v>
      </c>
      <c r="C72" s="4" t="s">
        <v>374</v>
      </c>
      <c r="D72" s="4">
        <f>D70-D71</f>
        <v>7210024597</v>
      </c>
      <c r="F72" s="4">
        <f>F70-F71</f>
        <v>2260072707</v>
      </c>
      <c r="H72" s="4">
        <f>H70-H71</f>
        <v>3376119087</v>
      </c>
      <c r="J72" s="4">
        <f>J70-J71</f>
        <v>593912302</v>
      </c>
      <c r="L72" s="4">
        <f>L70-L71</f>
        <v>495888358</v>
      </c>
    </row>
    <row r="73" spans="1:12">
      <c r="A73" s="84">
        <f t="shared" si="6"/>
        <v>57</v>
      </c>
    </row>
    <row r="74" spans="1:12">
      <c r="A74" s="84">
        <f t="shared" si="6"/>
        <v>58</v>
      </c>
      <c r="C74" s="82" t="s">
        <v>375</v>
      </c>
    </row>
    <row r="75" spans="1:12">
      <c r="A75" s="84">
        <f t="shared" si="6"/>
        <v>59</v>
      </c>
      <c r="C75" s="85" t="s">
        <v>371</v>
      </c>
      <c r="D75" s="4">
        <v>436227148.25</v>
      </c>
      <c r="F75" s="4">
        <v>565053135.5</v>
      </c>
      <c r="H75" s="4">
        <v>699828857.25</v>
      </c>
      <c r="J75" s="4">
        <f>9940384+71711985</f>
        <v>81652369</v>
      </c>
      <c r="L75" s="4">
        <v>102489993</v>
      </c>
    </row>
    <row r="76" spans="1:12">
      <c r="A76" s="84">
        <f t="shared" si="6"/>
        <v>60</v>
      </c>
      <c r="C76" s="4" t="s">
        <v>376</v>
      </c>
      <c r="D76" s="41">
        <f>1961862.75</f>
        <v>1961862.75</v>
      </c>
      <c r="F76" s="41">
        <v>0</v>
      </c>
      <c r="H76" s="41">
        <v>972053.75</v>
      </c>
      <c r="J76" s="41">
        <v>0</v>
      </c>
      <c r="L76" s="42">
        <v>0</v>
      </c>
    </row>
    <row r="77" spans="1:12">
      <c r="A77" s="84">
        <f t="shared" si="6"/>
        <v>61</v>
      </c>
      <c r="C77" s="4" t="s">
        <v>372</v>
      </c>
      <c r="D77" s="4">
        <f>D75-D76</f>
        <v>434265285.5</v>
      </c>
      <c r="F77" s="4">
        <f>F75-F76</f>
        <v>565053135.5</v>
      </c>
      <c r="H77" s="4">
        <f>H75-H76</f>
        <v>698856803.5</v>
      </c>
      <c r="J77" s="4">
        <f>J75-J76</f>
        <v>81652369</v>
      </c>
      <c r="L77" s="4">
        <f>L75-L76</f>
        <v>102489993</v>
      </c>
    </row>
    <row r="78" spans="1:12">
      <c r="A78" s="84">
        <f t="shared" si="6"/>
        <v>62</v>
      </c>
    </row>
    <row r="79" spans="1:12">
      <c r="A79" s="84">
        <f t="shared" si="6"/>
        <v>63</v>
      </c>
      <c r="C79" s="85" t="s">
        <v>373</v>
      </c>
      <c r="D79" s="4">
        <v>448645536.25</v>
      </c>
      <c r="F79" s="4">
        <v>630518942.25</v>
      </c>
      <c r="H79" s="4">
        <v>733866069.25</v>
      </c>
      <c r="J79" s="4">
        <f>11291254+76580090</f>
        <v>87871344</v>
      </c>
      <c r="L79" s="4">
        <v>104129032.75</v>
      </c>
    </row>
    <row r="80" spans="1:12">
      <c r="A80" s="84">
        <f t="shared" si="6"/>
        <v>64</v>
      </c>
      <c r="C80" s="4" t="s">
        <v>376</v>
      </c>
      <c r="D80" s="41">
        <f>2554671+29271.75</f>
        <v>2583942.75</v>
      </c>
      <c r="F80" s="41">
        <v>26281.75</v>
      </c>
      <c r="H80" s="42">
        <v>-30527.25</v>
      </c>
      <c r="J80" s="41">
        <v>0</v>
      </c>
      <c r="L80" s="42">
        <v>87197.3</v>
      </c>
    </row>
    <row r="81" spans="1:12">
      <c r="A81" s="84">
        <f t="shared" si="6"/>
        <v>65</v>
      </c>
      <c r="C81" s="4" t="s">
        <v>374</v>
      </c>
      <c r="D81" s="4">
        <f>D79-D80</f>
        <v>446061593.5</v>
      </c>
      <c r="F81" s="4">
        <f>F79-F80</f>
        <v>630492660.5</v>
      </c>
      <c r="H81" s="4">
        <f>H79-H80</f>
        <v>733896596.5</v>
      </c>
      <c r="J81" s="4">
        <f>J79-J80</f>
        <v>87871344</v>
      </c>
      <c r="L81" s="242">
        <f>L79-L80</f>
        <v>104041835.45</v>
      </c>
    </row>
  </sheetData>
  <phoneticPr fontId="10" type="noConversion"/>
  <printOptions horizontalCentered="1"/>
  <pageMargins left="0.75" right="0.25" top="0.75" bottom="0.4" header="0" footer="0.25"/>
  <pageSetup scale="63" orientation="portrait" r:id="rId1"/>
  <headerFooter alignWithMargins="0">
    <oddFooter>Page &amp;P of &amp;N</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P83"/>
  <sheetViews>
    <sheetView showGridLines="0" zoomScaleNormal="75" workbookViewId="0">
      <selection activeCell="A4" sqref="A4"/>
    </sheetView>
  </sheetViews>
  <sheetFormatPr defaultColWidth="14.44140625" defaultRowHeight="12.75"/>
  <cols>
    <col min="1" max="1" width="5" style="75" customWidth="1"/>
    <col min="2" max="2" width="3" style="4" customWidth="1"/>
    <col min="3" max="3" width="26.77734375" style="4" customWidth="1"/>
    <col min="4" max="4" width="14" style="4" customWidth="1"/>
    <col min="5" max="5" width="0.88671875" style="4" customWidth="1"/>
    <col min="6" max="6" width="14" style="4" customWidth="1"/>
    <col min="7" max="7" width="0.88671875" style="4" customWidth="1"/>
    <col min="8" max="8" width="14" style="4" customWidth="1"/>
    <col min="9" max="9" width="0.88671875" style="4" customWidth="1"/>
    <col min="10" max="10" width="12.88671875" style="4" customWidth="1"/>
    <col min="11" max="11" width="0.88671875" style="4" customWidth="1"/>
    <col min="12" max="12" width="14" style="4" customWidth="1"/>
    <col min="13" max="13" width="0.77734375" style="4" customWidth="1"/>
    <col min="14" max="14" width="14.44140625" style="4" bestFit="1" customWidth="1"/>
    <col min="15" max="15" width="14.44140625" style="4"/>
    <col min="16" max="16" width="4.77734375" style="75" customWidth="1"/>
    <col min="17" max="16384" width="14.44140625" style="4"/>
  </cols>
  <sheetData>
    <row r="1" spans="1:16">
      <c r="A1" s="72" t="s">
        <v>36</v>
      </c>
      <c r="B1" s="73"/>
      <c r="C1" s="73"/>
      <c r="D1" s="73"/>
      <c r="E1" s="73"/>
      <c r="F1" s="73"/>
      <c r="G1" s="73"/>
      <c r="H1" s="73"/>
      <c r="I1" s="73"/>
      <c r="J1" s="73"/>
      <c r="K1" s="73"/>
      <c r="L1" s="73"/>
      <c r="M1" s="73"/>
      <c r="N1" s="74" t="s">
        <v>360</v>
      </c>
      <c r="P1" s="72"/>
    </row>
    <row r="2" spans="1:16">
      <c r="A2" s="72" t="s">
        <v>41</v>
      </c>
      <c r="B2" s="73"/>
      <c r="C2" s="73"/>
      <c r="D2" s="73"/>
      <c r="E2" s="73"/>
      <c r="F2" s="73"/>
      <c r="G2" s="73"/>
      <c r="H2" s="73"/>
      <c r="I2" s="73"/>
      <c r="J2" s="73"/>
      <c r="K2" s="73"/>
      <c r="L2" s="73"/>
      <c r="M2" s="73"/>
      <c r="N2" s="74"/>
      <c r="P2" s="72"/>
    </row>
    <row r="3" spans="1:16">
      <c r="A3" s="72" t="s">
        <v>361</v>
      </c>
      <c r="B3" s="73"/>
      <c r="C3" s="73"/>
      <c r="D3" s="73"/>
      <c r="E3" s="73"/>
      <c r="F3" s="73"/>
      <c r="G3" s="73"/>
      <c r="H3" s="73"/>
      <c r="I3" s="73"/>
      <c r="J3" s="73"/>
      <c r="K3" s="73"/>
      <c r="L3" s="73"/>
      <c r="M3" s="73"/>
      <c r="N3" s="78" t="s">
        <v>157</v>
      </c>
      <c r="P3" s="72"/>
    </row>
    <row r="4" spans="1:16">
      <c r="A4" s="231" t="s">
        <v>283</v>
      </c>
      <c r="D4" s="78"/>
      <c r="E4" s="26"/>
      <c r="I4" s="77"/>
      <c r="K4" s="77"/>
      <c r="L4" s="77"/>
      <c r="M4" s="77"/>
      <c r="N4" s="78" t="s">
        <v>42</v>
      </c>
      <c r="P4" s="72"/>
    </row>
    <row r="5" spans="1:16">
      <c r="A5" s="75" t="s">
        <v>174</v>
      </c>
      <c r="D5" s="77"/>
      <c r="E5" s="26"/>
      <c r="H5" s="186"/>
      <c r="J5" s="79" t="s">
        <v>212</v>
      </c>
      <c r="L5" s="79" t="s">
        <v>151</v>
      </c>
      <c r="N5" s="78" t="s">
        <v>134</v>
      </c>
      <c r="P5" s="72"/>
    </row>
    <row r="6" spans="1:16">
      <c r="A6" s="80" t="s">
        <v>150</v>
      </c>
      <c r="D6" s="77" t="s">
        <v>132</v>
      </c>
      <c r="F6" s="77" t="s">
        <v>152</v>
      </c>
      <c r="H6" s="77" t="s">
        <v>153</v>
      </c>
      <c r="J6" s="77" t="s">
        <v>185</v>
      </c>
      <c r="L6" s="170" t="s">
        <v>38</v>
      </c>
      <c r="M6" s="78"/>
      <c r="N6" s="170" t="s">
        <v>135</v>
      </c>
      <c r="P6" s="72"/>
    </row>
    <row r="7" spans="1:16">
      <c r="A7" s="81" t="s">
        <v>154</v>
      </c>
      <c r="B7" s="82" t="s">
        <v>37</v>
      </c>
      <c r="C7" s="83"/>
      <c r="D7" s="35"/>
      <c r="F7" s="35"/>
      <c r="H7" s="35"/>
      <c r="J7" s="35"/>
      <c r="N7" s="35"/>
      <c r="P7" s="72"/>
    </row>
    <row r="8" spans="1:16">
      <c r="A8" s="84">
        <f t="shared" ref="A8:A38" si="0">+A7+1</f>
        <v>2</v>
      </c>
      <c r="C8" s="85" t="s">
        <v>207</v>
      </c>
      <c r="D8" s="25">
        <f t="shared" ref="D8:D20" si="1">+D29+D50</f>
        <v>3250499821.6406002</v>
      </c>
      <c r="E8" s="26"/>
      <c r="F8" s="25">
        <f t="shared" ref="F8:L20" si="2">+F29+F50</f>
        <v>852717673.04999995</v>
      </c>
      <c r="G8" s="25">
        <f t="shared" si="2"/>
        <v>0</v>
      </c>
      <c r="H8" s="25">
        <f t="shared" si="2"/>
        <v>1638111281.97</v>
      </c>
      <c r="I8" s="25">
        <f t="shared" si="2"/>
        <v>0</v>
      </c>
      <c r="J8" s="25">
        <f t="shared" si="2"/>
        <v>185315586.79029998</v>
      </c>
      <c r="K8" s="25">
        <f t="shared" si="2"/>
        <v>0</v>
      </c>
      <c r="L8" s="25">
        <f t="shared" si="2"/>
        <v>324813770.37</v>
      </c>
      <c r="M8" s="25"/>
      <c r="N8" s="25">
        <f t="shared" ref="N8:N20" si="3">SUM(D8:L8)</f>
        <v>6251458133.8209009</v>
      </c>
      <c r="P8" s="72"/>
    </row>
    <row r="9" spans="1:16">
      <c r="A9" s="84">
        <f t="shared" si="0"/>
        <v>3</v>
      </c>
      <c r="C9" s="85" t="s">
        <v>362</v>
      </c>
      <c r="D9" s="26">
        <f t="shared" si="1"/>
        <v>3265074201.1196003</v>
      </c>
      <c r="E9" s="26"/>
      <c r="F9" s="26">
        <f t="shared" si="2"/>
        <v>854922507.13919997</v>
      </c>
      <c r="G9" s="26">
        <f t="shared" si="2"/>
        <v>0</v>
      </c>
      <c r="H9" s="26">
        <f t="shared" si="2"/>
        <v>1642291152.2298002</v>
      </c>
      <c r="I9" s="26">
        <f t="shared" si="2"/>
        <v>0</v>
      </c>
      <c r="J9" s="26">
        <f t="shared" si="2"/>
        <v>188656057.55939996</v>
      </c>
      <c r="K9" s="26">
        <f t="shared" si="2"/>
        <v>0</v>
      </c>
      <c r="L9" s="26">
        <f t="shared" si="2"/>
        <v>328363479.57840008</v>
      </c>
      <c r="M9" s="107"/>
      <c r="N9" s="18">
        <f t="shared" si="3"/>
        <v>6279307397.6264</v>
      </c>
      <c r="P9" s="72"/>
    </row>
    <row r="10" spans="1:16">
      <c r="A10" s="84">
        <f t="shared" si="0"/>
        <v>4</v>
      </c>
      <c r="C10" s="85" t="s">
        <v>285</v>
      </c>
      <c r="D10" s="26">
        <f t="shared" si="1"/>
        <v>3265962737.9605002</v>
      </c>
      <c r="E10" s="26"/>
      <c r="F10" s="26">
        <f t="shared" si="2"/>
        <v>857354317.2112</v>
      </c>
      <c r="G10" s="26">
        <f t="shared" si="2"/>
        <v>0</v>
      </c>
      <c r="H10" s="26">
        <f t="shared" si="2"/>
        <v>1647551913.1099999</v>
      </c>
      <c r="I10" s="26">
        <f t="shared" si="2"/>
        <v>0</v>
      </c>
      <c r="J10" s="26">
        <f t="shared" si="2"/>
        <v>190876816.39990002</v>
      </c>
      <c r="K10" s="26">
        <f t="shared" si="2"/>
        <v>0</v>
      </c>
      <c r="L10" s="26">
        <f t="shared" si="2"/>
        <v>323484453.53030002</v>
      </c>
      <c r="M10" s="107"/>
      <c r="N10" s="18">
        <f t="shared" si="3"/>
        <v>6285230238.2119007</v>
      </c>
      <c r="P10" s="84"/>
    </row>
    <row r="11" spans="1:16">
      <c r="A11" s="84">
        <f t="shared" si="0"/>
        <v>5</v>
      </c>
      <c r="C11" s="85" t="s">
        <v>286</v>
      </c>
      <c r="D11" s="26">
        <f t="shared" si="1"/>
        <v>3280716537.8801994</v>
      </c>
      <c r="E11" s="26"/>
      <c r="F11" s="26">
        <f t="shared" si="2"/>
        <v>860422442.56049991</v>
      </c>
      <c r="G11" s="26">
        <f t="shared" si="2"/>
        <v>0</v>
      </c>
      <c r="H11" s="26">
        <f t="shared" si="2"/>
        <v>1653760584.0897</v>
      </c>
      <c r="I11" s="26">
        <f t="shared" si="2"/>
        <v>0</v>
      </c>
      <c r="J11" s="26">
        <f t="shared" si="2"/>
        <v>194232298.57049996</v>
      </c>
      <c r="K11" s="26">
        <f t="shared" si="2"/>
        <v>0</v>
      </c>
      <c r="L11" s="26">
        <f t="shared" si="2"/>
        <v>327112894.64929998</v>
      </c>
      <c r="M11" s="107"/>
      <c r="N11" s="18">
        <f t="shared" si="3"/>
        <v>6316244757.7501993</v>
      </c>
      <c r="P11" s="84"/>
    </row>
    <row r="12" spans="1:16">
      <c r="A12" s="84">
        <f t="shared" si="0"/>
        <v>6</v>
      </c>
      <c r="C12" s="85" t="s">
        <v>177</v>
      </c>
      <c r="D12" s="26">
        <f t="shared" si="1"/>
        <v>3291881236.2323008</v>
      </c>
      <c r="E12" s="26"/>
      <c r="F12" s="26">
        <f t="shared" si="2"/>
        <v>862677756.23900008</v>
      </c>
      <c r="G12" s="26">
        <f t="shared" si="2"/>
        <v>0</v>
      </c>
      <c r="H12" s="26">
        <f t="shared" si="2"/>
        <v>1659328519.5500998</v>
      </c>
      <c r="I12" s="26">
        <f t="shared" si="2"/>
        <v>0</v>
      </c>
      <c r="J12" s="26">
        <f t="shared" si="2"/>
        <v>196668804.01089999</v>
      </c>
      <c r="K12" s="26">
        <f t="shared" si="2"/>
        <v>0</v>
      </c>
      <c r="L12" s="26">
        <f t="shared" si="2"/>
        <v>320181805.44870001</v>
      </c>
      <c r="M12" s="107"/>
      <c r="N12" s="18">
        <f t="shared" si="3"/>
        <v>6330738121.4809999</v>
      </c>
      <c r="P12" s="84"/>
    </row>
    <row r="13" spans="1:16">
      <c r="A13" s="84">
        <f t="shared" si="0"/>
        <v>7</v>
      </c>
      <c r="C13" s="85" t="s">
        <v>287</v>
      </c>
      <c r="D13" s="26">
        <f t="shared" si="1"/>
        <v>3301443240.5811</v>
      </c>
      <c r="E13" s="26"/>
      <c r="F13" s="26">
        <f t="shared" si="2"/>
        <v>864655471.11479998</v>
      </c>
      <c r="G13" s="26">
        <f t="shared" si="2"/>
        <v>0</v>
      </c>
      <c r="H13" s="26">
        <f t="shared" si="2"/>
        <v>1665035686.0601003</v>
      </c>
      <c r="I13" s="26">
        <f t="shared" si="2"/>
        <v>0</v>
      </c>
      <c r="J13" s="26">
        <f t="shared" si="2"/>
        <v>199979724.30070001</v>
      </c>
      <c r="K13" s="26">
        <f t="shared" si="2"/>
        <v>0</v>
      </c>
      <c r="L13" s="26">
        <f t="shared" si="2"/>
        <v>323743020.45990002</v>
      </c>
      <c r="M13" s="107"/>
      <c r="N13" s="18">
        <f t="shared" si="3"/>
        <v>6354857142.5166006</v>
      </c>
      <c r="P13" s="84"/>
    </row>
    <row r="14" spans="1:16">
      <c r="A14" s="84">
        <f t="shared" si="0"/>
        <v>8</v>
      </c>
      <c r="C14" s="85" t="s">
        <v>288</v>
      </c>
      <c r="D14" s="26">
        <f t="shared" si="1"/>
        <v>3300210413.9012995</v>
      </c>
      <c r="E14" s="26"/>
      <c r="F14" s="26">
        <f t="shared" si="2"/>
        <v>867954616.70140004</v>
      </c>
      <c r="G14" s="26">
        <f t="shared" si="2"/>
        <v>0</v>
      </c>
      <c r="H14" s="26">
        <f t="shared" si="2"/>
        <v>1660020546.7000003</v>
      </c>
      <c r="I14" s="26">
        <f t="shared" si="2"/>
        <v>0</v>
      </c>
      <c r="J14" s="26">
        <f t="shared" si="2"/>
        <v>200737928.43959999</v>
      </c>
      <c r="K14" s="26">
        <f t="shared" si="2"/>
        <v>0</v>
      </c>
      <c r="L14" s="26">
        <f t="shared" si="2"/>
        <v>326200752.13990003</v>
      </c>
      <c r="M14" s="107"/>
      <c r="N14" s="18">
        <f t="shared" si="3"/>
        <v>6355124257.8822002</v>
      </c>
      <c r="P14" s="84"/>
    </row>
    <row r="15" spans="1:16">
      <c r="A15" s="84">
        <f t="shared" si="0"/>
        <v>9</v>
      </c>
      <c r="C15" s="85" t="s">
        <v>179</v>
      </c>
      <c r="D15" s="26">
        <f t="shared" si="1"/>
        <v>3317434527.6013994</v>
      </c>
      <c r="E15" s="26"/>
      <c r="F15" s="26">
        <f t="shared" si="2"/>
        <v>870833476.92340016</v>
      </c>
      <c r="G15" s="26">
        <f t="shared" si="2"/>
        <v>0</v>
      </c>
      <c r="H15" s="26">
        <f t="shared" si="2"/>
        <v>1666208216.9999995</v>
      </c>
      <c r="I15" s="26">
        <f t="shared" si="2"/>
        <v>0</v>
      </c>
      <c r="J15" s="26">
        <f t="shared" si="2"/>
        <v>203522627.35989997</v>
      </c>
      <c r="K15" s="26">
        <f t="shared" si="2"/>
        <v>0</v>
      </c>
      <c r="L15" s="26">
        <f t="shared" si="2"/>
        <v>319055615.59019995</v>
      </c>
      <c r="M15" s="107"/>
      <c r="N15" s="18">
        <f t="shared" si="3"/>
        <v>6377054464.4748993</v>
      </c>
      <c r="P15" s="84"/>
    </row>
    <row r="16" spans="1:16">
      <c r="A16" s="84">
        <f t="shared" si="0"/>
        <v>10</v>
      </c>
      <c r="C16" s="85" t="s">
        <v>289</v>
      </c>
      <c r="D16" s="26">
        <f t="shared" si="1"/>
        <v>3330666715.1711001</v>
      </c>
      <c r="E16" s="26"/>
      <c r="F16" s="26">
        <f t="shared" si="2"/>
        <v>870392212.87050009</v>
      </c>
      <c r="G16" s="26">
        <f t="shared" si="2"/>
        <v>0</v>
      </c>
      <c r="H16" s="26">
        <f t="shared" si="2"/>
        <v>1672982791.96</v>
      </c>
      <c r="I16" s="26">
        <f t="shared" si="2"/>
        <v>0</v>
      </c>
      <c r="J16" s="26">
        <f t="shared" si="2"/>
        <v>206667990.6805</v>
      </c>
      <c r="K16" s="26">
        <f t="shared" si="2"/>
        <v>0</v>
      </c>
      <c r="L16" s="26">
        <f t="shared" si="2"/>
        <v>321010267.52080005</v>
      </c>
      <c r="M16" s="107"/>
      <c r="N16" s="18">
        <f t="shared" si="3"/>
        <v>6401719978.2028999</v>
      </c>
      <c r="P16" s="84"/>
    </row>
    <row r="17" spans="1:16">
      <c r="A17" s="84">
        <f t="shared" si="0"/>
        <v>11</v>
      </c>
      <c r="C17" s="85" t="s">
        <v>290</v>
      </c>
      <c r="D17" s="26">
        <f t="shared" si="1"/>
        <v>3344521393.7206001</v>
      </c>
      <c r="E17" s="26"/>
      <c r="F17" s="26">
        <f t="shared" si="2"/>
        <v>870595775.08579993</v>
      </c>
      <c r="G17" s="26">
        <f t="shared" si="2"/>
        <v>0</v>
      </c>
      <c r="H17" s="26">
        <f t="shared" si="2"/>
        <v>1692706674.9398999</v>
      </c>
      <c r="I17" s="26">
        <f t="shared" si="2"/>
        <v>0</v>
      </c>
      <c r="J17" s="26">
        <f t="shared" si="2"/>
        <v>208880117.32119998</v>
      </c>
      <c r="K17" s="26">
        <f t="shared" si="2"/>
        <v>0</v>
      </c>
      <c r="L17" s="26">
        <f t="shared" si="2"/>
        <v>324404002.35820007</v>
      </c>
      <c r="M17" s="107"/>
      <c r="N17" s="18">
        <f t="shared" si="3"/>
        <v>6441107963.4257002</v>
      </c>
      <c r="P17" s="84"/>
    </row>
    <row r="18" spans="1:16">
      <c r="A18" s="84">
        <f t="shared" si="0"/>
        <v>12</v>
      </c>
      <c r="C18" s="85" t="s">
        <v>291</v>
      </c>
      <c r="D18" s="26">
        <f t="shared" si="1"/>
        <v>3354835654.4311004</v>
      </c>
      <c r="E18" s="26"/>
      <c r="F18" s="26">
        <f t="shared" si="2"/>
        <v>873385864.2464</v>
      </c>
      <c r="G18" s="26">
        <f t="shared" si="2"/>
        <v>0</v>
      </c>
      <c r="H18" s="26">
        <f t="shared" si="2"/>
        <v>1699066452.1999996</v>
      </c>
      <c r="I18" s="26">
        <f t="shared" si="2"/>
        <v>0</v>
      </c>
      <c r="J18" s="26">
        <f t="shared" si="2"/>
        <v>212269258.72879997</v>
      </c>
      <c r="K18" s="26">
        <f t="shared" si="2"/>
        <v>0</v>
      </c>
      <c r="L18" s="26">
        <f t="shared" si="2"/>
        <v>315406499.7888</v>
      </c>
      <c r="M18" s="107"/>
      <c r="N18" s="18">
        <f t="shared" si="3"/>
        <v>6454963729.3950996</v>
      </c>
      <c r="P18" s="84"/>
    </row>
    <row r="19" spans="1:16">
      <c r="A19" s="84">
        <f t="shared" si="0"/>
        <v>13</v>
      </c>
      <c r="C19" s="85" t="s">
        <v>292</v>
      </c>
      <c r="D19" s="26">
        <f t="shared" si="1"/>
        <v>3362409150.1608005</v>
      </c>
      <c r="E19" s="26"/>
      <c r="F19" s="26">
        <f t="shared" si="2"/>
        <v>877394147.66720009</v>
      </c>
      <c r="G19" s="26">
        <f t="shared" si="2"/>
        <v>0</v>
      </c>
      <c r="H19" s="26">
        <f t="shared" si="2"/>
        <v>1708153869.0797999</v>
      </c>
      <c r="I19" s="26">
        <f t="shared" si="2"/>
        <v>0</v>
      </c>
      <c r="J19" s="26">
        <f t="shared" si="2"/>
        <v>215450573.9603</v>
      </c>
      <c r="K19" s="26">
        <f t="shared" si="2"/>
        <v>0</v>
      </c>
      <c r="L19" s="26">
        <f t="shared" si="2"/>
        <v>307361733.24970001</v>
      </c>
      <c r="M19" s="107"/>
      <c r="N19" s="18">
        <f t="shared" si="3"/>
        <v>6470769474.1178007</v>
      </c>
      <c r="P19" s="84"/>
    </row>
    <row r="20" spans="1:16">
      <c r="A20" s="84">
        <f t="shared" si="0"/>
        <v>14</v>
      </c>
      <c r="C20" s="85" t="s">
        <v>363</v>
      </c>
      <c r="D20" s="26">
        <f t="shared" si="1"/>
        <v>3376471881.8610001</v>
      </c>
      <c r="E20" s="26"/>
      <c r="F20" s="26">
        <f t="shared" si="2"/>
        <v>879821606.03609991</v>
      </c>
      <c r="G20" s="26">
        <f t="shared" si="2"/>
        <v>0</v>
      </c>
      <c r="H20" s="26">
        <f t="shared" si="2"/>
        <v>1715016130.1700997</v>
      </c>
      <c r="I20" s="26">
        <f t="shared" si="2"/>
        <v>0</v>
      </c>
      <c r="J20" s="26">
        <f t="shared" si="2"/>
        <v>217019896.05839998</v>
      </c>
      <c r="K20" s="26">
        <f t="shared" si="2"/>
        <v>0</v>
      </c>
      <c r="L20" s="26">
        <f t="shared" si="2"/>
        <v>305708342.68019998</v>
      </c>
      <c r="M20" s="107"/>
      <c r="N20" s="18">
        <f t="shared" si="3"/>
        <v>6494037856.8057995</v>
      </c>
      <c r="P20" s="84"/>
    </row>
    <row r="21" spans="1:16">
      <c r="A21" s="84">
        <f t="shared" si="0"/>
        <v>15</v>
      </c>
      <c r="C21" s="85"/>
      <c r="D21" s="34"/>
      <c r="F21" s="34"/>
      <c r="H21" s="34"/>
      <c r="I21" s="18"/>
      <c r="J21" s="34"/>
      <c r="K21" s="18"/>
      <c r="L21" s="171"/>
      <c r="M21" s="107"/>
      <c r="N21" s="34"/>
      <c r="P21" s="84"/>
    </row>
    <row r="22" spans="1:16" ht="13.5" thickBot="1">
      <c r="A22" s="84">
        <f t="shared" si="0"/>
        <v>16</v>
      </c>
      <c r="C22" s="179" t="s">
        <v>156</v>
      </c>
      <c r="D22" s="36">
        <f>D43+D64</f>
        <v>3310932885.5585847</v>
      </c>
      <c r="F22" s="36">
        <f>F43+F64</f>
        <v>866394451.29580784</v>
      </c>
      <c r="G22" s="73"/>
      <c r="H22" s="36">
        <f>H43+H64</f>
        <v>1670787216.8507311</v>
      </c>
      <c r="I22" s="174"/>
      <c r="J22" s="36">
        <f>J43+J64</f>
        <v>201559821.55233842</v>
      </c>
      <c r="K22" s="25"/>
      <c r="L22" s="36">
        <f>L43+L64</f>
        <v>320526664.41264617</v>
      </c>
      <c r="M22" s="110"/>
      <c r="N22" s="36">
        <f>N43+N64</f>
        <v>6370201039.6701069</v>
      </c>
      <c r="P22" s="84"/>
    </row>
    <row r="23" spans="1:16" ht="13.5" thickTop="1">
      <c r="A23" s="84"/>
      <c r="D23" s="18"/>
      <c r="F23" s="18"/>
      <c r="H23" s="18"/>
      <c r="I23" s="18"/>
      <c r="J23" s="18"/>
      <c r="K23" s="18"/>
      <c r="L23" s="18"/>
      <c r="M23" s="18"/>
      <c r="N23" s="18"/>
      <c r="P23" s="84"/>
    </row>
    <row r="24" spans="1:16">
      <c r="A24" s="84"/>
      <c r="E24" s="26"/>
      <c r="I24" s="77"/>
      <c r="K24" s="77"/>
      <c r="L24" s="77"/>
      <c r="M24" s="77"/>
      <c r="N24" s="78" t="s">
        <v>157</v>
      </c>
      <c r="P24" s="84"/>
    </row>
    <row r="25" spans="1:16">
      <c r="A25" s="84"/>
      <c r="D25" s="78"/>
      <c r="E25" s="26"/>
      <c r="I25" s="77"/>
      <c r="K25" s="77"/>
      <c r="L25" s="77"/>
      <c r="M25" s="77"/>
      <c r="N25" s="78" t="s">
        <v>42</v>
      </c>
      <c r="P25" s="84"/>
    </row>
    <row r="26" spans="1:16">
      <c r="A26" s="84"/>
      <c r="D26" s="77"/>
      <c r="E26" s="26"/>
      <c r="H26" s="186"/>
      <c r="J26" s="79" t="s">
        <v>212</v>
      </c>
      <c r="L26" s="79" t="s">
        <v>151</v>
      </c>
      <c r="N26" s="78" t="s">
        <v>134</v>
      </c>
      <c r="P26" s="84"/>
    </row>
    <row r="27" spans="1:16">
      <c r="A27" s="84"/>
      <c r="C27" s="7"/>
      <c r="D27" s="77" t="s">
        <v>132</v>
      </c>
      <c r="F27" s="77" t="s">
        <v>152</v>
      </c>
      <c r="H27" s="77" t="s">
        <v>153</v>
      </c>
      <c r="J27" s="77" t="s">
        <v>185</v>
      </c>
      <c r="L27" s="170" t="s">
        <v>38</v>
      </c>
      <c r="M27" s="78"/>
      <c r="N27" s="170" t="s">
        <v>135</v>
      </c>
      <c r="P27" s="84"/>
    </row>
    <row r="28" spans="1:16">
      <c r="A28" s="84">
        <f>A22+1</f>
        <v>17</v>
      </c>
      <c r="B28" s="82" t="s">
        <v>39</v>
      </c>
      <c r="C28" s="83"/>
      <c r="D28" s="35"/>
      <c r="F28" s="35"/>
      <c r="H28" s="35"/>
      <c r="J28" s="35"/>
      <c r="N28" s="35"/>
      <c r="P28" s="84"/>
    </row>
    <row r="29" spans="1:16" ht="13.5" customHeight="1">
      <c r="A29" s="84">
        <f t="shared" si="0"/>
        <v>18</v>
      </c>
      <c r="C29" s="85" t="s">
        <v>207</v>
      </c>
      <c r="D29" s="26">
        <v>2989110400.2406001</v>
      </c>
      <c r="F29" s="26">
        <v>660017343</v>
      </c>
      <c r="H29" s="26">
        <v>1302178524</v>
      </c>
      <c r="J29" s="26">
        <v>154281678.79029998</v>
      </c>
      <c r="L29" s="26">
        <v>274276396</v>
      </c>
      <c r="M29" s="25"/>
      <c r="N29" s="25">
        <f t="shared" ref="N29:N41" si="4">SUM(D29:L29)</f>
        <v>5379864342.030901</v>
      </c>
      <c r="P29" s="84"/>
    </row>
    <row r="30" spans="1:16">
      <c r="A30" s="84">
        <f t="shared" si="0"/>
        <v>19</v>
      </c>
      <c r="C30" s="85" t="s">
        <v>362</v>
      </c>
      <c r="D30" s="26">
        <v>3002643941.7896004</v>
      </c>
      <c r="F30" s="26">
        <v>661364522.49919999</v>
      </c>
      <c r="H30" s="26">
        <v>1305097344.0798004</v>
      </c>
      <c r="J30" s="26">
        <v>157182929.32939997</v>
      </c>
      <c r="L30" s="26">
        <v>277326109.41840005</v>
      </c>
      <c r="M30" s="107"/>
      <c r="N30" s="18">
        <f t="shared" si="4"/>
        <v>5403614847.1164007</v>
      </c>
      <c r="P30" s="84"/>
    </row>
    <row r="31" spans="1:16">
      <c r="A31" s="84">
        <f t="shared" si="0"/>
        <v>20</v>
      </c>
      <c r="C31" s="85" t="s">
        <v>285</v>
      </c>
      <c r="D31" s="26">
        <v>3002442170.5205002</v>
      </c>
      <c r="F31" s="26">
        <v>662776606.89120007</v>
      </c>
      <c r="H31" s="26">
        <v>1308871316.3499999</v>
      </c>
      <c r="J31" s="26">
        <v>158978740.36990002</v>
      </c>
      <c r="L31" s="26">
        <v>272750913.13029999</v>
      </c>
      <c r="M31" s="107"/>
      <c r="N31" s="18">
        <f t="shared" si="4"/>
        <v>5405819747.261899</v>
      </c>
      <c r="P31" s="84"/>
    </row>
    <row r="32" spans="1:16">
      <c r="A32" s="84">
        <f t="shared" si="0"/>
        <v>21</v>
      </c>
      <c r="C32" s="85" t="s">
        <v>286</v>
      </c>
      <c r="D32" s="26">
        <v>3016139134.9901996</v>
      </c>
      <c r="F32" s="26">
        <v>664789366.45049989</v>
      </c>
      <c r="H32" s="26">
        <v>1313447666.7297001</v>
      </c>
      <c r="J32" s="26">
        <v>162015672.78049996</v>
      </c>
      <c r="L32" s="26">
        <v>275805234.1293</v>
      </c>
      <c r="M32" s="107"/>
      <c r="N32" s="18">
        <f t="shared" si="4"/>
        <v>5432197075.0802002</v>
      </c>
      <c r="P32" s="84"/>
    </row>
    <row r="33" spans="1:16">
      <c r="A33" s="84">
        <f t="shared" si="0"/>
        <v>22</v>
      </c>
      <c r="C33" s="85" t="s">
        <v>177</v>
      </c>
      <c r="D33" s="26">
        <v>3026229203.4923005</v>
      </c>
      <c r="F33" s="26">
        <v>666193725.33899999</v>
      </c>
      <c r="H33" s="26">
        <v>1317562658.9101</v>
      </c>
      <c r="J33" s="26">
        <v>164257740.15089998</v>
      </c>
      <c r="L33" s="26">
        <v>268367631.27870002</v>
      </c>
      <c r="M33" s="107"/>
      <c r="N33" s="18">
        <f t="shared" si="4"/>
        <v>5442610959.1710005</v>
      </c>
      <c r="P33" s="84"/>
    </row>
    <row r="34" spans="1:16">
      <c r="A34" s="84">
        <f t="shared" si="0"/>
        <v>23</v>
      </c>
      <c r="C34" s="85" t="s">
        <v>287</v>
      </c>
      <c r="D34" s="26">
        <v>3034713793.5510998</v>
      </c>
      <c r="F34" s="26">
        <v>667143924.13479996</v>
      </c>
      <c r="H34" s="26">
        <v>1321862587.2601004</v>
      </c>
      <c r="J34" s="26">
        <v>167140810.27070001</v>
      </c>
      <c r="L34" s="26">
        <v>271429264.80989999</v>
      </c>
      <c r="M34" s="107"/>
      <c r="N34" s="18">
        <f t="shared" si="4"/>
        <v>5462290380.0266008</v>
      </c>
      <c r="P34" s="84"/>
    </row>
    <row r="35" spans="1:16">
      <c r="A35" s="84">
        <f t="shared" si="0"/>
        <v>24</v>
      </c>
      <c r="C35" s="85" t="s">
        <v>288</v>
      </c>
      <c r="D35" s="26">
        <v>3033305701.5512996</v>
      </c>
      <c r="F35" s="26">
        <v>669856635.46140003</v>
      </c>
      <c r="H35" s="26">
        <v>1315168799.5400002</v>
      </c>
      <c r="J35" s="26">
        <v>168667672.60960001</v>
      </c>
      <c r="L35" s="26">
        <v>273434252.64990002</v>
      </c>
      <c r="M35" s="107"/>
      <c r="N35" s="18">
        <f t="shared" si="4"/>
        <v>5460433061.8122005</v>
      </c>
      <c r="P35" s="84"/>
    </row>
    <row r="36" spans="1:16">
      <c r="A36" s="84">
        <f t="shared" si="0"/>
        <v>25</v>
      </c>
      <c r="C36" s="85" t="s">
        <v>179</v>
      </c>
      <c r="D36" s="26">
        <v>3049447718.0713997</v>
      </c>
      <c r="F36" s="26">
        <v>671822106.21340024</v>
      </c>
      <c r="H36" s="26">
        <v>1319722881.0199997</v>
      </c>
      <c r="J36" s="26">
        <v>171096055.59989998</v>
      </c>
      <c r="L36" s="26">
        <v>265980888.81019998</v>
      </c>
      <c r="M36" s="107"/>
      <c r="N36" s="18">
        <f t="shared" si="4"/>
        <v>5478069649.7149</v>
      </c>
      <c r="P36" s="84"/>
    </row>
    <row r="37" spans="1:16">
      <c r="A37" s="84">
        <f t="shared" si="0"/>
        <v>26</v>
      </c>
      <c r="C37" s="85" t="s">
        <v>289</v>
      </c>
      <c r="D37" s="26">
        <v>3061551436.5111003</v>
      </c>
      <c r="F37" s="26">
        <v>670931775.62050009</v>
      </c>
      <c r="H37" s="26">
        <v>1324148133.6099999</v>
      </c>
      <c r="J37" s="26">
        <v>173792485.3405</v>
      </c>
      <c r="L37" s="26">
        <v>267414838.41080004</v>
      </c>
      <c r="M37" s="107"/>
      <c r="N37" s="18">
        <f t="shared" si="4"/>
        <v>5497838669.4928999</v>
      </c>
      <c r="P37" s="84"/>
    </row>
    <row r="38" spans="1:16">
      <c r="A38" s="84">
        <f t="shared" si="0"/>
        <v>27</v>
      </c>
      <c r="C38" s="85" t="s">
        <v>290</v>
      </c>
      <c r="D38" s="26">
        <v>3074380190.0006003</v>
      </c>
      <c r="F38" s="26">
        <v>670238998.08579993</v>
      </c>
      <c r="H38" s="26">
        <v>1342213293.0899</v>
      </c>
      <c r="J38" s="26">
        <v>175555583.76119998</v>
      </c>
      <c r="L38" s="26">
        <v>270316706.35820007</v>
      </c>
      <c r="M38" s="107"/>
      <c r="N38" s="18">
        <f t="shared" si="4"/>
        <v>5532704771.2957001</v>
      </c>
      <c r="P38" s="84"/>
    </row>
    <row r="39" spans="1:16">
      <c r="A39" s="84">
        <f t="shared" ref="A39:A64" si="5">+A38+1</f>
        <v>28</v>
      </c>
      <c r="C39" s="85" t="s">
        <v>291</v>
      </c>
      <c r="D39" s="26">
        <v>3083674282.3211002</v>
      </c>
      <c r="F39" s="26">
        <v>671917070.00639999</v>
      </c>
      <c r="H39" s="26">
        <v>1346969249.3899996</v>
      </c>
      <c r="J39" s="26">
        <v>178484394.13879997</v>
      </c>
      <c r="L39" s="26">
        <v>262926479.17879999</v>
      </c>
      <c r="M39" s="107"/>
      <c r="N39" s="18">
        <f t="shared" si="4"/>
        <v>5543971475.035099</v>
      </c>
      <c r="P39" s="84"/>
    </row>
    <row r="40" spans="1:16">
      <c r="A40" s="84">
        <f t="shared" si="5"/>
        <v>29</v>
      </c>
      <c r="C40" s="85" t="s">
        <v>292</v>
      </c>
      <c r="D40" s="26">
        <v>3090307446.1808004</v>
      </c>
      <c r="F40" s="26">
        <v>674950855.41720009</v>
      </c>
      <c r="H40" s="26">
        <v>1354532362.6998</v>
      </c>
      <c r="J40" s="26">
        <v>181264919.72029999</v>
      </c>
      <c r="L40" s="26">
        <v>254484501.81970003</v>
      </c>
      <c r="M40" s="107"/>
      <c r="N40" s="18">
        <f t="shared" si="4"/>
        <v>5555540085.8378</v>
      </c>
      <c r="P40" s="84"/>
    </row>
    <row r="41" spans="1:16">
      <c r="A41" s="84">
        <f t="shared" si="5"/>
        <v>30</v>
      </c>
      <c r="C41" s="85" t="s">
        <v>363</v>
      </c>
      <c r="D41" s="26">
        <v>3103795126.0609999</v>
      </c>
      <c r="F41" s="26">
        <v>677007760.99609995</v>
      </c>
      <c r="H41" s="26">
        <v>1360385759.6100998</v>
      </c>
      <c r="J41" s="26">
        <v>182582271.17839998</v>
      </c>
      <c r="L41" s="26">
        <v>252392007.36019999</v>
      </c>
      <c r="M41" s="107"/>
      <c r="N41" s="18">
        <f t="shared" si="4"/>
        <v>5576162925.2058001</v>
      </c>
      <c r="P41" s="84"/>
    </row>
    <row r="42" spans="1:16">
      <c r="A42" s="84">
        <f t="shared" si="5"/>
        <v>31</v>
      </c>
      <c r="C42" s="85"/>
      <c r="D42" s="34"/>
      <c r="F42" s="34"/>
      <c r="H42" s="34"/>
      <c r="J42" s="34"/>
      <c r="L42" s="171"/>
      <c r="M42" s="107"/>
      <c r="N42" s="34"/>
      <c r="P42" s="84"/>
    </row>
    <row r="43" spans="1:16" ht="13.5" thickBot="1">
      <c r="A43" s="84">
        <f t="shared" si="5"/>
        <v>32</v>
      </c>
      <c r="C43" s="179" t="s">
        <v>156</v>
      </c>
      <c r="D43" s="36">
        <f>SUM(D29:D41)/13</f>
        <v>3043672349.6370463</v>
      </c>
      <c r="F43" s="36">
        <f>SUM(F29:F41)/13</f>
        <v>668385437.70119238</v>
      </c>
      <c r="H43" s="36">
        <f>SUM(H29:H41)/13</f>
        <v>1325550813.5607312</v>
      </c>
      <c r="J43" s="36">
        <f>SUM(J29:J41)/13</f>
        <v>168869304.15695381</v>
      </c>
      <c r="L43" s="36">
        <f>SUM(L29:L41)/13</f>
        <v>268223478.71956924</v>
      </c>
      <c r="M43" s="110"/>
      <c r="N43" s="36">
        <f>SUM(N29:N41)/13</f>
        <v>5474701383.7754917</v>
      </c>
      <c r="P43" s="84"/>
    </row>
    <row r="44" spans="1:16" ht="13.5" thickTop="1">
      <c r="A44" s="84"/>
      <c r="C44" s="7"/>
      <c r="D44" s="37"/>
      <c r="E44" s="7"/>
      <c r="F44" s="37"/>
      <c r="H44" s="37"/>
      <c r="J44" s="37"/>
      <c r="K44" s="7"/>
      <c r="L44" s="37"/>
      <c r="M44" s="7"/>
      <c r="N44" s="7"/>
      <c r="P44" s="84"/>
    </row>
    <row r="45" spans="1:16">
      <c r="A45" s="84"/>
      <c r="C45" s="7"/>
      <c r="E45" s="26"/>
      <c r="I45" s="77"/>
      <c r="K45" s="77"/>
      <c r="L45" s="77"/>
      <c r="M45" s="77"/>
      <c r="N45" s="78" t="s">
        <v>157</v>
      </c>
      <c r="P45" s="84"/>
    </row>
    <row r="46" spans="1:16">
      <c r="A46" s="84"/>
      <c r="C46" s="7"/>
      <c r="D46" s="78"/>
      <c r="E46" s="26"/>
      <c r="I46" s="77"/>
      <c r="K46" s="77"/>
      <c r="L46" s="77"/>
      <c r="M46" s="77"/>
      <c r="N46" s="78" t="s">
        <v>42</v>
      </c>
      <c r="P46" s="84"/>
    </row>
    <row r="47" spans="1:16">
      <c r="A47" s="84"/>
      <c r="C47" s="7"/>
      <c r="D47" s="77"/>
      <c r="E47" s="26"/>
      <c r="H47" s="186"/>
      <c r="J47" s="79" t="s">
        <v>212</v>
      </c>
      <c r="L47" s="79" t="s">
        <v>151</v>
      </c>
      <c r="N47" s="78" t="s">
        <v>134</v>
      </c>
      <c r="P47" s="84"/>
    </row>
    <row r="48" spans="1:16">
      <c r="A48" s="84"/>
      <c r="C48" s="7"/>
      <c r="D48" s="77" t="s">
        <v>132</v>
      </c>
      <c r="F48" s="77" t="s">
        <v>152</v>
      </c>
      <c r="H48" s="77" t="s">
        <v>153</v>
      </c>
      <c r="J48" s="77" t="s">
        <v>185</v>
      </c>
      <c r="L48" s="170" t="s">
        <v>38</v>
      </c>
      <c r="M48" s="78"/>
      <c r="N48" s="170" t="s">
        <v>135</v>
      </c>
      <c r="P48" s="84"/>
    </row>
    <row r="49" spans="1:16">
      <c r="A49" s="84">
        <f>A43+1</f>
        <v>33</v>
      </c>
      <c r="B49" s="82" t="s">
        <v>40</v>
      </c>
      <c r="C49" s="83"/>
      <c r="D49" s="35"/>
      <c r="F49" s="35"/>
      <c r="H49" s="35"/>
      <c r="J49" s="35"/>
      <c r="N49" s="35"/>
      <c r="P49" s="84"/>
    </row>
    <row r="50" spans="1:16">
      <c r="A50" s="84">
        <f t="shared" si="5"/>
        <v>34</v>
      </c>
      <c r="C50" s="85" t="s">
        <v>207</v>
      </c>
      <c r="D50" s="26">
        <v>261389421.40000001</v>
      </c>
      <c r="E50" s="26"/>
      <c r="F50" s="26">
        <v>192700330.05000001</v>
      </c>
      <c r="G50" s="26"/>
      <c r="H50" s="26">
        <v>335932757.97000003</v>
      </c>
      <c r="I50" s="26"/>
      <c r="J50" s="26">
        <v>31033908</v>
      </c>
      <c r="K50" s="18"/>
      <c r="L50" s="26">
        <v>50537374.369999982</v>
      </c>
      <c r="M50" s="25"/>
      <c r="N50" s="25">
        <f t="shared" ref="N50:N62" si="6">SUM(D50:L50)</f>
        <v>871593791.79000008</v>
      </c>
      <c r="P50" s="84"/>
    </row>
    <row r="51" spans="1:16">
      <c r="A51" s="84">
        <f t="shared" si="5"/>
        <v>35</v>
      </c>
      <c r="C51" s="85" t="s">
        <v>362</v>
      </c>
      <c r="D51" s="26">
        <v>262430259.32999998</v>
      </c>
      <c r="E51" s="26"/>
      <c r="F51" s="26">
        <v>193557984.64000002</v>
      </c>
      <c r="G51" s="26"/>
      <c r="H51" s="26">
        <v>337193808.14999992</v>
      </c>
      <c r="I51" s="26"/>
      <c r="J51" s="26">
        <v>31473128.229999997</v>
      </c>
      <c r="K51" s="18"/>
      <c r="L51" s="26">
        <v>51037370.160000011</v>
      </c>
      <c r="M51" s="107"/>
      <c r="N51" s="18">
        <f t="shared" si="6"/>
        <v>875692550.50999987</v>
      </c>
      <c r="P51" s="84"/>
    </row>
    <row r="52" spans="1:16">
      <c r="A52" s="84">
        <f t="shared" si="5"/>
        <v>36</v>
      </c>
      <c r="C52" s="85" t="s">
        <v>285</v>
      </c>
      <c r="D52" s="26">
        <v>263520567.44</v>
      </c>
      <c r="E52" s="26"/>
      <c r="F52" s="26">
        <v>194577710.31999999</v>
      </c>
      <c r="G52" s="26"/>
      <c r="H52" s="26">
        <v>338680596.76000005</v>
      </c>
      <c r="I52" s="26"/>
      <c r="J52" s="26">
        <v>31898076.030000005</v>
      </c>
      <c r="K52" s="18"/>
      <c r="L52" s="26">
        <v>50733540.400000013</v>
      </c>
      <c r="M52" s="107"/>
      <c r="N52" s="18">
        <f t="shared" si="6"/>
        <v>879410490.94999993</v>
      </c>
      <c r="P52" s="84"/>
    </row>
    <row r="53" spans="1:16">
      <c r="A53" s="84">
        <f t="shared" si="5"/>
        <v>37</v>
      </c>
      <c r="C53" s="85" t="s">
        <v>286</v>
      </c>
      <c r="D53" s="26">
        <v>264577402.88999999</v>
      </c>
      <c r="E53" s="26"/>
      <c r="F53" s="26">
        <v>195633076.11000001</v>
      </c>
      <c r="G53" s="26"/>
      <c r="H53" s="26">
        <v>340312917.35999995</v>
      </c>
      <c r="I53" s="26"/>
      <c r="J53" s="26">
        <v>32216625.789999999</v>
      </c>
      <c r="K53" s="18"/>
      <c r="L53" s="26">
        <v>51307660.520000011</v>
      </c>
      <c r="M53" s="107"/>
      <c r="N53" s="18">
        <f t="shared" si="6"/>
        <v>884047682.66999984</v>
      </c>
      <c r="P53" s="84"/>
    </row>
    <row r="54" spans="1:16">
      <c r="A54" s="84">
        <f t="shared" si="5"/>
        <v>38</v>
      </c>
      <c r="C54" s="85" t="s">
        <v>177</v>
      </c>
      <c r="D54" s="26">
        <v>265652032.74000004</v>
      </c>
      <c r="E54" s="26"/>
      <c r="F54" s="26">
        <v>196484030.90000004</v>
      </c>
      <c r="G54" s="26"/>
      <c r="H54" s="26">
        <v>341765860.63999993</v>
      </c>
      <c r="I54" s="26"/>
      <c r="J54" s="26">
        <v>32411063.860000007</v>
      </c>
      <c r="K54" s="18"/>
      <c r="L54" s="26">
        <v>51814174.170000002</v>
      </c>
      <c r="M54" s="107"/>
      <c r="N54" s="18">
        <f t="shared" si="6"/>
        <v>888127162.30999994</v>
      </c>
      <c r="P54" s="84"/>
    </row>
    <row r="55" spans="1:16">
      <c r="A55" s="84">
        <f t="shared" si="5"/>
        <v>39</v>
      </c>
      <c r="C55" s="85" t="s">
        <v>287</v>
      </c>
      <c r="D55" s="26">
        <v>266729447.03</v>
      </c>
      <c r="E55" s="26"/>
      <c r="F55" s="26">
        <v>197511546.98000002</v>
      </c>
      <c r="G55" s="26"/>
      <c r="H55" s="26">
        <v>343173098.79999995</v>
      </c>
      <c r="I55" s="26"/>
      <c r="J55" s="26">
        <v>32838914.030000001</v>
      </c>
      <c r="K55" s="18"/>
      <c r="L55" s="26">
        <v>52313755.650000006</v>
      </c>
      <c r="M55" s="107"/>
      <c r="N55" s="18">
        <f t="shared" si="6"/>
        <v>892566762.48999989</v>
      </c>
      <c r="P55" s="84"/>
    </row>
    <row r="56" spans="1:16">
      <c r="A56" s="84">
        <f t="shared" si="5"/>
        <v>40</v>
      </c>
      <c r="C56" s="85" t="s">
        <v>288</v>
      </c>
      <c r="D56" s="26">
        <v>266904712.34999996</v>
      </c>
      <c r="E56" s="26"/>
      <c r="F56" s="26">
        <v>198097981.23999998</v>
      </c>
      <c r="G56" s="26"/>
      <c r="H56" s="26">
        <v>344851747.15999997</v>
      </c>
      <c r="I56" s="26"/>
      <c r="J56" s="26">
        <v>32070255.829999998</v>
      </c>
      <c r="K56" s="18"/>
      <c r="L56" s="26">
        <v>52766499.490000002</v>
      </c>
      <c r="M56" s="107"/>
      <c r="N56" s="18">
        <f t="shared" si="6"/>
        <v>894691196.06999993</v>
      </c>
      <c r="P56" s="84"/>
    </row>
    <row r="57" spans="1:16">
      <c r="A57" s="84">
        <f t="shared" si="5"/>
        <v>41</v>
      </c>
      <c r="C57" s="85" t="s">
        <v>179</v>
      </c>
      <c r="D57" s="26">
        <v>267986809.52999997</v>
      </c>
      <c r="E57" s="26"/>
      <c r="F57" s="26">
        <v>199011370.70999998</v>
      </c>
      <c r="G57" s="26"/>
      <c r="H57" s="26">
        <v>346485335.9799999</v>
      </c>
      <c r="I57" s="26"/>
      <c r="J57" s="26">
        <v>32426571.760000002</v>
      </c>
      <c r="K57" s="18"/>
      <c r="L57" s="26">
        <v>53074726.780000001</v>
      </c>
      <c r="M57" s="107"/>
      <c r="N57" s="18">
        <f t="shared" si="6"/>
        <v>898984814.75999975</v>
      </c>
      <c r="P57" s="84"/>
    </row>
    <row r="58" spans="1:16">
      <c r="A58" s="84">
        <f t="shared" si="5"/>
        <v>42</v>
      </c>
      <c r="C58" s="85" t="s">
        <v>289</v>
      </c>
      <c r="D58" s="26">
        <v>269115278.65999997</v>
      </c>
      <c r="E58" s="26"/>
      <c r="F58" s="26">
        <v>199460437.24999997</v>
      </c>
      <c r="G58" s="26"/>
      <c r="H58" s="26">
        <v>348834658.35000002</v>
      </c>
      <c r="I58" s="26"/>
      <c r="J58" s="26">
        <v>32875505.340000004</v>
      </c>
      <c r="K58" s="18"/>
      <c r="L58" s="26">
        <v>53595429.109999999</v>
      </c>
      <c r="M58" s="107"/>
      <c r="N58" s="18">
        <f t="shared" si="6"/>
        <v>903881308.71000004</v>
      </c>
      <c r="P58" s="84"/>
    </row>
    <row r="59" spans="1:16">
      <c r="A59" s="84">
        <f t="shared" si="5"/>
        <v>43</v>
      </c>
      <c r="C59" s="85" t="s">
        <v>290</v>
      </c>
      <c r="D59" s="26">
        <v>270141203.71999997</v>
      </c>
      <c r="E59" s="26"/>
      <c r="F59" s="26">
        <v>200356777</v>
      </c>
      <c r="G59" s="26"/>
      <c r="H59" s="26">
        <v>350493381.84999996</v>
      </c>
      <c r="I59" s="26"/>
      <c r="J59" s="26">
        <v>33324533.560000002</v>
      </c>
      <c r="K59" s="18"/>
      <c r="L59" s="26">
        <v>54087295.999999985</v>
      </c>
      <c r="M59" s="107"/>
      <c r="N59" s="18">
        <f t="shared" si="6"/>
        <v>908403192.12999988</v>
      </c>
    </row>
    <row r="60" spans="1:16">
      <c r="A60" s="84">
        <f t="shared" si="5"/>
        <v>44</v>
      </c>
      <c r="C60" s="85" t="s">
        <v>291</v>
      </c>
      <c r="D60" s="26">
        <v>271161372.10999995</v>
      </c>
      <c r="E60" s="26"/>
      <c r="F60" s="26">
        <v>201468794.24000001</v>
      </c>
      <c r="G60" s="26"/>
      <c r="H60" s="26">
        <v>352097202.80999988</v>
      </c>
      <c r="I60" s="26"/>
      <c r="J60" s="26">
        <v>33784864.589999996</v>
      </c>
      <c r="K60" s="18"/>
      <c r="L60" s="26">
        <v>52480020.610000007</v>
      </c>
      <c r="M60" s="107"/>
      <c r="N60" s="18">
        <f t="shared" si="6"/>
        <v>910992254.3599999</v>
      </c>
    </row>
    <row r="61" spans="1:16">
      <c r="A61" s="84">
        <f t="shared" si="5"/>
        <v>45</v>
      </c>
      <c r="C61" s="85" t="s">
        <v>292</v>
      </c>
      <c r="D61" s="26">
        <v>272101703.9799999</v>
      </c>
      <c r="E61" s="26"/>
      <c r="F61" s="26">
        <v>202443292.25</v>
      </c>
      <c r="G61" s="26"/>
      <c r="H61" s="26">
        <v>353621506.37999994</v>
      </c>
      <c r="I61" s="26"/>
      <c r="J61" s="26">
        <v>34185654.240000002</v>
      </c>
      <c r="K61" s="18"/>
      <c r="L61" s="26">
        <v>52877231.429999992</v>
      </c>
      <c r="M61" s="107"/>
      <c r="N61" s="18">
        <f t="shared" si="6"/>
        <v>915229388.27999985</v>
      </c>
      <c r="P61" s="84"/>
    </row>
    <row r="62" spans="1:16">
      <c r="A62" s="84">
        <f t="shared" si="5"/>
        <v>46</v>
      </c>
      <c r="C62" s="85" t="s">
        <v>363</v>
      </c>
      <c r="D62" s="26">
        <v>272676755.80000001</v>
      </c>
      <c r="E62" s="26"/>
      <c r="F62" s="26">
        <v>202813845.04000002</v>
      </c>
      <c r="G62" s="26"/>
      <c r="H62" s="26">
        <v>354630370.56</v>
      </c>
      <c r="I62" s="26"/>
      <c r="J62" s="26">
        <v>34437624.880000003</v>
      </c>
      <c r="K62" s="18"/>
      <c r="L62" s="26">
        <v>53316335.320000008</v>
      </c>
      <c r="M62" s="107"/>
      <c r="N62" s="18">
        <f t="shared" si="6"/>
        <v>917874931.60000014</v>
      </c>
      <c r="P62" s="84"/>
    </row>
    <row r="63" spans="1:16">
      <c r="A63" s="84">
        <f t="shared" si="5"/>
        <v>47</v>
      </c>
      <c r="C63" s="85"/>
      <c r="D63" s="34"/>
      <c r="F63" s="34"/>
      <c r="H63" s="34"/>
      <c r="I63" s="18"/>
      <c r="J63" s="34"/>
      <c r="K63" s="18"/>
      <c r="L63" s="171"/>
      <c r="M63" s="107"/>
      <c r="N63" s="34"/>
      <c r="P63" s="84"/>
    </row>
    <row r="64" spans="1:16" ht="13.5" thickBot="1">
      <c r="A64" s="84">
        <f t="shared" si="5"/>
        <v>48</v>
      </c>
      <c r="C64" s="179" t="s">
        <v>156</v>
      </c>
      <c r="D64" s="36">
        <f>SUM(D50:D62)/13</f>
        <v>267260535.92153847</v>
      </c>
      <c r="F64" s="36">
        <f>SUM(F50:F62)/13</f>
        <v>198009013.5946154</v>
      </c>
      <c r="G64" s="73"/>
      <c r="H64" s="36">
        <f>SUM(H50:H62)/13</f>
        <v>345236403.28999996</v>
      </c>
      <c r="I64" s="174"/>
      <c r="J64" s="36">
        <f>SUM(J50:J62)/13</f>
        <v>32690517.395384613</v>
      </c>
      <c r="K64" s="25"/>
      <c r="L64" s="36">
        <f>SUM(L50:L62)/13</f>
        <v>52303185.693076923</v>
      </c>
      <c r="M64" s="110"/>
      <c r="N64" s="36">
        <f>SUM(N50:N62)/13</f>
        <v>895499655.89461541</v>
      </c>
      <c r="P64" s="84"/>
    </row>
    <row r="65" spans="1:16" ht="13.5" thickTop="1">
      <c r="P65" s="84"/>
    </row>
    <row r="66" spans="1:16">
      <c r="H66" s="26"/>
      <c r="I66" s="26"/>
      <c r="J66" s="26"/>
      <c r="P66" s="84"/>
    </row>
    <row r="67" spans="1:16">
      <c r="A67" s="84">
        <f>A64+1</f>
        <v>49</v>
      </c>
      <c r="C67" s="82" t="s">
        <v>39</v>
      </c>
      <c r="P67" s="84"/>
    </row>
    <row r="68" spans="1:16">
      <c r="A68" s="84">
        <f>A67+1</f>
        <v>50</v>
      </c>
      <c r="C68" s="85" t="s">
        <v>371</v>
      </c>
      <c r="D68" s="4">
        <v>3099145776.2406001</v>
      </c>
      <c r="F68" s="4">
        <v>660017343</v>
      </c>
      <c r="H68" s="4">
        <v>1302694613</v>
      </c>
      <c r="J68" s="4">
        <v>154281679</v>
      </c>
      <c r="L68" s="4">
        <v>272447066</v>
      </c>
      <c r="P68" s="84"/>
    </row>
    <row r="69" spans="1:16">
      <c r="A69" s="84">
        <f t="shared" ref="A69:A83" si="7">A68+1</f>
        <v>51</v>
      </c>
      <c r="C69" s="4" t="s">
        <v>377</v>
      </c>
      <c r="D69" s="41">
        <v>110035376</v>
      </c>
      <c r="F69" s="41">
        <v>0</v>
      </c>
      <c r="H69" s="41">
        <v>516089</v>
      </c>
      <c r="J69" s="41">
        <v>0</v>
      </c>
      <c r="L69" s="42">
        <v>-1829330</v>
      </c>
      <c r="P69" s="84"/>
    </row>
    <row r="70" spans="1:16">
      <c r="A70" s="84">
        <f t="shared" si="7"/>
        <v>52</v>
      </c>
      <c r="C70" s="4" t="s">
        <v>372</v>
      </c>
      <c r="D70" s="4">
        <f>D68-D69</f>
        <v>2989110400.2406001</v>
      </c>
      <c r="F70" s="4">
        <f>F68-F69</f>
        <v>660017343</v>
      </c>
      <c r="H70" s="4">
        <f>H68-H69</f>
        <v>1302178524</v>
      </c>
      <c r="J70" s="4">
        <f>J68-J69</f>
        <v>154281679</v>
      </c>
      <c r="L70" s="4">
        <f>L68-L69</f>
        <v>274276396</v>
      </c>
      <c r="P70" s="84"/>
    </row>
    <row r="71" spans="1:16">
      <c r="A71" s="84">
        <f t="shared" si="7"/>
        <v>53</v>
      </c>
      <c r="P71" s="84"/>
    </row>
    <row r="72" spans="1:16">
      <c r="A72" s="84">
        <f t="shared" si="7"/>
        <v>54</v>
      </c>
      <c r="C72" s="85" t="s">
        <v>373</v>
      </c>
      <c r="D72" s="4">
        <v>3221274906</v>
      </c>
      <c r="F72" s="4">
        <v>677008199</v>
      </c>
      <c r="H72" s="4">
        <v>1362063541</v>
      </c>
      <c r="J72" s="4">
        <v>182582271</v>
      </c>
      <c r="L72" s="4">
        <v>250562677</v>
      </c>
      <c r="P72" s="84"/>
    </row>
    <row r="73" spans="1:16">
      <c r="A73" s="84">
        <f t="shared" si="7"/>
        <v>55</v>
      </c>
      <c r="C73" s="4" t="s">
        <v>377</v>
      </c>
      <c r="D73" s="41">
        <v>117479780</v>
      </c>
      <c r="F73" s="41">
        <v>438</v>
      </c>
      <c r="H73" s="41">
        <v>1677781.39</v>
      </c>
      <c r="J73" s="41">
        <v>0</v>
      </c>
      <c r="L73" s="42">
        <v>-1829330</v>
      </c>
      <c r="P73" s="84"/>
    </row>
    <row r="74" spans="1:16">
      <c r="A74" s="84">
        <f t="shared" si="7"/>
        <v>56</v>
      </c>
      <c r="C74" s="4" t="s">
        <v>374</v>
      </c>
      <c r="D74" s="4">
        <f>D72-D73</f>
        <v>3103795126</v>
      </c>
      <c r="F74" s="4">
        <f>F72-F73</f>
        <v>677007761</v>
      </c>
      <c r="H74" s="4">
        <f>H72-H73</f>
        <v>1360385759.6099999</v>
      </c>
      <c r="J74" s="4">
        <f>J72-J73</f>
        <v>182582271</v>
      </c>
      <c r="L74" s="4">
        <f>L72-L73</f>
        <v>252392007</v>
      </c>
      <c r="P74" s="84"/>
    </row>
    <row r="75" spans="1:16">
      <c r="A75" s="84">
        <f t="shared" si="7"/>
        <v>57</v>
      </c>
      <c r="P75" s="84"/>
    </row>
    <row r="76" spans="1:16">
      <c r="A76" s="84">
        <f t="shared" si="7"/>
        <v>58</v>
      </c>
      <c r="C76" s="82" t="s">
        <v>375</v>
      </c>
      <c r="P76" s="84"/>
    </row>
    <row r="77" spans="1:16">
      <c r="A77" s="84">
        <f t="shared" si="7"/>
        <v>59</v>
      </c>
      <c r="C77" s="85" t="s">
        <v>371</v>
      </c>
      <c r="D77" s="4">
        <v>261389421</v>
      </c>
      <c r="F77" s="4">
        <v>192700330</v>
      </c>
      <c r="H77" s="4">
        <v>335956158</v>
      </c>
      <c r="J77" s="4">
        <v>31033908</v>
      </c>
      <c r="L77" s="4">
        <v>50537374</v>
      </c>
      <c r="P77" s="84"/>
    </row>
    <row r="78" spans="1:16">
      <c r="A78" s="84">
        <f t="shared" si="7"/>
        <v>60</v>
      </c>
      <c r="C78" s="4" t="s">
        <v>377</v>
      </c>
      <c r="D78" s="41">
        <v>0</v>
      </c>
      <c r="F78" s="41">
        <v>0</v>
      </c>
      <c r="H78" s="41">
        <v>23400</v>
      </c>
      <c r="J78" s="41">
        <v>0</v>
      </c>
      <c r="L78" s="42">
        <v>0</v>
      </c>
    </row>
    <row r="79" spans="1:16">
      <c r="A79" s="84">
        <f t="shared" si="7"/>
        <v>61</v>
      </c>
      <c r="C79" s="4" t="s">
        <v>372</v>
      </c>
      <c r="D79" s="4">
        <f>D77-D78</f>
        <v>261389421</v>
      </c>
      <c r="F79" s="4">
        <f>F77-F78</f>
        <v>192700330</v>
      </c>
      <c r="H79" s="4">
        <f>H77-H78</f>
        <v>335932758</v>
      </c>
      <c r="J79" s="4">
        <f>J77-J78</f>
        <v>31033908</v>
      </c>
      <c r="L79" s="4">
        <f>L77-L78</f>
        <v>50537374</v>
      </c>
    </row>
    <row r="80" spans="1:16">
      <c r="A80" s="84">
        <f t="shared" si="7"/>
        <v>62</v>
      </c>
    </row>
    <row r="81" spans="1:12">
      <c r="A81" s="84">
        <f t="shared" si="7"/>
        <v>63</v>
      </c>
      <c r="C81" s="85" t="s">
        <v>373</v>
      </c>
      <c r="D81" s="4">
        <v>272919242</v>
      </c>
      <c r="F81" s="4">
        <v>202813845</v>
      </c>
      <c r="H81" s="4">
        <v>354733164</v>
      </c>
      <c r="J81" s="4">
        <v>34437625</v>
      </c>
      <c r="L81" s="4">
        <v>53316335</v>
      </c>
    </row>
    <row r="82" spans="1:12">
      <c r="A82" s="84">
        <f t="shared" si="7"/>
        <v>64</v>
      </c>
      <c r="C82" s="4" t="s">
        <v>377</v>
      </c>
      <c r="D82" s="41">
        <v>242486</v>
      </c>
      <c r="F82" s="41">
        <v>0</v>
      </c>
      <c r="H82" s="42">
        <v>102793</v>
      </c>
      <c r="J82" s="41">
        <v>0</v>
      </c>
      <c r="L82" s="42">
        <v>0</v>
      </c>
    </row>
    <row r="83" spans="1:12">
      <c r="A83" s="84">
        <f t="shared" si="7"/>
        <v>65</v>
      </c>
      <c r="C83" s="4" t="s">
        <v>374</v>
      </c>
      <c r="D83" s="4">
        <f>D81-D82</f>
        <v>272676756</v>
      </c>
      <c r="F83" s="4">
        <f>F81-F82</f>
        <v>202813845</v>
      </c>
      <c r="H83" s="4">
        <f>H81-H82</f>
        <v>354630371</v>
      </c>
      <c r="J83" s="4">
        <f>J81-J82</f>
        <v>34437625</v>
      </c>
      <c r="L83" s="242">
        <f>L81-L82</f>
        <v>53316335</v>
      </c>
    </row>
  </sheetData>
  <phoneticPr fontId="10" type="noConversion"/>
  <printOptions horizontalCentered="1"/>
  <pageMargins left="0.75" right="0.25" top="0.75" bottom="0.4" header="0" footer="0.25"/>
  <pageSetup scale="65" orientation="portrait" r:id="rId1"/>
  <headerFooter alignWithMargins="0">
    <oddFooter>Page &amp;P of &amp;N</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N69"/>
  <sheetViews>
    <sheetView showGridLines="0" zoomScaleNormal="75" workbookViewId="0">
      <selection activeCell="A54" sqref="A54"/>
    </sheetView>
  </sheetViews>
  <sheetFormatPr defaultColWidth="14.44140625" defaultRowHeight="12.75"/>
  <cols>
    <col min="1" max="1" width="4.77734375" style="75" customWidth="1"/>
    <col min="2" max="2" width="2.77734375" style="4" customWidth="1"/>
    <col min="3" max="3" width="29.33203125" style="4" customWidth="1"/>
    <col min="4" max="4" width="14.44140625" style="4" customWidth="1"/>
    <col min="5" max="5" width="0.88671875" style="4" customWidth="1"/>
    <col min="6" max="6" width="14.44140625" style="4" bestFit="1" customWidth="1"/>
    <col min="7" max="7" width="0.88671875" style="4" customWidth="1"/>
    <col min="8" max="8" width="15.5546875" style="4" bestFit="1" customWidth="1"/>
    <col min="9" max="9" width="0.88671875" style="4" customWidth="1"/>
    <col min="10" max="10" width="12.88671875" style="4" customWidth="1"/>
    <col min="11" max="11" width="0.88671875" style="4" customWidth="1"/>
    <col min="12" max="12" width="14.44140625" style="4" customWidth="1"/>
    <col min="13" max="13" width="0.77734375" style="4" customWidth="1"/>
    <col min="14" max="14" width="14.44140625" style="4" bestFit="1" customWidth="1"/>
    <col min="15" max="16384" width="14.44140625" style="4"/>
  </cols>
  <sheetData>
    <row r="1" spans="1:14">
      <c r="A1" s="72" t="s">
        <v>36</v>
      </c>
      <c r="B1" s="73"/>
      <c r="C1" s="73"/>
      <c r="D1" s="73"/>
      <c r="E1" s="73"/>
      <c r="F1" s="73"/>
      <c r="G1" s="73"/>
      <c r="H1" s="73"/>
      <c r="I1" s="73"/>
      <c r="J1" s="73"/>
      <c r="K1" s="73"/>
      <c r="L1" s="73"/>
      <c r="M1" s="73"/>
      <c r="N1" s="74" t="s">
        <v>360</v>
      </c>
    </row>
    <row r="2" spans="1:14">
      <c r="A2" s="72" t="s">
        <v>215</v>
      </c>
      <c r="B2" s="73"/>
      <c r="C2" s="73"/>
      <c r="D2" s="73"/>
      <c r="E2" s="73"/>
      <c r="F2" s="73"/>
      <c r="G2" s="73"/>
      <c r="H2" s="73"/>
      <c r="I2" s="73"/>
      <c r="J2" s="73"/>
      <c r="K2" s="73"/>
      <c r="L2" s="73"/>
      <c r="M2" s="73"/>
      <c r="N2" s="74"/>
    </row>
    <row r="3" spans="1:14">
      <c r="A3" s="72" t="s">
        <v>361</v>
      </c>
      <c r="B3" s="73"/>
      <c r="C3" s="73"/>
      <c r="D3" s="73"/>
      <c r="E3" s="73"/>
      <c r="F3" s="73"/>
      <c r="G3" s="73"/>
      <c r="H3" s="73"/>
      <c r="I3" s="73"/>
      <c r="J3" s="73"/>
      <c r="K3" s="73"/>
      <c r="L3" s="73"/>
      <c r="M3" s="73"/>
    </row>
    <row r="4" spans="1:14">
      <c r="A4" s="118"/>
    </row>
    <row r="5" spans="1:14">
      <c r="A5" s="7"/>
      <c r="B5" s="7"/>
      <c r="C5" s="7"/>
      <c r="E5" s="26"/>
      <c r="I5" s="77"/>
      <c r="K5" s="77"/>
      <c r="L5" s="77"/>
      <c r="M5" s="77"/>
      <c r="N5" s="78" t="s">
        <v>157</v>
      </c>
    </row>
    <row r="6" spans="1:14">
      <c r="D6" s="78"/>
      <c r="E6" s="26"/>
      <c r="I6" s="77"/>
      <c r="K6" s="77"/>
      <c r="L6" s="77"/>
      <c r="M6" s="77"/>
      <c r="N6" s="78" t="s">
        <v>42</v>
      </c>
    </row>
    <row r="7" spans="1:14">
      <c r="A7" s="75" t="s">
        <v>174</v>
      </c>
      <c r="D7" s="77"/>
      <c r="E7" s="26"/>
      <c r="H7" s="186"/>
      <c r="J7" s="79" t="s">
        <v>212</v>
      </c>
      <c r="L7" s="79" t="s">
        <v>151</v>
      </c>
      <c r="N7" s="78" t="s">
        <v>134</v>
      </c>
    </row>
    <row r="8" spans="1:14">
      <c r="A8" s="80" t="s">
        <v>150</v>
      </c>
      <c r="D8" s="77" t="s">
        <v>132</v>
      </c>
      <c r="F8" s="77" t="s">
        <v>152</v>
      </c>
      <c r="H8" s="77" t="s">
        <v>153</v>
      </c>
      <c r="J8" s="77" t="s">
        <v>185</v>
      </c>
      <c r="L8" s="170" t="s">
        <v>38</v>
      </c>
      <c r="M8" s="78"/>
      <c r="N8" s="170" t="s">
        <v>135</v>
      </c>
    </row>
    <row r="9" spans="1:14">
      <c r="A9" s="81" t="s">
        <v>154</v>
      </c>
      <c r="B9" s="82" t="s">
        <v>37</v>
      </c>
      <c r="C9" s="83"/>
      <c r="D9" s="35"/>
      <c r="F9" s="35"/>
      <c r="H9" s="35"/>
      <c r="J9" s="35"/>
      <c r="N9" s="35"/>
    </row>
    <row r="10" spans="1:14">
      <c r="A10" s="84">
        <f t="shared" ref="A10:A41" si="0">+A9+1</f>
        <v>2</v>
      </c>
      <c r="C10" s="85" t="s">
        <v>282</v>
      </c>
      <c r="D10" s="25">
        <f t="shared" ref="D10:D22" si="1">+D32+D54</f>
        <v>3545710754.4294</v>
      </c>
      <c r="E10" s="26"/>
      <c r="F10" s="25">
        <f t="shared" ref="F10:L22" si="2">+F32+F54</f>
        <v>1831907701.6400001</v>
      </c>
      <c r="G10" s="25">
        <f t="shared" si="2"/>
        <v>0</v>
      </c>
      <c r="H10" s="25">
        <f t="shared" si="2"/>
        <v>2280895438.6900001</v>
      </c>
      <c r="I10" s="25">
        <f t="shared" si="2"/>
        <v>0</v>
      </c>
      <c r="J10" s="25">
        <f t="shared" si="2"/>
        <v>389123637.67969996</v>
      </c>
      <c r="K10" s="25">
        <f t="shared" si="2"/>
        <v>0</v>
      </c>
      <c r="L10" s="25">
        <f t="shared" si="2"/>
        <v>264211963.33000004</v>
      </c>
      <c r="M10" s="25"/>
      <c r="N10" s="25">
        <f t="shared" ref="N10:N22" si="3">SUM(D10:L10)</f>
        <v>8311849495.7690992</v>
      </c>
    </row>
    <row r="11" spans="1:14">
      <c r="A11" s="84">
        <f t="shared" si="0"/>
        <v>3</v>
      </c>
      <c r="C11" s="85" t="s">
        <v>332</v>
      </c>
      <c r="D11" s="26">
        <f t="shared" si="1"/>
        <v>3536709336.5411987</v>
      </c>
      <c r="E11" s="26"/>
      <c r="F11" s="26">
        <f t="shared" si="2"/>
        <v>1846792810.2189002</v>
      </c>
      <c r="G11" s="26">
        <f t="shared" si="2"/>
        <v>0</v>
      </c>
      <c r="H11" s="26">
        <f t="shared" si="2"/>
        <v>2286684553.2802997</v>
      </c>
      <c r="I11" s="26">
        <f t="shared" si="2"/>
        <v>0</v>
      </c>
      <c r="J11" s="26">
        <f t="shared" si="2"/>
        <v>388508140.63060015</v>
      </c>
      <c r="K11" s="26">
        <f t="shared" si="2"/>
        <v>0</v>
      </c>
      <c r="L11" s="26">
        <f t="shared" si="2"/>
        <v>262351696.01249987</v>
      </c>
      <c r="M11" s="107"/>
      <c r="N11" s="18">
        <f t="shared" si="3"/>
        <v>8321046536.6834993</v>
      </c>
    </row>
    <row r="12" spans="1:14">
      <c r="A12" s="84">
        <f t="shared" si="0"/>
        <v>4</v>
      </c>
      <c r="C12" s="85" t="s">
        <v>285</v>
      </c>
      <c r="D12" s="26">
        <f t="shared" si="1"/>
        <v>3522977910.9794998</v>
      </c>
      <c r="E12" s="26"/>
      <c r="F12" s="26">
        <f t="shared" si="2"/>
        <v>1846590003.7068999</v>
      </c>
      <c r="G12" s="26">
        <f t="shared" si="2"/>
        <v>0</v>
      </c>
      <c r="H12" s="26">
        <f t="shared" si="2"/>
        <v>2286098930.3501</v>
      </c>
      <c r="I12" s="26">
        <f t="shared" si="2"/>
        <v>0</v>
      </c>
      <c r="J12" s="26">
        <f t="shared" si="2"/>
        <v>388521437.97040004</v>
      </c>
      <c r="K12" s="26">
        <f t="shared" si="2"/>
        <v>0</v>
      </c>
      <c r="L12" s="26">
        <f t="shared" si="2"/>
        <v>260051570.98089999</v>
      </c>
      <c r="M12" s="107"/>
      <c r="N12" s="18">
        <f t="shared" si="3"/>
        <v>8304239853.9877987</v>
      </c>
    </row>
    <row r="13" spans="1:14">
      <c r="A13" s="84">
        <f t="shared" si="0"/>
        <v>5</v>
      </c>
      <c r="C13" s="85" t="s">
        <v>286</v>
      </c>
      <c r="D13" s="26">
        <f t="shared" si="1"/>
        <v>3512468468.7006006</v>
      </c>
      <c r="E13" s="26"/>
      <c r="F13" s="26">
        <f t="shared" si="2"/>
        <v>1861303588.0480003</v>
      </c>
      <c r="G13" s="26">
        <f t="shared" si="2"/>
        <v>0</v>
      </c>
      <c r="H13" s="26">
        <f t="shared" si="2"/>
        <v>2289091967.2203994</v>
      </c>
      <c r="I13" s="26">
        <f t="shared" si="2"/>
        <v>0</v>
      </c>
      <c r="J13" s="26">
        <f t="shared" si="2"/>
        <v>387802711.73820013</v>
      </c>
      <c r="K13" s="26">
        <f t="shared" si="2"/>
        <v>0</v>
      </c>
      <c r="L13" s="26">
        <f t="shared" si="2"/>
        <v>257704867.46239996</v>
      </c>
      <c r="M13" s="107"/>
      <c r="N13" s="18">
        <f t="shared" si="3"/>
        <v>8308371603.1695995</v>
      </c>
    </row>
    <row r="14" spans="1:14">
      <c r="A14" s="84">
        <f t="shared" si="0"/>
        <v>6</v>
      </c>
      <c r="C14" s="85" t="s">
        <v>177</v>
      </c>
      <c r="D14" s="26">
        <f t="shared" si="1"/>
        <v>3513510250.9470992</v>
      </c>
      <c r="E14" s="26"/>
      <c r="F14" s="26">
        <f t="shared" si="2"/>
        <v>1903184422.7399998</v>
      </c>
      <c r="G14" s="26">
        <f t="shared" si="2"/>
        <v>0</v>
      </c>
      <c r="H14" s="26">
        <f t="shared" si="2"/>
        <v>2300092735.4900002</v>
      </c>
      <c r="I14" s="26">
        <f t="shared" si="2"/>
        <v>0</v>
      </c>
      <c r="J14" s="26">
        <f t="shared" si="2"/>
        <v>387043506.13750011</v>
      </c>
      <c r="K14" s="26">
        <f t="shared" si="2"/>
        <v>0</v>
      </c>
      <c r="L14" s="26">
        <f t="shared" si="2"/>
        <v>257837614.3120999</v>
      </c>
      <c r="M14" s="107"/>
      <c r="N14" s="18">
        <f t="shared" si="3"/>
        <v>8361668529.6266985</v>
      </c>
    </row>
    <row r="15" spans="1:14">
      <c r="A15" s="84">
        <f t="shared" si="0"/>
        <v>7</v>
      </c>
      <c r="C15" s="85" t="s">
        <v>287</v>
      </c>
      <c r="D15" s="26">
        <f t="shared" si="1"/>
        <v>3513765842.658</v>
      </c>
      <c r="E15" s="26"/>
      <c r="F15" s="26">
        <f t="shared" si="2"/>
        <v>1915932961.7642</v>
      </c>
      <c r="G15" s="26">
        <f t="shared" si="2"/>
        <v>0</v>
      </c>
      <c r="H15" s="26">
        <f t="shared" si="2"/>
        <v>2313282981.9399991</v>
      </c>
      <c r="I15" s="26">
        <f t="shared" si="2"/>
        <v>0</v>
      </c>
      <c r="J15" s="26">
        <f t="shared" si="2"/>
        <v>386233194.11840004</v>
      </c>
      <c r="K15" s="26">
        <f t="shared" si="2"/>
        <v>0</v>
      </c>
      <c r="L15" s="26">
        <f t="shared" si="2"/>
        <v>256457201.01109993</v>
      </c>
      <c r="M15" s="107"/>
      <c r="N15" s="18">
        <f t="shared" si="3"/>
        <v>8385672181.4916992</v>
      </c>
    </row>
    <row r="16" spans="1:14">
      <c r="A16" s="84">
        <f t="shared" si="0"/>
        <v>8</v>
      </c>
      <c r="C16" s="85" t="s">
        <v>288</v>
      </c>
      <c r="D16" s="26">
        <f t="shared" si="1"/>
        <v>3573480068.9889002</v>
      </c>
      <c r="E16" s="26"/>
      <c r="F16" s="26">
        <f t="shared" si="2"/>
        <v>1919596262.7987003</v>
      </c>
      <c r="G16" s="26">
        <f t="shared" si="2"/>
        <v>0</v>
      </c>
      <c r="H16" s="26">
        <f t="shared" si="2"/>
        <v>2336360218.0099998</v>
      </c>
      <c r="I16" s="26">
        <f t="shared" si="2"/>
        <v>0</v>
      </c>
      <c r="J16" s="26">
        <f t="shared" si="2"/>
        <v>388451370.5995</v>
      </c>
      <c r="K16" s="26">
        <f t="shared" si="2"/>
        <v>0</v>
      </c>
      <c r="L16" s="26">
        <f t="shared" si="2"/>
        <v>266457424.1911</v>
      </c>
      <c r="M16" s="107"/>
      <c r="N16" s="18">
        <f t="shared" si="3"/>
        <v>8484345344.5881996</v>
      </c>
    </row>
    <row r="17" spans="1:14">
      <c r="A17" s="84">
        <f t="shared" si="0"/>
        <v>9</v>
      </c>
      <c r="C17" s="85" t="s">
        <v>179</v>
      </c>
      <c r="D17" s="26">
        <f t="shared" si="1"/>
        <v>3862829138.8390999</v>
      </c>
      <c r="E17" s="26"/>
      <c r="F17" s="26">
        <f t="shared" si="2"/>
        <v>1926276026.7860003</v>
      </c>
      <c r="G17" s="26">
        <f t="shared" si="2"/>
        <v>0</v>
      </c>
      <c r="H17" s="26">
        <f t="shared" si="2"/>
        <v>2349620293.1900005</v>
      </c>
      <c r="I17" s="26">
        <f t="shared" si="2"/>
        <v>0</v>
      </c>
      <c r="J17" s="26">
        <f t="shared" si="2"/>
        <v>392252773.67929995</v>
      </c>
      <c r="K17" s="26">
        <f t="shared" si="2"/>
        <v>0</v>
      </c>
      <c r="L17" s="26">
        <f t="shared" si="2"/>
        <v>267308661.84089994</v>
      </c>
      <c r="M17" s="107"/>
      <c r="N17" s="18">
        <f t="shared" si="3"/>
        <v>8798286894.3353004</v>
      </c>
    </row>
    <row r="18" spans="1:14">
      <c r="A18" s="84">
        <f t="shared" si="0"/>
        <v>10</v>
      </c>
      <c r="C18" s="85" t="s">
        <v>289</v>
      </c>
      <c r="D18" s="26">
        <f t="shared" si="1"/>
        <v>3864186606.1402998</v>
      </c>
      <c r="E18" s="26"/>
      <c r="F18" s="26">
        <f t="shared" si="2"/>
        <v>1929420537.3669</v>
      </c>
      <c r="G18" s="26">
        <f t="shared" si="2"/>
        <v>0</v>
      </c>
      <c r="H18" s="26">
        <f t="shared" si="2"/>
        <v>2369155698.9499998</v>
      </c>
      <c r="I18" s="26">
        <f t="shared" si="2"/>
        <v>0</v>
      </c>
      <c r="J18" s="26">
        <f t="shared" si="2"/>
        <v>390657594.82000005</v>
      </c>
      <c r="K18" s="26">
        <f t="shared" si="2"/>
        <v>0</v>
      </c>
      <c r="L18" s="26">
        <f t="shared" si="2"/>
        <v>265483169.42949983</v>
      </c>
      <c r="M18" s="107"/>
      <c r="N18" s="18">
        <f t="shared" si="3"/>
        <v>8818903606.7066994</v>
      </c>
    </row>
    <row r="19" spans="1:14">
      <c r="A19" s="84">
        <f t="shared" si="0"/>
        <v>11</v>
      </c>
      <c r="C19" s="85" t="s">
        <v>290</v>
      </c>
      <c r="D19" s="26">
        <f t="shared" si="1"/>
        <v>3911362931.1208</v>
      </c>
      <c r="E19" s="26"/>
      <c r="F19" s="26">
        <f t="shared" si="2"/>
        <v>1948336221.0818005</v>
      </c>
      <c r="G19" s="26">
        <f t="shared" si="2"/>
        <v>0</v>
      </c>
      <c r="H19" s="26">
        <f t="shared" si="2"/>
        <v>2366139724.4201002</v>
      </c>
      <c r="I19" s="26">
        <f t="shared" si="2"/>
        <v>0</v>
      </c>
      <c r="J19" s="26">
        <f t="shared" si="2"/>
        <v>378204911.02950007</v>
      </c>
      <c r="K19" s="26">
        <f t="shared" si="2"/>
        <v>0</v>
      </c>
      <c r="L19" s="26">
        <f t="shared" si="2"/>
        <v>263670689.17209989</v>
      </c>
      <c r="M19" s="107"/>
      <c r="N19" s="18">
        <f t="shared" si="3"/>
        <v>8867714476.8243008</v>
      </c>
    </row>
    <row r="20" spans="1:14">
      <c r="A20" s="84">
        <f t="shared" si="0"/>
        <v>12</v>
      </c>
      <c r="C20" s="85" t="s">
        <v>291</v>
      </c>
      <c r="D20" s="26">
        <f t="shared" si="1"/>
        <v>3919947901.1896</v>
      </c>
      <c r="E20" s="26"/>
      <c r="F20" s="26">
        <f t="shared" si="2"/>
        <v>1954206233.9409995</v>
      </c>
      <c r="G20" s="26">
        <f t="shared" si="2"/>
        <v>0</v>
      </c>
      <c r="H20" s="26">
        <f t="shared" si="2"/>
        <v>2374873608.5400004</v>
      </c>
      <c r="I20" s="26">
        <f t="shared" si="2"/>
        <v>0</v>
      </c>
      <c r="J20" s="26">
        <f t="shared" si="2"/>
        <v>380091308.71130008</v>
      </c>
      <c r="K20" s="26">
        <f t="shared" si="2"/>
        <v>0</v>
      </c>
      <c r="L20" s="26">
        <f t="shared" si="2"/>
        <v>262047662.99159998</v>
      </c>
      <c r="M20" s="107"/>
      <c r="N20" s="18">
        <f t="shared" si="3"/>
        <v>8891166715.3735008</v>
      </c>
    </row>
    <row r="21" spans="1:14">
      <c r="A21" s="84">
        <f t="shared" si="0"/>
        <v>13</v>
      </c>
      <c r="C21" s="85" t="s">
        <v>292</v>
      </c>
      <c r="D21" s="26">
        <f t="shared" si="1"/>
        <v>3951075765.1904001</v>
      </c>
      <c r="E21" s="26"/>
      <c r="F21" s="26">
        <f t="shared" si="2"/>
        <v>1978183679.2814002</v>
      </c>
      <c r="G21" s="26">
        <f t="shared" si="2"/>
        <v>0</v>
      </c>
      <c r="H21" s="26">
        <f t="shared" si="2"/>
        <v>2382428083.2601995</v>
      </c>
      <c r="I21" s="26">
        <f t="shared" si="2"/>
        <v>0</v>
      </c>
      <c r="J21" s="26">
        <f t="shared" si="2"/>
        <v>380534512.68950003</v>
      </c>
      <c r="K21" s="26">
        <f t="shared" si="2"/>
        <v>0</v>
      </c>
      <c r="L21" s="26">
        <f t="shared" si="2"/>
        <v>260928525.22089991</v>
      </c>
      <c r="M21" s="107"/>
      <c r="N21" s="18">
        <f t="shared" si="3"/>
        <v>8953150565.6423988</v>
      </c>
    </row>
    <row r="22" spans="1:14">
      <c r="A22" s="84">
        <f t="shared" si="0"/>
        <v>14</v>
      </c>
      <c r="C22" s="85" t="s">
        <v>207</v>
      </c>
      <c r="D22" s="26">
        <f t="shared" si="1"/>
        <v>4279614308.7789998</v>
      </c>
      <c r="E22" s="26"/>
      <c r="F22" s="26">
        <f t="shared" si="2"/>
        <v>2010743761.7639</v>
      </c>
      <c r="G22" s="26">
        <f t="shared" si="2"/>
        <v>0</v>
      </c>
      <c r="H22" s="26">
        <f t="shared" si="2"/>
        <v>2394999554.1798997</v>
      </c>
      <c r="I22" s="26">
        <f t="shared" si="2"/>
        <v>0</v>
      </c>
      <c r="J22" s="26">
        <f t="shared" si="2"/>
        <v>464763749.92159998</v>
      </c>
      <c r="K22" s="26">
        <f t="shared" si="2"/>
        <v>0</v>
      </c>
      <c r="L22" s="26">
        <f t="shared" si="2"/>
        <v>294221850.28979993</v>
      </c>
      <c r="M22" s="107"/>
      <c r="N22" s="18">
        <f t="shared" si="3"/>
        <v>9444343224.9342003</v>
      </c>
    </row>
    <row r="23" spans="1:14">
      <c r="A23" s="84">
        <f t="shared" si="0"/>
        <v>15</v>
      </c>
      <c r="C23" s="85"/>
      <c r="D23" s="34"/>
      <c r="F23" s="34"/>
      <c r="H23" s="34"/>
      <c r="I23" s="18"/>
      <c r="J23" s="34"/>
      <c r="K23" s="18"/>
      <c r="L23" s="171"/>
      <c r="M23" s="107"/>
      <c r="N23" s="34"/>
    </row>
    <row r="24" spans="1:14" ht="13.5" thickBot="1">
      <c r="A24" s="84">
        <f t="shared" si="0"/>
        <v>16</v>
      </c>
      <c r="C24" s="179" t="s">
        <v>156</v>
      </c>
      <c r="D24" s="36">
        <f>D46+D68</f>
        <v>3731356868.0387616</v>
      </c>
      <c r="F24" s="36">
        <f>F46+F68</f>
        <v>1913267247.0105922</v>
      </c>
      <c r="G24" s="73"/>
      <c r="H24" s="36">
        <f>H46+H68</f>
        <v>2333055675.9631534</v>
      </c>
      <c r="I24" s="174"/>
      <c r="J24" s="36">
        <f>J46+J68</f>
        <v>392476065.36350006</v>
      </c>
      <c r="K24" s="25"/>
      <c r="L24" s="36">
        <f>L46+L68</f>
        <v>264517915.09576148</v>
      </c>
      <c r="M24" s="110"/>
      <c r="N24" s="36">
        <f>N46+N68</f>
        <v>8634673771.4717693</v>
      </c>
    </row>
    <row r="25" spans="1:14" ht="13.5" thickTop="1">
      <c r="A25" s="84"/>
      <c r="D25" s="18"/>
      <c r="F25" s="18"/>
      <c r="H25" s="18"/>
      <c r="I25" s="18"/>
      <c r="J25" s="18"/>
      <c r="K25" s="18"/>
      <c r="L25" s="18"/>
      <c r="M25" s="18"/>
      <c r="N25" s="18"/>
    </row>
    <row r="26" spans="1:14">
      <c r="A26" s="84"/>
      <c r="D26" s="18"/>
      <c r="F26" s="18"/>
      <c r="H26" s="18"/>
      <c r="I26" s="18"/>
      <c r="J26" s="18"/>
      <c r="K26" s="18"/>
      <c r="L26" s="18"/>
      <c r="M26" s="18"/>
      <c r="N26" s="18"/>
    </row>
    <row r="27" spans="1:14">
      <c r="A27" s="84"/>
      <c r="E27" s="26"/>
      <c r="I27" s="77"/>
      <c r="K27" s="77"/>
      <c r="L27" s="77"/>
      <c r="M27" s="77"/>
      <c r="N27" s="78" t="s">
        <v>157</v>
      </c>
    </row>
    <row r="28" spans="1:14">
      <c r="A28" s="84"/>
      <c r="D28" s="78"/>
      <c r="E28" s="26"/>
      <c r="I28" s="77"/>
      <c r="K28" s="77"/>
      <c r="L28" s="77"/>
      <c r="M28" s="77"/>
      <c r="N28" s="78" t="s">
        <v>42</v>
      </c>
    </row>
    <row r="29" spans="1:14">
      <c r="A29" s="84"/>
      <c r="D29" s="77"/>
      <c r="E29" s="26"/>
      <c r="H29" s="186"/>
      <c r="J29" s="79" t="s">
        <v>212</v>
      </c>
      <c r="L29" s="79" t="s">
        <v>151</v>
      </c>
      <c r="N29" s="78" t="s">
        <v>134</v>
      </c>
    </row>
    <row r="30" spans="1:14">
      <c r="A30" s="84"/>
      <c r="C30" s="7"/>
      <c r="D30" s="77" t="s">
        <v>132</v>
      </c>
      <c r="F30" s="77" t="s">
        <v>152</v>
      </c>
      <c r="H30" s="77" t="s">
        <v>153</v>
      </c>
      <c r="J30" s="77" t="s">
        <v>185</v>
      </c>
      <c r="L30" s="170" t="s">
        <v>38</v>
      </c>
      <c r="M30" s="78"/>
      <c r="N30" s="170" t="s">
        <v>135</v>
      </c>
    </row>
    <row r="31" spans="1:14">
      <c r="A31" s="84">
        <f>A24+1</f>
        <v>17</v>
      </c>
      <c r="B31" s="82" t="s">
        <v>39</v>
      </c>
      <c r="C31" s="83"/>
      <c r="D31" s="35"/>
      <c r="F31" s="35"/>
      <c r="H31" s="35"/>
      <c r="J31" s="35"/>
      <c r="N31" s="35"/>
    </row>
    <row r="32" spans="1:14" ht="13.5" customHeight="1">
      <c r="A32" s="84">
        <f t="shared" si="0"/>
        <v>18</v>
      </c>
      <c r="C32" s="85" t="s">
        <v>282</v>
      </c>
      <c r="D32" s="25">
        <f>'WP Gross Plant'!D28-'WP Accum Deprec'!D29</f>
        <v>3372834889.7593999</v>
      </c>
      <c r="E32" s="26"/>
      <c r="F32" s="25">
        <f>'WP Gross Plant'!F28-'WP Accum Deprec'!F29</f>
        <v>1459554896</v>
      </c>
      <c r="G32" s="26"/>
      <c r="H32" s="25">
        <f>'WP Gross Plant'!H28-'WP Accum Deprec'!H29</f>
        <v>1917971393</v>
      </c>
      <c r="I32" s="26"/>
      <c r="J32" s="25">
        <f>'WP Gross Plant'!J28-'WP Accum Deprec'!J29</f>
        <v>338505176.20969999</v>
      </c>
      <c r="K32" s="18"/>
      <c r="L32" s="25">
        <f>'WP Gross Plant'!L28-'WP Accum Deprec'!L29</f>
        <v>212259345</v>
      </c>
      <c r="M32" s="25"/>
      <c r="N32" s="25">
        <f t="shared" ref="N32:N44" si="4">SUM(D32:L32)</f>
        <v>7301125699.969099</v>
      </c>
    </row>
    <row r="33" spans="1:14">
      <c r="A33" s="84">
        <f t="shared" si="0"/>
        <v>19</v>
      </c>
      <c r="C33" s="85" t="s">
        <v>332</v>
      </c>
      <c r="D33" s="25">
        <f>'WP Gross Plant'!D29-'WP Accum Deprec'!D30</f>
        <v>3364257216.4511986</v>
      </c>
      <c r="E33" s="26"/>
      <c r="F33" s="25">
        <f>'WP Gross Plant'!F29-'WP Accum Deprec'!F30</f>
        <v>1473048167.2589002</v>
      </c>
      <c r="G33" s="26"/>
      <c r="H33" s="25">
        <f>'WP Gross Plant'!H29-'WP Accum Deprec'!H30</f>
        <v>1923796386.0902998</v>
      </c>
      <c r="I33" s="26"/>
      <c r="J33" s="25">
        <f>'WP Gross Plant'!J29-'WP Accum Deprec'!J30</f>
        <v>337953238.57060015</v>
      </c>
      <c r="K33" s="18"/>
      <c r="L33" s="25">
        <f>'WP Gross Plant'!L29-'WP Accum Deprec'!L30</f>
        <v>210837278.08249986</v>
      </c>
      <c r="M33" s="107"/>
      <c r="N33" s="18">
        <f t="shared" si="4"/>
        <v>7309892286.4534979</v>
      </c>
    </row>
    <row r="34" spans="1:14">
      <c r="A34" s="84">
        <f t="shared" si="0"/>
        <v>20</v>
      </c>
      <c r="C34" s="85" t="s">
        <v>285</v>
      </c>
      <c r="D34" s="25">
        <f>'WP Gross Plant'!D30-'WP Accum Deprec'!D31</f>
        <v>3351446324.4895</v>
      </c>
      <c r="E34" s="26"/>
      <c r="F34" s="25">
        <f>'WP Gross Plant'!F30-'WP Accum Deprec'!F31</f>
        <v>1473448961.0568998</v>
      </c>
      <c r="G34" s="26"/>
      <c r="H34" s="25">
        <f>'WP Gross Plant'!H30-'WP Accum Deprec'!H31</f>
        <v>1923067423.6701002</v>
      </c>
      <c r="I34" s="26"/>
      <c r="J34" s="25">
        <f>'WP Gross Plant'!J30-'WP Accum Deprec'!J31</f>
        <v>337876722.03040004</v>
      </c>
      <c r="K34" s="18"/>
      <c r="L34" s="25">
        <f>'WP Gross Plant'!L30-'WP Accum Deprec'!L31</f>
        <v>208977976.62089998</v>
      </c>
      <c r="M34" s="107"/>
      <c r="N34" s="18">
        <f t="shared" si="4"/>
        <v>7294817407.8678007</v>
      </c>
    </row>
    <row r="35" spans="1:14">
      <c r="A35" s="84">
        <f t="shared" si="0"/>
        <v>21</v>
      </c>
      <c r="C35" s="85" t="s">
        <v>286</v>
      </c>
      <c r="D35" s="25">
        <f>'WP Gross Plant'!D31-'WP Accum Deprec'!D32</f>
        <v>3341890193.3006005</v>
      </c>
      <c r="E35" s="26"/>
      <c r="F35" s="25">
        <f>'WP Gross Plant'!F31-'WP Accum Deprec'!F32</f>
        <v>1475539352.2480001</v>
      </c>
      <c r="G35" s="26"/>
      <c r="H35" s="25">
        <f>'WP Gross Plant'!H31-'WP Accum Deprec'!H32</f>
        <v>1926682338.1603994</v>
      </c>
      <c r="I35" s="26"/>
      <c r="J35" s="25">
        <f>'WP Gross Plant'!J31-'WP Accum Deprec'!J32</f>
        <v>337396084.7082001</v>
      </c>
      <c r="K35" s="18"/>
      <c r="L35" s="25">
        <f>'WP Gross Plant'!L31-'WP Accum Deprec'!L32</f>
        <v>207101230.50239998</v>
      </c>
      <c r="M35" s="107"/>
      <c r="N35" s="18">
        <f t="shared" si="4"/>
        <v>7288609198.9196014</v>
      </c>
    </row>
    <row r="36" spans="1:14">
      <c r="A36" s="84">
        <f t="shared" si="0"/>
        <v>22</v>
      </c>
      <c r="C36" s="85" t="s">
        <v>177</v>
      </c>
      <c r="D36" s="25">
        <f>'WP Gross Plant'!D32-'WP Accum Deprec'!D33</f>
        <v>3343871209.4070992</v>
      </c>
      <c r="E36" s="26"/>
      <c r="F36" s="25">
        <f>'WP Gross Plant'!F32-'WP Accum Deprec'!F33</f>
        <v>1508704801.1699998</v>
      </c>
      <c r="G36" s="26"/>
      <c r="H36" s="25">
        <f>'WP Gross Plant'!H32-'WP Accum Deprec'!H33</f>
        <v>1935086716.02</v>
      </c>
      <c r="I36" s="26"/>
      <c r="J36" s="25">
        <f>'WP Gross Plant'!J32-'WP Accum Deprec'!J33</f>
        <v>336140897.86750007</v>
      </c>
      <c r="K36" s="18"/>
      <c r="L36" s="25">
        <f>'WP Gross Plant'!L32-'WP Accum Deprec'!L33</f>
        <v>207310022.59209988</v>
      </c>
      <c r="M36" s="107"/>
      <c r="N36" s="18">
        <f t="shared" si="4"/>
        <v>7331113647.0566998</v>
      </c>
    </row>
    <row r="37" spans="1:14">
      <c r="A37" s="84">
        <f t="shared" si="0"/>
        <v>23</v>
      </c>
      <c r="C37" s="85" t="s">
        <v>287</v>
      </c>
      <c r="D37" s="25">
        <f>'WP Gross Plant'!D33-'WP Accum Deprec'!D34</f>
        <v>3343616620.9580002</v>
      </c>
      <c r="E37" s="26"/>
      <c r="F37" s="25">
        <f>'WP Gross Plant'!F33-'WP Accum Deprec'!F34</f>
        <v>1514371540.0441999</v>
      </c>
      <c r="G37" s="26"/>
      <c r="H37" s="25">
        <f>'WP Gross Plant'!H33-'WP Accum Deprec'!H34</f>
        <v>1947764094.6699991</v>
      </c>
      <c r="I37" s="26"/>
      <c r="J37" s="25">
        <f>'WP Gross Plant'!J33-'WP Accum Deprec'!J34</f>
        <v>335074446.19840002</v>
      </c>
      <c r="K37" s="18"/>
      <c r="L37" s="25">
        <f>'WP Gross Plant'!L33-'WP Accum Deprec'!L34</f>
        <v>205962437.71109992</v>
      </c>
      <c r="M37" s="107"/>
      <c r="N37" s="18">
        <f t="shared" si="4"/>
        <v>7346789139.5816994</v>
      </c>
    </row>
    <row r="38" spans="1:14">
      <c r="A38" s="84">
        <f t="shared" si="0"/>
        <v>24</v>
      </c>
      <c r="C38" s="85" t="s">
        <v>288</v>
      </c>
      <c r="D38" s="25">
        <f>'WP Gross Plant'!D34-'WP Accum Deprec'!D35</f>
        <v>3402116483.2689004</v>
      </c>
      <c r="E38" s="26"/>
      <c r="F38" s="25">
        <f>'WP Gross Plant'!F34-'WP Accum Deprec'!F35</f>
        <v>1518281457.2487001</v>
      </c>
      <c r="G38" s="26"/>
      <c r="H38" s="25">
        <f>'WP Gross Plant'!H34-'WP Accum Deprec'!H35</f>
        <v>1970536901.5899999</v>
      </c>
      <c r="I38" s="26"/>
      <c r="J38" s="25">
        <f>'WP Gross Plant'!J34-'WP Accum Deprec'!J35</f>
        <v>335986110.11949998</v>
      </c>
      <c r="K38" s="18"/>
      <c r="L38" s="25">
        <f>'WP Gross Plant'!L34-'WP Accum Deprec'!L35</f>
        <v>215909231.66109997</v>
      </c>
      <c r="M38" s="107"/>
      <c r="N38" s="18">
        <f t="shared" si="4"/>
        <v>7442830183.8882017</v>
      </c>
    </row>
    <row r="39" spans="1:14">
      <c r="A39" s="84">
        <f t="shared" si="0"/>
        <v>25</v>
      </c>
      <c r="C39" s="85" t="s">
        <v>179</v>
      </c>
      <c r="D39" s="25">
        <f>'WP Gross Plant'!D35-'WP Accum Deprec'!D36</f>
        <v>3692536672.4190998</v>
      </c>
      <c r="E39" s="26"/>
      <c r="F39" s="25">
        <f>'WP Gross Plant'!F35-'WP Accum Deprec'!F36</f>
        <v>1524246379.276</v>
      </c>
      <c r="G39" s="26"/>
      <c r="H39" s="25">
        <f>'WP Gross Plant'!H35-'WP Accum Deprec'!H36</f>
        <v>1982249798.0300004</v>
      </c>
      <c r="I39" s="26"/>
      <c r="J39" s="25">
        <f>'WP Gross Plant'!J35-'WP Accum Deprec'!J36</f>
        <v>339574284.54929996</v>
      </c>
      <c r="K39" s="18"/>
      <c r="L39" s="25">
        <f>'WP Gross Plant'!L35-'WP Accum Deprec'!L36</f>
        <v>216947511.62089992</v>
      </c>
      <c r="M39" s="107"/>
      <c r="N39" s="18">
        <f t="shared" si="4"/>
        <v>7755554645.8953009</v>
      </c>
    </row>
    <row r="40" spans="1:14">
      <c r="A40" s="84">
        <f t="shared" si="0"/>
        <v>26</v>
      </c>
      <c r="C40" s="85" t="s">
        <v>289</v>
      </c>
      <c r="D40" s="25">
        <f>'WP Gross Plant'!D36-'WP Accum Deprec'!D37</f>
        <v>3694173896.2002997</v>
      </c>
      <c r="E40" s="26"/>
      <c r="F40" s="25">
        <f>'WP Gross Plant'!F36-'WP Accum Deprec'!F37</f>
        <v>1525588542.8168998</v>
      </c>
      <c r="G40" s="26"/>
      <c r="H40" s="25">
        <f>'WP Gross Plant'!H36-'WP Accum Deprec'!H37</f>
        <v>1998668175.1000001</v>
      </c>
      <c r="I40" s="26"/>
      <c r="J40" s="25">
        <f>'WP Gross Plant'!J36-'WP Accum Deprec'!J37</f>
        <v>338173979.77000004</v>
      </c>
      <c r="K40" s="18"/>
      <c r="L40" s="25">
        <f>'WP Gross Plant'!L36-'WP Accum Deprec'!L37</f>
        <v>215436789.59949982</v>
      </c>
      <c r="M40" s="107"/>
      <c r="N40" s="18">
        <f t="shared" si="4"/>
        <v>7772041383.4867001</v>
      </c>
    </row>
    <row r="41" spans="1:14">
      <c r="A41" s="84">
        <f t="shared" si="0"/>
        <v>27</v>
      </c>
      <c r="C41" s="85" t="s">
        <v>290</v>
      </c>
      <c r="D41" s="25">
        <f>'WP Gross Plant'!D37-'WP Accum Deprec'!D38</f>
        <v>3742303719.5507998</v>
      </c>
      <c r="E41" s="26"/>
      <c r="F41" s="25">
        <f>'WP Gross Plant'!F37-'WP Accum Deprec'!F38</f>
        <v>1543620307.7118003</v>
      </c>
      <c r="G41" s="26"/>
      <c r="H41" s="25">
        <f>'WP Gross Plant'!H37-'WP Accum Deprec'!H38</f>
        <v>1993316531.7101002</v>
      </c>
      <c r="I41" s="26"/>
      <c r="J41" s="25">
        <f>'WP Gross Plant'!J37-'WP Accum Deprec'!J38</f>
        <v>324967897.81950009</v>
      </c>
      <c r="K41" s="18"/>
      <c r="L41" s="25">
        <f>'WP Gross Plant'!L37-'WP Accum Deprec'!L38</f>
        <v>213985065.52209985</v>
      </c>
      <c r="M41" s="107"/>
      <c r="N41" s="18">
        <f t="shared" si="4"/>
        <v>7818193522.3142996</v>
      </c>
    </row>
    <row r="42" spans="1:14">
      <c r="A42" s="84">
        <f t="shared" ref="A42:A68" si="5">+A41+1</f>
        <v>28</v>
      </c>
      <c r="C42" s="85" t="s">
        <v>291</v>
      </c>
      <c r="D42" s="25">
        <f>'WP Gross Plant'!D38-'WP Accum Deprec'!D39</f>
        <v>3750142792.4396</v>
      </c>
      <c r="E42" s="26"/>
      <c r="F42" s="25">
        <f>'WP Gross Plant'!F38-'WP Accum Deprec'!F39</f>
        <v>1549426328.2809997</v>
      </c>
      <c r="G42" s="26"/>
      <c r="H42" s="25">
        <f>'WP Gross Plant'!H38-'WP Accum Deprec'!H39</f>
        <v>1999964032.5000002</v>
      </c>
      <c r="I42" s="26"/>
      <c r="J42" s="25">
        <f>'WP Gross Plant'!J38-'WP Accum Deprec'!J39</f>
        <v>327172801.70130008</v>
      </c>
      <c r="K42" s="18"/>
      <c r="L42" s="25">
        <f>'WP Gross Plant'!L38-'WP Accum Deprec'!L39</f>
        <v>212502193.00159997</v>
      </c>
      <c r="M42" s="107"/>
      <c r="N42" s="18">
        <f t="shared" si="4"/>
        <v>7839208147.9235001</v>
      </c>
    </row>
    <row r="43" spans="1:14">
      <c r="A43" s="84">
        <f t="shared" si="5"/>
        <v>29</v>
      </c>
      <c r="C43" s="85" t="s">
        <v>292</v>
      </c>
      <c r="D43" s="25">
        <f>'WP Gross Plant'!D39-'WP Accum Deprec'!D40</f>
        <v>3781698830.1004</v>
      </c>
      <c r="E43" s="26"/>
      <c r="F43" s="25">
        <f>'WP Gross Plant'!F39-'WP Accum Deprec'!F40</f>
        <v>1561159715.9214001</v>
      </c>
      <c r="G43" s="26"/>
      <c r="H43" s="25">
        <f>'WP Gross Plant'!H39-'WP Accum Deprec'!H40</f>
        <v>2004880548.9401994</v>
      </c>
      <c r="I43" s="26"/>
      <c r="J43" s="25">
        <f>'WP Gross Plant'!J39-'WP Accum Deprec'!J40</f>
        <v>327721566.49950004</v>
      </c>
      <c r="K43" s="18"/>
      <c r="L43" s="25">
        <f>'WP Gross Plant'!L39-'WP Accum Deprec'!L40</f>
        <v>211572944.34089991</v>
      </c>
      <c r="M43" s="107"/>
      <c r="N43" s="18">
        <f t="shared" si="4"/>
        <v>7887033605.8023996</v>
      </c>
    </row>
    <row r="44" spans="1:14">
      <c r="A44" s="84">
        <f t="shared" si="5"/>
        <v>30</v>
      </c>
      <c r="C44" s="85" t="s">
        <v>207</v>
      </c>
      <c r="D44" s="25">
        <f>'WP Gross Plant'!D40-'WP Accum Deprec'!D41</f>
        <v>4106229470.9390001</v>
      </c>
      <c r="E44" s="26"/>
      <c r="F44" s="25">
        <f>'WP Gross Plant'!F40-'WP Accum Deprec'!F41</f>
        <v>1583064946.0039001</v>
      </c>
      <c r="G44" s="26"/>
      <c r="H44" s="25">
        <f>'WP Gross Plant'!H40-'WP Accum Deprec'!H41</f>
        <v>2015733327.3899002</v>
      </c>
      <c r="I44" s="26"/>
      <c r="J44" s="25">
        <f>'WP Gross Plant'!J40-'WP Accum Deprec'!J41</f>
        <v>411330030.82160002</v>
      </c>
      <c r="K44" s="18"/>
      <c r="L44" s="25">
        <f>'WP Gross Plant'!L40-'WP Accum Deprec'!L41</f>
        <v>243496350.63980001</v>
      </c>
      <c r="M44" s="107"/>
      <c r="N44" s="18">
        <f t="shared" si="4"/>
        <v>8359854125.7941999</v>
      </c>
    </row>
    <row r="45" spans="1:14">
      <c r="A45" s="84">
        <f t="shared" si="5"/>
        <v>31</v>
      </c>
      <c r="C45" s="85"/>
      <c r="D45" s="34"/>
      <c r="F45" s="34"/>
      <c r="H45" s="34"/>
      <c r="I45" s="18"/>
      <c r="J45" s="34"/>
      <c r="K45" s="18"/>
      <c r="L45" s="171"/>
      <c r="M45" s="107"/>
      <c r="N45" s="34"/>
    </row>
    <row r="46" spans="1:14" ht="13.5" thickBot="1">
      <c r="A46" s="84">
        <f t="shared" si="5"/>
        <v>32</v>
      </c>
      <c r="C46" s="179" t="s">
        <v>156</v>
      </c>
      <c r="D46" s="36">
        <f>'WP Gross Plant'!D42-'WP Accum Deprec'!D43</f>
        <v>3560547563.0218387</v>
      </c>
      <c r="F46" s="36">
        <f>'WP Gross Plant'!F42-'WP Accum Deprec'!F43</f>
        <v>1516158107.3105922</v>
      </c>
      <c r="G46" s="73"/>
      <c r="H46" s="36">
        <f>'WP Gross Plant'!H42-'WP Accum Deprec'!H43</f>
        <v>1964593666.6823843</v>
      </c>
      <c r="I46" s="174"/>
      <c r="J46" s="36">
        <f>'WP Gross Plant'!J42-'WP Accum Deprec'!J43</f>
        <v>340605633.60503852</v>
      </c>
      <c r="K46" s="25"/>
      <c r="L46" s="36">
        <f>'WP Gross Plant'!L42-'WP Accum Deprec'!L43</f>
        <v>214022952.06883839</v>
      </c>
      <c r="M46" s="110"/>
      <c r="N46" s="36">
        <f>'WP Gross Plant'!N42-'WP Accum Deprec'!N43</f>
        <v>7595927922.6886921</v>
      </c>
    </row>
    <row r="47" spans="1:14" ht="13.5" thickTop="1">
      <c r="A47" s="84"/>
      <c r="C47" s="7"/>
      <c r="D47" s="7"/>
      <c r="E47" s="7"/>
      <c r="F47" s="7"/>
      <c r="G47" s="7"/>
      <c r="H47" s="7"/>
      <c r="I47" s="7"/>
      <c r="J47" s="7"/>
      <c r="K47" s="7"/>
      <c r="L47" s="7"/>
      <c r="M47" s="7"/>
      <c r="N47" s="7"/>
    </row>
    <row r="48" spans="1:14">
      <c r="A48" s="84"/>
      <c r="C48" s="7"/>
      <c r="D48" s="7"/>
      <c r="E48" s="7"/>
      <c r="F48" s="7"/>
      <c r="G48" s="7"/>
      <c r="H48" s="7"/>
      <c r="I48" s="7"/>
      <c r="J48" s="7"/>
      <c r="K48" s="7"/>
      <c r="L48" s="7"/>
      <c r="M48" s="7"/>
      <c r="N48" s="7"/>
    </row>
    <row r="49" spans="1:14">
      <c r="A49" s="84"/>
      <c r="C49" s="7"/>
      <c r="E49" s="26"/>
      <c r="I49" s="77"/>
      <c r="K49" s="77"/>
      <c r="L49" s="77"/>
      <c r="M49" s="77"/>
      <c r="N49" s="78" t="s">
        <v>157</v>
      </c>
    </row>
    <row r="50" spans="1:14">
      <c r="A50" s="84"/>
      <c r="C50" s="7"/>
      <c r="D50" s="78"/>
      <c r="E50" s="26"/>
      <c r="I50" s="77"/>
      <c r="K50" s="77"/>
      <c r="L50" s="77"/>
      <c r="M50" s="77"/>
      <c r="N50" s="78" t="s">
        <v>42</v>
      </c>
    </row>
    <row r="51" spans="1:14">
      <c r="A51" s="84"/>
      <c r="C51" s="7"/>
      <c r="D51" s="77"/>
      <c r="E51" s="26"/>
      <c r="H51" s="186"/>
      <c r="J51" s="79" t="s">
        <v>212</v>
      </c>
      <c r="L51" s="79" t="s">
        <v>151</v>
      </c>
      <c r="N51" s="78" t="s">
        <v>134</v>
      </c>
    </row>
    <row r="52" spans="1:14">
      <c r="A52" s="84"/>
      <c r="C52" s="7"/>
      <c r="D52" s="77" t="s">
        <v>132</v>
      </c>
      <c r="F52" s="77" t="s">
        <v>152</v>
      </c>
      <c r="H52" s="77" t="s">
        <v>153</v>
      </c>
      <c r="J52" s="77" t="s">
        <v>185</v>
      </c>
      <c r="L52" s="170" t="s">
        <v>38</v>
      </c>
      <c r="M52" s="78"/>
      <c r="N52" s="170" t="s">
        <v>135</v>
      </c>
    </row>
    <row r="53" spans="1:14">
      <c r="A53" s="84">
        <f>A46+1</f>
        <v>33</v>
      </c>
      <c r="B53" s="82" t="s">
        <v>40</v>
      </c>
      <c r="C53" s="83"/>
      <c r="D53" s="35"/>
      <c r="F53" s="35"/>
      <c r="H53" s="35"/>
      <c r="J53" s="35"/>
      <c r="N53" s="35"/>
    </row>
    <row r="54" spans="1:14">
      <c r="A54" s="84">
        <f t="shared" si="5"/>
        <v>34</v>
      </c>
      <c r="C54" s="85" t="s">
        <v>282</v>
      </c>
      <c r="D54" s="25">
        <f>'WP Gross Plant'!D48-'WP Accum Deprec'!D50</f>
        <v>172875864.66999999</v>
      </c>
      <c r="E54" s="26"/>
      <c r="F54" s="25">
        <f>'WP Gross Plant'!F48-'WP Accum Deprec'!F50</f>
        <v>372352805.64000005</v>
      </c>
      <c r="G54" s="26"/>
      <c r="H54" s="25">
        <f>'WP Gross Plant'!H48-'WP Accum Deprec'!H50</f>
        <v>362924045.68999994</v>
      </c>
      <c r="I54" s="26"/>
      <c r="J54" s="25">
        <f>'WP Gross Plant'!J48-'WP Accum Deprec'!J50</f>
        <v>50618461.469999984</v>
      </c>
      <c r="K54" s="18"/>
      <c r="L54" s="25">
        <f>'WP Gross Plant'!L48-'WP Accum Deprec'!L50</f>
        <v>51952618.33000005</v>
      </c>
      <c r="M54" s="25"/>
      <c r="N54" s="25">
        <f t="shared" ref="N54:N66" si="6">SUM(D54:L54)</f>
        <v>1010723795.8000001</v>
      </c>
    </row>
    <row r="55" spans="1:14">
      <c r="A55" s="84">
        <f t="shared" si="5"/>
        <v>35</v>
      </c>
      <c r="C55" s="85" t="s">
        <v>332</v>
      </c>
      <c r="D55" s="25">
        <f>'WP Gross Plant'!D49-'WP Accum Deprec'!D51</f>
        <v>172452120.09000003</v>
      </c>
      <c r="E55" s="26"/>
      <c r="F55" s="25">
        <f>'WP Gross Plant'!F49-'WP Accum Deprec'!F51</f>
        <v>373744642.96000004</v>
      </c>
      <c r="G55" s="26"/>
      <c r="H55" s="25">
        <f>'WP Gross Plant'!H49-'WP Accum Deprec'!H51</f>
        <v>362888167.19</v>
      </c>
      <c r="I55" s="26"/>
      <c r="J55" s="25">
        <f>'WP Gross Plant'!J49-'WP Accum Deprec'!J51</f>
        <v>50554902.060000025</v>
      </c>
      <c r="K55" s="18"/>
      <c r="L55" s="25">
        <f>'WP Gross Plant'!L49-'WP Accum Deprec'!L51</f>
        <v>51514417.930000022</v>
      </c>
      <c r="M55" s="107"/>
      <c r="N55" s="18">
        <f t="shared" si="6"/>
        <v>1011154250.2300001</v>
      </c>
    </row>
    <row r="56" spans="1:14">
      <c r="A56" s="84">
        <f t="shared" si="5"/>
        <v>36</v>
      </c>
      <c r="C56" s="85" t="s">
        <v>285</v>
      </c>
      <c r="D56" s="25">
        <f>'WP Gross Plant'!D50-'WP Accum Deprec'!D52</f>
        <v>171531586.49000001</v>
      </c>
      <c r="E56" s="26"/>
      <c r="F56" s="25">
        <f>'WP Gross Plant'!F50-'WP Accum Deprec'!F52</f>
        <v>373141042.65000004</v>
      </c>
      <c r="G56" s="26"/>
      <c r="H56" s="25">
        <f>'WP Gross Plant'!H50-'WP Accum Deprec'!H52</f>
        <v>363031506.67999989</v>
      </c>
      <c r="I56" s="26"/>
      <c r="J56" s="25">
        <f>'WP Gross Plant'!J50-'WP Accum Deprec'!J52</f>
        <v>50644715.940000013</v>
      </c>
      <c r="K56" s="18"/>
      <c r="L56" s="25">
        <f>'WP Gross Plant'!L50-'WP Accum Deprec'!L52</f>
        <v>51073594.360000007</v>
      </c>
      <c r="M56" s="107"/>
      <c r="N56" s="18">
        <f t="shared" si="6"/>
        <v>1009422446.12</v>
      </c>
    </row>
    <row r="57" spans="1:14">
      <c r="A57" s="84">
        <f t="shared" si="5"/>
        <v>37</v>
      </c>
      <c r="C57" s="85" t="s">
        <v>286</v>
      </c>
      <c r="D57" s="25">
        <f>'WP Gross Plant'!D51-'WP Accum Deprec'!D53</f>
        <v>170578275.40000004</v>
      </c>
      <c r="E57" s="26"/>
      <c r="F57" s="25">
        <f>'WP Gross Plant'!F51-'WP Accum Deprec'!F53</f>
        <v>385764235.80000007</v>
      </c>
      <c r="G57" s="26"/>
      <c r="H57" s="25">
        <f>'WP Gross Plant'!H51-'WP Accum Deprec'!H53</f>
        <v>362409629.06000012</v>
      </c>
      <c r="I57" s="26"/>
      <c r="J57" s="25">
        <f>'WP Gross Plant'!J51-'WP Accum Deprec'!J53</f>
        <v>50406627.030000009</v>
      </c>
      <c r="K57" s="18"/>
      <c r="L57" s="25">
        <f>'WP Gross Plant'!L51-'WP Accum Deprec'!L53</f>
        <v>50603636.959999993</v>
      </c>
      <c r="M57" s="107"/>
      <c r="N57" s="18">
        <f t="shared" si="6"/>
        <v>1019762404.2500002</v>
      </c>
    </row>
    <row r="58" spans="1:14">
      <c r="A58" s="84">
        <f t="shared" si="5"/>
        <v>38</v>
      </c>
      <c r="C58" s="85" t="s">
        <v>177</v>
      </c>
      <c r="D58" s="25">
        <f>'WP Gross Plant'!D52-'WP Accum Deprec'!D54</f>
        <v>169639041.53999999</v>
      </c>
      <c r="E58" s="26"/>
      <c r="F58" s="25">
        <f>'WP Gross Plant'!F52-'WP Accum Deprec'!F54</f>
        <v>394479621.56999999</v>
      </c>
      <c r="G58" s="26"/>
      <c r="H58" s="25">
        <f>'WP Gross Plant'!H52-'WP Accum Deprec'!H54</f>
        <v>365006019.47000009</v>
      </c>
      <c r="I58" s="26"/>
      <c r="J58" s="25">
        <f>'WP Gross Plant'!J52-'WP Accum Deprec'!J54</f>
        <v>50902608.270000018</v>
      </c>
      <c r="K58" s="18"/>
      <c r="L58" s="25">
        <f>'WP Gross Plant'!L52-'WP Accum Deprec'!L54</f>
        <v>50527591.720000029</v>
      </c>
      <c r="M58" s="107"/>
      <c r="N58" s="18">
        <f t="shared" si="6"/>
        <v>1030554882.5700002</v>
      </c>
    </row>
    <row r="59" spans="1:14">
      <c r="A59" s="84">
        <f t="shared" si="5"/>
        <v>39</v>
      </c>
      <c r="C59" s="85" t="s">
        <v>287</v>
      </c>
      <c r="D59" s="25">
        <f>'WP Gross Plant'!D53-'WP Accum Deprec'!D55</f>
        <v>170149221.70000002</v>
      </c>
      <c r="E59" s="26"/>
      <c r="F59" s="25">
        <f>'WP Gross Plant'!F53-'WP Accum Deprec'!F55</f>
        <v>401561421.72000003</v>
      </c>
      <c r="G59" s="26"/>
      <c r="H59" s="25">
        <f>'WP Gross Plant'!H53-'WP Accum Deprec'!H55</f>
        <v>365518887.26999998</v>
      </c>
      <c r="I59" s="26"/>
      <c r="J59" s="25">
        <f>'WP Gross Plant'!J53-'WP Accum Deprec'!J55</f>
        <v>51158747.920000017</v>
      </c>
      <c r="K59" s="18"/>
      <c r="L59" s="25">
        <f>'WP Gross Plant'!L53-'WP Accum Deprec'!L55</f>
        <v>50494763.300000012</v>
      </c>
      <c r="M59" s="107"/>
      <c r="N59" s="18">
        <f t="shared" si="6"/>
        <v>1038883041.9100001</v>
      </c>
    </row>
    <row r="60" spans="1:14">
      <c r="A60" s="84">
        <f t="shared" si="5"/>
        <v>40</v>
      </c>
      <c r="C60" s="85" t="s">
        <v>288</v>
      </c>
      <c r="D60" s="25">
        <f>'WP Gross Plant'!D54-'WP Accum Deprec'!D56</f>
        <v>171363585.72000003</v>
      </c>
      <c r="E60" s="26"/>
      <c r="F60" s="25">
        <f>'WP Gross Plant'!F54-'WP Accum Deprec'!F56</f>
        <v>401314805.55000007</v>
      </c>
      <c r="G60" s="26"/>
      <c r="H60" s="25">
        <f>'WP Gross Plant'!H54-'WP Accum Deprec'!H56</f>
        <v>365823316.41999996</v>
      </c>
      <c r="I60" s="26"/>
      <c r="J60" s="25">
        <f>'WP Gross Plant'!J54-'WP Accum Deprec'!J56</f>
        <v>52465260.480000004</v>
      </c>
      <c r="K60" s="18"/>
      <c r="L60" s="25">
        <f>'WP Gross Plant'!L54-'WP Accum Deprec'!L56</f>
        <v>50548192.530000024</v>
      </c>
      <c r="M60" s="107"/>
      <c r="N60" s="18">
        <f t="shared" si="6"/>
        <v>1041515160.7</v>
      </c>
    </row>
    <row r="61" spans="1:14">
      <c r="A61" s="84">
        <f t="shared" si="5"/>
        <v>41</v>
      </c>
      <c r="C61" s="85" t="s">
        <v>179</v>
      </c>
      <c r="D61" s="25">
        <f>'WP Gross Plant'!D55-'WP Accum Deprec'!D57</f>
        <v>170292466.42000002</v>
      </c>
      <c r="E61" s="26"/>
      <c r="F61" s="25">
        <f>'WP Gross Plant'!F55-'WP Accum Deprec'!F57</f>
        <v>402029647.51000017</v>
      </c>
      <c r="G61" s="26"/>
      <c r="H61" s="25">
        <f>'WP Gross Plant'!H55-'WP Accum Deprec'!H57</f>
        <v>367370495.16000009</v>
      </c>
      <c r="I61" s="26"/>
      <c r="J61" s="25">
        <f>'WP Gross Plant'!J55-'WP Accum Deprec'!J57</f>
        <v>52678489.129999995</v>
      </c>
      <c r="K61" s="18"/>
      <c r="L61" s="25">
        <f>'WP Gross Plant'!L55-'WP Accum Deprec'!L57</f>
        <v>50361150.220000014</v>
      </c>
      <c r="M61" s="107"/>
      <c r="N61" s="18">
        <f t="shared" si="6"/>
        <v>1042732248.4400003</v>
      </c>
    </row>
    <row r="62" spans="1:14">
      <c r="A62" s="84">
        <f t="shared" si="5"/>
        <v>42</v>
      </c>
      <c r="C62" s="85" t="s">
        <v>289</v>
      </c>
      <c r="D62" s="25">
        <f>'WP Gross Plant'!D56-'WP Accum Deprec'!D58</f>
        <v>170012709.94000006</v>
      </c>
      <c r="E62" s="26"/>
      <c r="F62" s="25">
        <f>'WP Gross Plant'!F56-'WP Accum Deprec'!F58</f>
        <v>403831994.55000007</v>
      </c>
      <c r="G62" s="26"/>
      <c r="H62" s="25">
        <f>'WP Gross Plant'!H56-'WP Accum Deprec'!H58</f>
        <v>370487523.8499999</v>
      </c>
      <c r="I62" s="26"/>
      <c r="J62" s="25">
        <f>'WP Gross Plant'!J56-'WP Accum Deprec'!J58</f>
        <v>52483615.049999997</v>
      </c>
      <c r="K62" s="18"/>
      <c r="L62" s="25">
        <f>'WP Gross Plant'!L56-'WP Accum Deprec'!L58</f>
        <v>50046379.830000013</v>
      </c>
      <c r="M62" s="107"/>
      <c r="N62" s="18">
        <f t="shared" si="6"/>
        <v>1046862223.22</v>
      </c>
    </row>
    <row r="63" spans="1:14">
      <c r="A63" s="84">
        <f t="shared" si="5"/>
        <v>43</v>
      </c>
      <c r="C63" s="85" t="s">
        <v>290</v>
      </c>
      <c r="D63" s="25">
        <f>'WP Gross Plant'!D57-'WP Accum Deprec'!D59</f>
        <v>169059211.57000005</v>
      </c>
      <c r="E63" s="26"/>
      <c r="F63" s="25">
        <f>'WP Gross Plant'!F57-'WP Accum Deprec'!F59</f>
        <v>404715913.37</v>
      </c>
      <c r="G63" s="26"/>
      <c r="H63" s="25">
        <f>'WP Gross Plant'!H57-'WP Accum Deprec'!H59</f>
        <v>372823192.7100001</v>
      </c>
      <c r="I63" s="26"/>
      <c r="J63" s="25">
        <f>'WP Gross Plant'!J57-'WP Accum Deprec'!J59</f>
        <v>53237013.209999993</v>
      </c>
      <c r="K63" s="18"/>
      <c r="L63" s="25">
        <f>'WP Gross Plant'!L57-'WP Accum Deprec'!L59</f>
        <v>49685623.650000021</v>
      </c>
      <c r="M63" s="107"/>
      <c r="N63" s="18">
        <f t="shared" si="6"/>
        <v>1049520954.5100001</v>
      </c>
    </row>
    <row r="64" spans="1:14">
      <c r="A64" s="84">
        <f t="shared" si="5"/>
        <v>44</v>
      </c>
      <c r="C64" s="85" t="s">
        <v>291</v>
      </c>
      <c r="D64" s="25">
        <f>'WP Gross Plant'!D58-'WP Accum Deprec'!D60</f>
        <v>169805108.75000006</v>
      </c>
      <c r="E64" s="26"/>
      <c r="F64" s="25">
        <f>'WP Gross Plant'!F58-'WP Accum Deprec'!F60</f>
        <v>404779905.65999997</v>
      </c>
      <c r="G64" s="26"/>
      <c r="H64" s="25">
        <f>'WP Gross Plant'!H58-'WP Accum Deprec'!H60</f>
        <v>374909576.04000014</v>
      </c>
      <c r="I64" s="26"/>
      <c r="J64" s="25">
        <f>'WP Gross Plant'!J58-'WP Accum Deprec'!J60</f>
        <v>52918507.009999998</v>
      </c>
      <c r="K64" s="18"/>
      <c r="L64" s="25">
        <f>'WP Gross Plant'!L58-'WP Accum Deprec'!L60</f>
        <v>49545469.990000017</v>
      </c>
      <c r="M64" s="107"/>
      <c r="N64" s="18">
        <f t="shared" si="6"/>
        <v>1051958567.4500003</v>
      </c>
    </row>
    <row r="65" spans="1:14">
      <c r="A65" s="84">
        <f t="shared" si="5"/>
        <v>45</v>
      </c>
      <c r="C65" s="85" t="s">
        <v>292</v>
      </c>
      <c r="D65" s="25">
        <f>'WP Gross Plant'!D59-'WP Accum Deprec'!D61</f>
        <v>169376935.09000009</v>
      </c>
      <c r="E65" s="26"/>
      <c r="F65" s="25">
        <f>'WP Gross Plant'!F59-'WP Accum Deprec'!F61</f>
        <v>417023963.36000001</v>
      </c>
      <c r="G65" s="26"/>
      <c r="H65" s="25">
        <f>'WP Gross Plant'!H59-'WP Accum Deprec'!H61</f>
        <v>377547534.32000011</v>
      </c>
      <c r="I65" s="26"/>
      <c r="J65" s="25">
        <f>'WP Gross Plant'!J59-'WP Accum Deprec'!J61</f>
        <v>52812946.19000002</v>
      </c>
      <c r="K65" s="18"/>
      <c r="L65" s="25">
        <f>'WP Gross Plant'!L59-'WP Accum Deprec'!L61</f>
        <v>49355580.879999995</v>
      </c>
      <c r="M65" s="107"/>
      <c r="N65" s="18">
        <f t="shared" si="6"/>
        <v>1066116959.8400003</v>
      </c>
    </row>
    <row r="66" spans="1:14">
      <c r="A66" s="84">
        <f t="shared" si="5"/>
        <v>46</v>
      </c>
      <c r="C66" s="85" t="s">
        <v>207</v>
      </c>
      <c r="D66" s="25">
        <f>'WP Gross Plant'!D60-'WP Accum Deprec'!D62</f>
        <v>173384837.83999979</v>
      </c>
      <c r="E66" s="26"/>
      <c r="F66" s="25">
        <f>'WP Gross Plant'!F60-'WP Accum Deprec'!F62</f>
        <v>427678815.75999993</v>
      </c>
      <c r="G66" s="26"/>
      <c r="H66" s="25">
        <f>'WP Gross Plant'!H60-'WP Accum Deprec'!H62</f>
        <v>379266226.78999966</v>
      </c>
      <c r="I66" s="26"/>
      <c r="J66" s="25">
        <f>'WP Gross Plant'!J60-'WP Accum Deprec'!J62</f>
        <v>53433719.099999972</v>
      </c>
      <c r="K66" s="18"/>
      <c r="L66" s="25">
        <f>'WP Gross Plant'!L60-'WP Accum Deprec'!L62</f>
        <v>50725499.649999931</v>
      </c>
      <c r="M66" s="107"/>
      <c r="N66" s="18">
        <f t="shared" si="6"/>
        <v>1084489099.1399994</v>
      </c>
    </row>
    <row r="67" spans="1:14">
      <c r="A67" s="84">
        <f t="shared" si="5"/>
        <v>47</v>
      </c>
      <c r="C67" s="85"/>
      <c r="D67" s="34"/>
      <c r="F67" s="34"/>
      <c r="H67" s="34"/>
      <c r="I67" s="18"/>
      <c r="J67" s="34"/>
      <c r="K67" s="18"/>
      <c r="L67" s="171"/>
      <c r="M67" s="107"/>
      <c r="N67" s="34"/>
    </row>
    <row r="68" spans="1:14" ht="13.5" thickBot="1">
      <c r="A68" s="84">
        <f t="shared" si="5"/>
        <v>48</v>
      </c>
      <c r="C68" s="179" t="s">
        <v>156</v>
      </c>
      <c r="D68" s="36">
        <f>'WP Gross Plant'!D62-'WP Accum Deprec'!D64</f>
        <v>170809305.01692295</v>
      </c>
      <c r="F68" s="36">
        <f>'WP Gross Plant'!F62-'WP Accum Deprec'!F64</f>
        <v>397109139.69999999</v>
      </c>
      <c r="G68" s="73"/>
      <c r="H68" s="36">
        <f>'WP Gross Plant'!H62-'WP Accum Deprec'!H64</f>
        <v>368462009.28076923</v>
      </c>
      <c r="I68" s="174"/>
      <c r="J68" s="36">
        <f>'WP Gross Plant'!J62-'WP Accum Deprec'!J64</f>
        <v>51870431.75846155</v>
      </c>
      <c r="K68" s="25"/>
      <c r="L68" s="36">
        <f>'WP Gross Plant'!L62-'WP Accum Deprec'!L64</f>
        <v>50494963.02692309</v>
      </c>
      <c r="M68" s="110"/>
      <c r="N68" s="36">
        <f>'WP Gross Plant'!N62-'WP Accum Deprec'!N64</f>
        <v>1038745848.7830768</v>
      </c>
    </row>
    <row r="69" spans="1:14" ht="13.5" thickTop="1"/>
  </sheetData>
  <phoneticPr fontId="10" type="noConversion"/>
  <printOptions horizontalCentered="1"/>
  <pageMargins left="0.75" right="0.25" top="0.75" bottom="0.4" header="0" footer="0.25"/>
  <pageSetup scale="62" orientation="portrait" r:id="rId1"/>
  <headerFooter alignWithMargins="0">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97"/>
  <sheetViews>
    <sheetView showGridLines="0" topLeftCell="A46" zoomScaleNormal="75" workbookViewId="0">
      <selection activeCell="K1" sqref="K1"/>
    </sheetView>
  </sheetViews>
  <sheetFormatPr defaultColWidth="14.44140625" defaultRowHeight="12.75"/>
  <cols>
    <col min="1" max="1" width="4.77734375" style="75" customWidth="1"/>
    <col min="2" max="2" width="2.77734375" style="4" customWidth="1"/>
    <col min="3" max="3" width="31.6640625" style="4" customWidth="1"/>
    <col min="4" max="4" width="0.88671875" style="4" customWidth="1"/>
    <col min="5" max="5" width="14.33203125" style="4" customWidth="1"/>
    <col min="6" max="6" width="0.88671875" style="4" customWidth="1"/>
    <col min="7" max="7" width="10.5546875" style="4" customWidth="1"/>
    <col min="8" max="8" width="0.88671875" style="4" customWidth="1"/>
    <col min="9" max="9" width="14.44140625" style="4" customWidth="1"/>
    <col min="10" max="10" width="0.6640625" style="4" customWidth="1"/>
    <col min="11" max="11" width="33.44140625" style="4" customWidth="1"/>
    <col min="12" max="12" width="0.77734375" style="4" customWidth="1"/>
    <col min="13" max="13" width="14.44140625" style="4"/>
    <col min="14" max="14" width="0.6640625" style="4" customWidth="1"/>
    <col min="15" max="15" width="14.44140625" style="4"/>
    <col min="16" max="16" width="1" style="4" customWidth="1"/>
    <col min="17" max="16384" width="14.44140625" style="4"/>
  </cols>
  <sheetData>
    <row r="1" spans="1:13">
      <c r="A1" s="72" t="s">
        <v>36</v>
      </c>
      <c r="B1" s="73"/>
      <c r="C1" s="73"/>
      <c r="D1" s="73"/>
      <c r="E1" s="73"/>
      <c r="F1" s="73"/>
      <c r="G1" s="73"/>
      <c r="H1" s="73"/>
      <c r="K1" s="74" t="s">
        <v>360</v>
      </c>
    </row>
    <row r="2" spans="1:13">
      <c r="A2" s="72" t="s">
        <v>199</v>
      </c>
      <c r="B2" s="73"/>
      <c r="C2" s="73"/>
      <c r="D2" s="73"/>
      <c r="E2" s="73"/>
      <c r="F2" s="73"/>
      <c r="G2" s="73"/>
      <c r="H2" s="73"/>
      <c r="M2" s="74"/>
    </row>
    <row r="3" spans="1:13">
      <c r="A3" s="72" t="s">
        <v>361</v>
      </c>
      <c r="B3" s="73"/>
      <c r="C3" s="73"/>
      <c r="D3" s="73"/>
      <c r="E3" s="73"/>
      <c r="F3" s="73"/>
      <c r="G3" s="73"/>
      <c r="H3" s="73"/>
    </row>
    <row r="4" spans="1:13">
      <c r="A4" s="231" t="s">
        <v>283</v>
      </c>
      <c r="C4" s="118"/>
    </row>
    <row r="5" spans="1:13">
      <c r="A5" s="75" t="s">
        <v>174</v>
      </c>
      <c r="B5" s="76"/>
    </row>
    <row r="6" spans="1:13">
      <c r="A6" s="80" t="s">
        <v>150</v>
      </c>
      <c r="B6" s="76"/>
    </row>
    <row r="7" spans="1:13">
      <c r="A7" s="180">
        <v>1</v>
      </c>
      <c r="B7" s="181" t="s">
        <v>201</v>
      </c>
      <c r="C7" s="83"/>
    </row>
    <row r="8" spans="1:13">
      <c r="A8" s="180">
        <f t="shared" ref="A8:A40" si="0">+A7+1</f>
        <v>2</v>
      </c>
      <c r="B8" s="26" t="s">
        <v>202</v>
      </c>
    </row>
    <row r="9" spans="1:13">
      <c r="A9" s="180">
        <f t="shared" si="0"/>
        <v>3</v>
      </c>
      <c r="B9" s="26" t="s">
        <v>240</v>
      </c>
    </row>
    <row r="10" spans="1:13">
      <c r="A10" s="180">
        <f t="shared" si="0"/>
        <v>4</v>
      </c>
      <c r="B10" s="26" t="s">
        <v>203</v>
      </c>
    </row>
    <row r="11" spans="1:13">
      <c r="A11" s="180">
        <f t="shared" si="0"/>
        <v>5</v>
      </c>
      <c r="B11" s="26" t="s">
        <v>204</v>
      </c>
    </row>
    <row r="12" spans="1:13">
      <c r="A12" s="180">
        <f t="shared" si="0"/>
        <v>6</v>
      </c>
      <c r="B12" s="182"/>
      <c r="C12" s="26"/>
    </row>
    <row r="13" spans="1:13">
      <c r="A13" s="180"/>
      <c r="B13" s="182"/>
      <c r="C13" s="26"/>
      <c r="E13" s="77"/>
    </row>
    <row r="14" spans="1:13">
      <c r="A14" s="180"/>
      <c r="B14" s="182"/>
      <c r="C14" s="26"/>
      <c r="E14" s="169"/>
      <c r="G14" s="169" t="s">
        <v>200</v>
      </c>
    </row>
    <row r="15" spans="1:13">
      <c r="A15" s="180">
        <f>+A12+1</f>
        <v>7</v>
      </c>
      <c r="B15" s="76"/>
      <c r="C15" s="4" t="s">
        <v>205</v>
      </c>
      <c r="D15" s="183"/>
      <c r="E15" s="184"/>
      <c r="F15" s="183"/>
      <c r="G15" s="184" t="s">
        <v>241</v>
      </c>
    </row>
    <row r="16" spans="1:13">
      <c r="A16" s="180">
        <f t="shared" si="0"/>
        <v>8</v>
      </c>
      <c r="B16" s="76"/>
      <c r="C16" s="4" t="s">
        <v>206</v>
      </c>
      <c r="D16" s="183"/>
      <c r="E16" s="185"/>
      <c r="F16" s="183"/>
      <c r="G16" s="183" t="s">
        <v>358</v>
      </c>
    </row>
    <row r="17" spans="1:10">
      <c r="A17" s="180">
        <f t="shared" si="0"/>
        <v>9</v>
      </c>
    </row>
    <row r="18" spans="1:10">
      <c r="A18" s="180">
        <f t="shared" si="0"/>
        <v>10</v>
      </c>
      <c r="B18" s="7"/>
      <c r="C18" s="7"/>
      <c r="D18" s="26"/>
      <c r="F18" s="77"/>
      <c r="H18" s="77"/>
    </row>
    <row r="19" spans="1:10">
      <c r="A19" s="180">
        <f t="shared" si="0"/>
        <v>11</v>
      </c>
      <c r="D19" s="26"/>
      <c r="E19" s="547" t="s">
        <v>208</v>
      </c>
      <c r="F19" s="547"/>
      <c r="G19" s="547"/>
      <c r="H19" s="547"/>
      <c r="I19" s="547"/>
      <c r="J19" s="213"/>
    </row>
    <row r="20" spans="1:10">
      <c r="A20" s="180">
        <f t="shared" si="0"/>
        <v>12</v>
      </c>
      <c r="D20" s="26"/>
      <c r="E20" s="77"/>
      <c r="I20" s="78" t="s">
        <v>157</v>
      </c>
    </row>
    <row r="21" spans="1:10">
      <c r="A21" s="180">
        <f t="shared" si="0"/>
        <v>13</v>
      </c>
      <c r="D21" s="26"/>
      <c r="E21" s="77" t="s">
        <v>200</v>
      </c>
      <c r="I21" s="170" t="s">
        <v>209</v>
      </c>
    </row>
    <row r="22" spans="1:10">
      <c r="A22" s="180">
        <f t="shared" si="0"/>
        <v>14</v>
      </c>
      <c r="B22" s="82" t="s">
        <v>37</v>
      </c>
      <c r="C22" s="83"/>
      <c r="D22" s="26"/>
      <c r="E22" s="35"/>
      <c r="I22" s="35"/>
    </row>
    <row r="23" spans="1:10">
      <c r="A23" s="180">
        <f t="shared" si="0"/>
        <v>15</v>
      </c>
      <c r="C23" s="85" t="s">
        <v>207</v>
      </c>
      <c r="D23" s="26"/>
      <c r="E23" s="25">
        <f t="shared" ref="E23:E35" si="1">+E45+E67</f>
        <v>203894453.98999998</v>
      </c>
      <c r="F23" s="25">
        <f t="shared" ref="F23:F35" si="2">+F45+F67</f>
        <v>0</v>
      </c>
      <c r="H23" s="25"/>
      <c r="I23" s="25">
        <f t="shared" ref="I23:I35" si="3">SUM(E23:H23)</f>
        <v>203894453.98999998</v>
      </c>
    </row>
    <row r="24" spans="1:10">
      <c r="A24" s="180">
        <f t="shared" si="0"/>
        <v>16</v>
      </c>
      <c r="C24" s="85" t="s">
        <v>362</v>
      </c>
      <c r="D24" s="26"/>
      <c r="E24" s="38">
        <f t="shared" si="1"/>
        <v>208240133.88999999</v>
      </c>
      <c r="F24" s="38">
        <f t="shared" si="2"/>
        <v>0</v>
      </c>
      <c r="H24" s="26"/>
      <c r="I24" s="18">
        <f t="shared" si="3"/>
        <v>208240133.88999999</v>
      </c>
    </row>
    <row r="25" spans="1:10">
      <c r="A25" s="180">
        <f t="shared" si="0"/>
        <v>17</v>
      </c>
      <c r="C25" s="85" t="s">
        <v>285</v>
      </c>
      <c r="D25" s="26"/>
      <c r="E25" s="38">
        <f t="shared" si="1"/>
        <v>227509097.35999998</v>
      </c>
      <c r="F25" s="38">
        <f t="shared" si="2"/>
        <v>0</v>
      </c>
      <c r="H25" s="26"/>
      <c r="I25" s="18">
        <f t="shared" si="3"/>
        <v>227509097.35999998</v>
      </c>
    </row>
    <row r="26" spans="1:10">
      <c r="A26" s="180">
        <f t="shared" si="0"/>
        <v>18</v>
      </c>
      <c r="C26" s="85" t="s">
        <v>286</v>
      </c>
      <c r="D26" s="26"/>
      <c r="E26" s="38">
        <f t="shared" si="1"/>
        <v>245737334.34</v>
      </c>
      <c r="F26" s="38">
        <f t="shared" si="2"/>
        <v>0</v>
      </c>
      <c r="H26" s="26"/>
      <c r="I26" s="18">
        <f t="shared" si="3"/>
        <v>245737334.34</v>
      </c>
    </row>
    <row r="27" spans="1:10">
      <c r="A27" s="180">
        <f t="shared" si="0"/>
        <v>19</v>
      </c>
      <c r="C27" s="85" t="s">
        <v>177</v>
      </c>
      <c r="D27" s="26"/>
      <c r="E27" s="38">
        <f t="shared" si="1"/>
        <v>248149582.67000002</v>
      </c>
      <c r="F27" s="38">
        <f t="shared" si="2"/>
        <v>0</v>
      </c>
      <c r="H27" s="26"/>
      <c r="I27" s="18">
        <f t="shared" si="3"/>
        <v>248149582.67000002</v>
      </c>
    </row>
    <row r="28" spans="1:10">
      <c r="A28" s="180">
        <f t="shared" si="0"/>
        <v>20</v>
      </c>
      <c r="C28" s="85" t="s">
        <v>287</v>
      </c>
      <c r="D28" s="26"/>
      <c r="E28" s="38">
        <f t="shared" si="1"/>
        <v>264196870.89000002</v>
      </c>
      <c r="F28" s="38">
        <f t="shared" si="2"/>
        <v>0</v>
      </c>
      <c r="H28" s="26"/>
      <c r="I28" s="18">
        <f t="shared" si="3"/>
        <v>264196870.89000002</v>
      </c>
    </row>
    <row r="29" spans="1:10">
      <c r="A29" s="180">
        <f t="shared" si="0"/>
        <v>21</v>
      </c>
      <c r="C29" s="85" t="s">
        <v>288</v>
      </c>
      <c r="D29" s="26"/>
      <c r="E29" s="38">
        <f t="shared" si="1"/>
        <v>282775230.02999997</v>
      </c>
      <c r="F29" s="38">
        <f t="shared" si="2"/>
        <v>0</v>
      </c>
      <c r="H29" s="26"/>
      <c r="I29" s="18">
        <f t="shared" si="3"/>
        <v>282775230.02999997</v>
      </c>
    </row>
    <row r="30" spans="1:10">
      <c r="A30" s="180">
        <f t="shared" si="0"/>
        <v>22</v>
      </c>
      <c r="C30" s="85" t="s">
        <v>179</v>
      </c>
      <c r="D30" s="26"/>
      <c r="E30" s="38">
        <f t="shared" si="1"/>
        <v>308978642.46999997</v>
      </c>
      <c r="F30" s="38">
        <f t="shared" si="2"/>
        <v>0</v>
      </c>
      <c r="H30" s="26"/>
      <c r="I30" s="18">
        <f t="shared" si="3"/>
        <v>308978642.46999997</v>
      </c>
    </row>
    <row r="31" spans="1:10">
      <c r="A31" s="180">
        <f t="shared" si="0"/>
        <v>23</v>
      </c>
      <c r="C31" s="85" t="s">
        <v>289</v>
      </c>
      <c r="D31" s="26"/>
      <c r="E31" s="38">
        <f t="shared" si="1"/>
        <v>342899496.83999997</v>
      </c>
      <c r="F31" s="38">
        <f t="shared" si="2"/>
        <v>0</v>
      </c>
      <c r="H31" s="26"/>
      <c r="I31" s="18">
        <f t="shared" si="3"/>
        <v>342899496.83999997</v>
      </c>
    </row>
    <row r="32" spans="1:10">
      <c r="A32" s="180">
        <f t="shared" si="0"/>
        <v>24</v>
      </c>
      <c r="C32" s="85" t="s">
        <v>290</v>
      </c>
      <c r="D32" s="26"/>
      <c r="E32" s="38">
        <f t="shared" si="1"/>
        <v>380418211.16999996</v>
      </c>
      <c r="F32" s="38">
        <f t="shared" si="2"/>
        <v>0</v>
      </c>
      <c r="H32" s="26"/>
      <c r="I32" s="18">
        <f t="shared" si="3"/>
        <v>380418211.16999996</v>
      </c>
    </row>
    <row r="33" spans="1:10">
      <c r="A33" s="180">
        <f t="shared" si="0"/>
        <v>25</v>
      </c>
      <c r="C33" s="85" t="s">
        <v>291</v>
      </c>
      <c r="D33" s="26"/>
      <c r="E33" s="38">
        <f t="shared" si="1"/>
        <v>418108920.26999992</v>
      </c>
      <c r="F33" s="38">
        <f t="shared" si="2"/>
        <v>0</v>
      </c>
      <c r="H33" s="26"/>
      <c r="I33" s="18">
        <f t="shared" si="3"/>
        <v>418108920.26999992</v>
      </c>
    </row>
    <row r="34" spans="1:10" ht="13.5" customHeight="1">
      <c r="A34" s="180">
        <f t="shared" si="0"/>
        <v>26</v>
      </c>
      <c r="C34" s="85" t="s">
        <v>292</v>
      </c>
      <c r="D34" s="26"/>
      <c r="E34" s="38">
        <f t="shared" si="1"/>
        <v>461021832.63999999</v>
      </c>
      <c r="F34" s="38">
        <f t="shared" si="2"/>
        <v>0</v>
      </c>
      <c r="H34" s="26"/>
      <c r="I34" s="18">
        <f t="shared" si="3"/>
        <v>461021832.63999999</v>
      </c>
    </row>
    <row r="35" spans="1:10">
      <c r="A35" s="180">
        <f t="shared" si="0"/>
        <v>27</v>
      </c>
      <c r="C35" s="85" t="s">
        <v>363</v>
      </c>
      <c r="D35" s="26"/>
      <c r="E35" s="38">
        <f t="shared" si="1"/>
        <v>499744127.71000004</v>
      </c>
      <c r="F35" s="38">
        <f t="shared" si="2"/>
        <v>0</v>
      </c>
      <c r="H35" s="26"/>
      <c r="I35" s="18">
        <f t="shared" si="3"/>
        <v>499744127.71000004</v>
      </c>
    </row>
    <row r="36" spans="1:10">
      <c r="A36" s="180">
        <f t="shared" si="0"/>
        <v>28</v>
      </c>
      <c r="C36" s="85"/>
      <c r="D36" s="26"/>
      <c r="E36" s="34"/>
      <c r="F36" s="18"/>
      <c r="H36" s="18"/>
      <c r="I36" s="34"/>
    </row>
    <row r="37" spans="1:10" ht="13.5" thickBot="1">
      <c r="A37" s="180">
        <f t="shared" si="0"/>
        <v>29</v>
      </c>
      <c r="C37" s="179" t="s">
        <v>156</v>
      </c>
      <c r="D37" s="26"/>
      <c r="E37" s="36">
        <f>SUM(E23:E35)/13</f>
        <v>314744148.79000002</v>
      </c>
      <c r="F37" s="174"/>
      <c r="H37" s="25"/>
      <c r="I37" s="36">
        <f>SUM(I23:I35)/13</f>
        <v>314744148.79000002</v>
      </c>
    </row>
    <row r="38" spans="1:10" ht="13.5" thickTop="1">
      <c r="A38" s="180">
        <f t="shared" si="0"/>
        <v>30</v>
      </c>
      <c r="D38" s="26"/>
      <c r="E38" s="77"/>
    </row>
    <row r="39" spans="1:10">
      <c r="A39" s="180">
        <f t="shared" si="0"/>
        <v>31</v>
      </c>
      <c r="D39" s="26"/>
    </row>
    <row r="40" spans="1:10">
      <c r="A40" s="180">
        <f t="shared" si="0"/>
        <v>32</v>
      </c>
      <c r="D40" s="26"/>
    </row>
    <row r="41" spans="1:10">
      <c r="A41" s="180">
        <f t="shared" ref="A41:A72" si="4">+A40+1</f>
        <v>33</v>
      </c>
      <c r="D41" s="26"/>
      <c r="E41" s="547" t="s">
        <v>208</v>
      </c>
      <c r="F41" s="547"/>
      <c r="G41" s="547"/>
      <c r="H41" s="547"/>
      <c r="I41" s="547"/>
      <c r="J41" s="213"/>
    </row>
    <row r="42" spans="1:10">
      <c r="A42" s="180">
        <f t="shared" si="4"/>
        <v>34</v>
      </c>
      <c r="D42" s="26"/>
      <c r="E42" s="77"/>
      <c r="I42" s="78" t="s">
        <v>157</v>
      </c>
    </row>
    <row r="43" spans="1:10">
      <c r="A43" s="180">
        <f t="shared" si="4"/>
        <v>35</v>
      </c>
      <c r="C43" s="7"/>
      <c r="D43" s="26"/>
      <c r="E43" s="169" t="s">
        <v>200</v>
      </c>
      <c r="I43" s="170" t="s">
        <v>209</v>
      </c>
    </row>
    <row r="44" spans="1:10">
      <c r="A44" s="180">
        <f t="shared" si="4"/>
        <v>36</v>
      </c>
      <c r="B44" s="82" t="s">
        <v>39</v>
      </c>
      <c r="C44" s="83"/>
      <c r="D44" s="26"/>
    </row>
    <row r="45" spans="1:10">
      <c r="A45" s="180">
        <f t="shared" si="4"/>
        <v>37</v>
      </c>
      <c r="C45" s="85" t="s">
        <v>207</v>
      </c>
      <c r="D45" s="26"/>
      <c r="E45" s="38">
        <v>197273739.08999997</v>
      </c>
      <c r="F45" s="38"/>
      <c r="H45" s="18"/>
      <c r="I45" s="25">
        <f t="shared" ref="I45:I57" si="5">SUM(E45:H45)</f>
        <v>197273739.08999997</v>
      </c>
    </row>
    <row r="46" spans="1:10">
      <c r="A46" s="180">
        <f t="shared" si="4"/>
        <v>38</v>
      </c>
      <c r="C46" s="85" t="s">
        <v>362</v>
      </c>
      <c r="D46" s="26"/>
      <c r="E46" s="38">
        <v>201181636.64999998</v>
      </c>
      <c r="F46" s="38"/>
      <c r="H46" s="18"/>
      <c r="I46" s="18">
        <f t="shared" si="5"/>
        <v>201181636.64999998</v>
      </c>
    </row>
    <row r="47" spans="1:10">
      <c r="A47" s="180">
        <f t="shared" si="4"/>
        <v>39</v>
      </c>
      <c r="C47" s="85" t="s">
        <v>285</v>
      </c>
      <c r="D47" s="26"/>
      <c r="E47" s="38">
        <v>220257602.26999998</v>
      </c>
      <c r="F47" s="38"/>
      <c r="H47" s="18"/>
      <c r="I47" s="18">
        <f t="shared" si="5"/>
        <v>220257602.26999998</v>
      </c>
    </row>
    <row r="48" spans="1:10">
      <c r="A48" s="180">
        <f t="shared" si="4"/>
        <v>40</v>
      </c>
      <c r="C48" s="85" t="s">
        <v>286</v>
      </c>
      <c r="D48" s="26"/>
      <c r="E48" s="38">
        <v>238269379.38</v>
      </c>
      <c r="F48" s="38"/>
      <c r="H48" s="18"/>
      <c r="I48" s="18">
        <f t="shared" si="5"/>
        <v>238269379.38</v>
      </c>
    </row>
    <row r="49" spans="1:10">
      <c r="A49" s="180">
        <f t="shared" si="4"/>
        <v>41</v>
      </c>
      <c r="C49" s="85" t="s">
        <v>177</v>
      </c>
      <c r="D49" s="26"/>
      <c r="E49" s="38">
        <v>240879243.12</v>
      </c>
      <c r="F49" s="38"/>
      <c r="H49" s="18"/>
      <c r="I49" s="18">
        <f t="shared" si="5"/>
        <v>240879243.12</v>
      </c>
    </row>
    <row r="50" spans="1:10">
      <c r="A50" s="180">
        <f t="shared" si="4"/>
        <v>42</v>
      </c>
      <c r="C50" s="85" t="s">
        <v>287</v>
      </c>
      <c r="D50" s="26"/>
      <c r="E50" s="38">
        <v>255932686.52000001</v>
      </c>
      <c r="F50" s="38"/>
      <c r="H50" s="18"/>
      <c r="I50" s="18">
        <f t="shared" si="5"/>
        <v>255932686.52000001</v>
      </c>
    </row>
    <row r="51" spans="1:10">
      <c r="A51" s="180">
        <f t="shared" si="4"/>
        <v>43</v>
      </c>
      <c r="C51" s="85" t="s">
        <v>288</v>
      </c>
      <c r="D51" s="26"/>
      <c r="E51" s="38">
        <v>273569915.25</v>
      </c>
      <c r="F51" s="38"/>
      <c r="H51" s="18"/>
      <c r="I51" s="18">
        <f t="shared" si="5"/>
        <v>273569915.25</v>
      </c>
    </row>
    <row r="52" spans="1:10">
      <c r="A52" s="180">
        <f t="shared" si="4"/>
        <v>44</v>
      </c>
      <c r="C52" s="85" t="s">
        <v>179</v>
      </c>
      <c r="D52" s="26"/>
      <c r="E52" s="38">
        <v>299037196.72999996</v>
      </c>
      <c r="F52" s="38"/>
      <c r="H52" s="18"/>
      <c r="I52" s="18">
        <f t="shared" si="5"/>
        <v>299037196.72999996</v>
      </c>
    </row>
    <row r="53" spans="1:10">
      <c r="A53" s="180">
        <f t="shared" si="4"/>
        <v>45</v>
      </c>
      <c r="C53" s="85" t="s">
        <v>289</v>
      </c>
      <c r="D53" s="26"/>
      <c r="E53" s="38">
        <v>332054414.75999999</v>
      </c>
      <c r="F53" s="38"/>
      <c r="H53" s="18"/>
      <c r="I53" s="18">
        <f t="shared" si="5"/>
        <v>332054414.75999999</v>
      </c>
    </row>
    <row r="54" spans="1:10">
      <c r="A54" s="180">
        <f t="shared" si="4"/>
        <v>46</v>
      </c>
      <c r="C54" s="85" t="s">
        <v>290</v>
      </c>
      <c r="D54" s="26"/>
      <c r="E54" s="38">
        <v>365564855.47999996</v>
      </c>
      <c r="F54" s="38"/>
      <c r="H54" s="18"/>
      <c r="I54" s="18">
        <f t="shared" si="5"/>
        <v>365564855.47999996</v>
      </c>
    </row>
    <row r="55" spans="1:10">
      <c r="A55" s="180">
        <f t="shared" si="4"/>
        <v>47</v>
      </c>
      <c r="C55" s="85" t="s">
        <v>291</v>
      </c>
      <c r="D55" s="26"/>
      <c r="E55" s="38">
        <v>400199339.17999995</v>
      </c>
      <c r="F55" s="38"/>
      <c r="H55" s="18"/>
      <c r="I55" s="18">
        <f t="shared" si="5"/>
        <v>400199339.17999995</v>
      </c>
    </row>
    <row r="56" spans="1:10">
      <c r="A56" s="180">
        <f t="shared" si="4"/>
        <v>48</v>
      </c>
      <c r="C56" s="85" t="s">
        <v>292</v>
      </c>
      <c r="D56" s="26"/>
      <c r="E56" s="38">
        <v>434233917.19</v>
      </c>
      <c r="F56" s="38"/>
      <c r="H56" s="18"/>
      <c r="I56" s="18">
        <f t="shared" si="5"/>
        <v>434233917.19</v>
      </c>
    </row>
    <row r="57" spans="1:10">
      <c r="A57" s="180">
        <f t="shared" si="4"/>
        <v>49</v>
      </c>
      <c r="C57" s="85" t="s">
        <v>363</v>
      </c>
      <c r="D57" s="26"/>
      <c r="E57" s="38">
        <v>470886475.70000005</v>
      </c>
      <c r="F57" s="38"/>
      <c r="H57" s="18"/>
      <c r="I57" s="18">
        <f t="shared" si="5"/>
        <v>470886475.70000005</v>
      </c>
    </row>
    <row r="58" spans="1:10">
      <c r="A58" s="180">
        <f t="shared" si="4"/>
        <v>50</v>
      </c>
      <c r="C58" s="85"/>
      <c r="D58" s="26"/>
      <c r="E58" s="34"/>
      <c r="F58" s="18"/>
      <c r="H58" s="18"/>
      <c r="I58" s="34"/>
    </row>
    <row r="59" spans="1:10" ht="13.5" thickBot="1">
      <c r="A59" s="180">
        <f t="shared" si="4"/>
        <v>51</v>
      </c>
      <c r="C59" s="179" t="s">
        <v>156</v>
      </c>
      <c r="D59" s="26"/>
      <c r="E59" s="36">
        <f>SUM(E45:E57)/13</f>
        <v>302256953.94769228</v>
      </c>
      <c r="F59" s="174"/>
      <c r="H59" s="25"/>
      <c r="I59" s="36">
        <f>SUM(I45:I57)/13</f>
        <v>302256953.94769228</v>
      </c>
    </row>
    <row r="60" spans="1:10" ht="13.5" thickTop="1">
      <c r="A60" s="180">
        <f t="shared" si="4"/>
        <v>52</v>
      </c>
      <c r="C60" s="7"/>
      <c r="D60" s="26"/>
      <c r="E60" s="77"/>
    </row>
    <row r="61" spans="1:10">
      <c r="A61" s="180">
        <f t="shared" si="4"/>
        <v>53</v>
      </c>
      <c r="C61" s="7"/>
      <c r="D61" s="26"/>
    </row>
    <row r="62" spans="1:10">
      <c r="A62" s="180">
        <f t="shared" si="4"/>
        <v>54</v>
      </c>
      <c r="C62" s="7"/>
      <c r="D62" s="26"/>
    </row>
    <row r="63" spans="1:10">
      <c r="A63" s="180">
        <f t="shared" si="4"/>
        <v>55</v>
      </c>
      <c r="C63" s="7"/>
      <c r="D63" s="26"/>
      <c r="E63" s="547" t="s">
        <v>208</v>
      </c>
      <c r="F63" s="547"/>
      <c r="G63" s="547"/>
      <c r="H63" s="547"/>
      <c r="I63" s="547"/>
      <c r="J63" s="213"/>
    </row>
    <row r="64" spans="1:10">
      <c r="A64" s="180">
        <f t="shared" si="4"/>
        <v>56</v>
      </c>
      <c r="C64" s="7"/>
      <c r="D64" s="26"/>
      <c r="E64" s="77"/>
      <c r="I64" s="78" t="s">
        <v>157</v>
      </c>
    </row>
    <row r="65" spans="1:9">
      <c r="A65" s="180">
        <f t="shared" si="4"/>
        <v>57</v>
      </c>
      <c r="C65" s="7"/>
      <c r="D65" s="26"/>
      <c r="E65" s="169" t="s">
        <v>200</v>
      </c>
      <c r="I65" s="170" t="s">
        <v>209</v>
      </c>
    </row>
    <row r="66" spans="1:9">
      <c r="A66" s="180">
        <f t="shared" si="4"/>
        <v>58</v>
      </c>
      <c r="B66" s="82" t="s">
        <v>40</v>
      </c>
      <c r="C66" s="83"/>
      <c r="D66" s="26"/>
    </row>
    <row r="67" spans="1:9">
      <c r="A67" s="180">
        <f t="shared" si="4"/>
        <v>59</v>
      </c>
      <c r="C67" s="85" t="s">
        <v>207</v>
      </c>
      <c r="D67" s="26"/>
      <c r="E67" s="38">
        <v>6620714.8999999994</v>
      </c>
      <c r="F67" s="38"/>
      <c r="H67" s="18"/>
      <c r="I67" s="25">
        <f t="shared" ref="I67:I79" si="6">SUM(E67:H67)</f>
        <v>6620714.8999999994</v>
      </c>
    </row>
    <row r="68" spans="1:9">
      <c r="A68" s="180">
        <f t="shared" si="4"/>
        <v>60</v>
      </c>
      <c r="C68" s="85" t="s">
        <v>362</v>
      </c>
      <c r="D68" s="26"/>
      <c r="E68" s="38">
        <v>7058497.2399999993</v>
      </c>
      <c r="F68" s="38"/>
      <c r="H68" s="18"/>
      <c r="I68" s="18">
        <f t="shared" si="6"/>
        <v>7058497.2399999993</v>
      </c>
    </row>
    <row r="69" spans="1:9">
      <c r="A69" s="180">
        <f t="shared" si="4"/>
        <v>61</v>
      </c>
      <c r="C69" s="85" t="s">
        <v>285</v>
      </c>
      <c r="D69" s="26"/>
      <c r="E69" s="38">
        <v>7251495.0899999989</v>
      </c>
      <c r="F69" s="38"/>
      <c r="H69" s="18"/>
      <c r="I69" s="18">
        <f t="shared" si="6"/>
        <v>7251495.0899999989</v>
      </c>
    </row>
    <row r="70" spans="1:9">
      <c r="A70" s="180">
        <f t="shared" si="4"/>
        <v>62</v>
      </c>
      <c r="C70" s="85" t="s">
        <v>286</v>
      </c>
      <c r="D70" s="26"/>
      <c r="E70" s="38">
        <v>7467954.959999999</v>
      </c>
      <c r="F70" s="38"/>
      <c r="H70" s="18"/>
      <c r="I70" s="18">
        <f t="shared" si="6"/>
        <v>7467954.959999999</v>
      </c>
    </row>
    <row r="71" spans="1:9">
      <c r="A71" s="180">
        <f t="shared" si="4"/>
        <v>63</v>
      </c>
      <c r="C71" s="85" t="s">
        <v>177</v>
      </c>
      <c r="D71" s="26"/>
      <c r="E71" s="38">
        <v>7270339.5499999989</v>
      </c>
      <c r="F71" s="38"/>
      <c r="H71" s="18"/>
      <c r="I71" s="18">
        <f t="shared" si="6"/>
        <v>7270339.5499999989</v>
      </c>
    </row>
    <row r="72" spans="1:9">
      <c r="A72" s="180">
        <f t="shared" si="4"/>
        <v>64</v>
      </c>
      <c r="C72" s="85" t="s">
        <v>287</v>
      </c>
      <c r="D72" s="26"/>
      <c r="E72" s="38">
        <v>8264184.3699999982</v>
      </c>
      <c r="F72" s="38"/>
      <c r="H72" s="18"/>
      <c r="I72" s="18">
        <f t="shared" si="6"/>
        <v>8264184.3699999982</v>
      </c>
    </row>
    <row r="73" spans="1:9">
      <c r="A73" s="180">
        <f t="shared" ref="A73:A81" si="7">+A72+1</f>
        <v>65</v>
      </c>
      <c r="C73" s="85" t="s">
        <v>288</v>
      </c>
      <c r="D73" s="26"/>
      <c r="E73" s="38">
        <v>9205314.7799999975</v>
      </c>
      <c r="F73" s="38"/>
      <c r="H73" s="18"/>
      <c r="I73" s="18">
        <f t="shared" si="6"/>
        <v>9205314.7799999975</v>
      </c>
    </row>
    <row r="74" spans="1:9">
      <c r="A74" s="180">
        <f t="shared" si="7"/>
        <v>66</v>
      </c>
      <c r="C74" s="85" t="s">
        <v>179</v>
      </c>
      <c r="D74" s="26"/>
      <c r="E74" s="38">
        <v>9941445.7399999965</v>
      </c>
      <c r="F74" s="38"/>
      <c r="H74" s="18"/>
      <c r="I74" s="18">
        <f t="shared" si="6"/>
        <v>9941445.7399999965</v>
      </c>
    </row>
    <row r="75" spans="1:9">
      <c r="A75" s="180">
        <f t="shared" si="7"/>
        <v>67</v>
      </c>
      <c r="C75" s="85" t="s">
        <v>289</v>
      </c>
      <c r="D75" s="26"/>
      <c r="E75" s="38">
        <v>10845082.079999996</v>
      </c>
      <c r="F75" s="38"/>
      <c r="H75" s="18"/>
      <c r="I75" s="18">
        <f t="shared" si="6"/>
        <v>10845082.079999996</v>
      </c>
    </row>
    <row r="76" spans="1:9">
      <c r="A76" s="180">
        <f t="shared" si="7"/>
        <v>68</v>
      </c>
      <c r="C76" s="85" t="s">
        <v>290</v>
      </c>
      <c r="D76" s="26"/>
      <c r="E76" s="38">
        <v>14853355.689999996</v>
      </c>
      <c r="F76" s="38"/>
      <c r="H76" s="18"/>
      <c r="I76" s="18">
        <f t="shared" si="6"/>
        <v>14853355.689999996</v>
      </c>
    </row>
    <row r="77" spans="1:9">
      <c r="A77" s="180">
        <f t="shared" si="7"/>
        <v>69</v>
      </c>
      <c r="C77" s="85" t="s">
        <v>291</v>
      </c>
      <c r="D77" s="26"/>
      <c r="E77" s="38">
        <v>17909581.089999996</v>
      </c>
      <c r="F77" s="38"/>
      <c r="H77" s="18"/>
      <c r="I77" s="18">
        <f t="shared" si="6"/>
        <v>17909581.089999996</v>
      </c>
    </row>
    <row r="78" spans="1:9">
      <c r="A78" s="180">
        <f t="shared" si="7"/>
        <v>70</v>
      </c>
      <c r="C78" s="85" t="s">
        <v>292</v>
      </c>
      <c r="D78" s="26"/>
      <c r="E78" s="38">
        <v>26787915.449999999</v>
      </c>
      <c r="F78" s="38"/>
      <c r="H78" s="18"/>
      <c r="I78" s="18">
        <f t="shared" si="6"/>
        <v>26787915.449999999</v>
      </c>
    </row>
    <row r="79" spans="1:9">
      <c r="A79" s="180">
        <f t="shared" si="7"/>
        <v>71</v>
      </c>
      <c r="C79" s="85" t="s">
        <v>363</v>
      </c>
      <c r="D79" s="26"/>
      <c r="E79" s="38">
        <v>28857652.009999998</v>
      </c>
      <c r="F79" s="38"/>
      <c r="H79" s="18"/>
      <c r="I79" s="18">
        <f t="shared" si="6"/>
        <v>28857652.009999998</v>
      </c>
    </row>
    <row r="80" spans="1:9">
      <c r="A80" s="180">
        <f t="shared" si="7"/>
        <v>72</v>
      </c>
      <c r="C80" s="85"/>
      <c r="D80" s="26"/>
      <c r="E80" s="34"/>
      <c r="F80" s="18"/>
      <c r="H80" s="18"/>
      <c r="I80" s="34"/>
    </row>
    <row r="81" spans="1:10" ht="13.5" thickBot="1">
      <c r="A81" s="180">
        <f t="shared" si="7"/>
        <v>73</v>
      </c>
      <c r="C81" s="179" t="s">
        <v>156</v>
      </c>
      <c r="D81" s="26"/>
      <c r="E81" s="36">
        <f>SUM(E67:E79)/13</f>
        <v>12487194.842307691</v>
      </c>
      <c r="F81" s="174"/>
      <c r="H81" s="25"/>
      <c r="I81" s="36">
        <f>SUM(I67:I79)/13</f>
        <v>12487194.842307691</v>
      </c>
    </row>
    <row r="82" spans="1:10" ht="13.5" thickTop="1">
      <c r="D82" s="26"/>
      <c r="E82" s="77"/>
    </row>
    <row r="83" spans="1:10">
      <c r="D83" s="26"/>
      <c r="E83" s="77"/>
    </row>
    <row r="84" spans="1:10">
      <c r="D84" s="26"/>
      <c r="E84" s="77"/>
      <c r="F84" s="26"/>
      <c r="G84" s="26"/>
      <c r="H84" s="26"/>
      <c r="I84" s="26"/>
      <c r="J84" s="26"/>
    </row>
    <row r="85" spans="1:10">
      <c r="D85" s="26"/>
      <c r="E85" s="77"/>
      <c r="F85" s="26"/>
      <c r="G85" s="26"/>
      <c r="H85" s="26"/>
      <c r="I85" s="26"/>
      <c r="J85" s="26"/>
    </row>
    <row r="86" spans="1:10">
      <c r="J86" s="26"/>
    </row>
    <row r="87" spans="1:10">
      <c r="J87" s="26"/>
    </row>
    <row r="88" spans="1:10">
      <c r="J88" s="26"/>
    </row>
    <row r="89" spans="1:10">
      <c r="J89" s="26"/>
    </row>
    <row r="90" spans="1:10">
      <c r="J90" s="26"/>
    </row>
    <row r="91" spans="1:10">
      <c r="J91" s="26"/>
    </row>
    <row r="92" spans="1:10">
      <c r="J92" s="26"/>
    </row>
    <row r="93" spans="1:10">
      <c r="J93" s="26"/>
    </row>
    <row r="94" spans="1:10">
      <c r="J94" s="26"/>
    </row>
    <row r="95" spans="1:10">
      <c r="J95" s="26"/>
    </row>
    <row r="96" spans="1:10">
      <c r="J96" s="26"/>
    </row>
    <row r="97" spans="10:10">
      <c r="J97" s="26"/>
    </row>
  </sheetData>
  <mergeCells count="3">
    <mergeCell ref="E19:I19"/>
    <mergeCell ref="E41:I41"/>
    <mergeCell ref="E63:I63"/>
  </mergeCells>
  <phoneticPr fontId="10" type="noConversion"/>
  <printOptions horizontalCentered="1"/>
  <pageMargins left="0.75" right="0.25" top="0.75" bottom="0.4" header="0" footer="0.25"/>
  <pageSetup scale="68" orientation="portrait" r:id="rId1"/>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9</vt:i4>
      </vt:variant>
    </vt:vector>
  </HeadingPairs>
  <TitlesOfParts>
    <vt:vector size="34" baseType="lpstr">
      <vt:lpstr>Protocol Matrix</vt:lpstr>
      <vt:lpstr>Revision Explanation</vt:lpstr>
      <vt:lpstr>Comparison-Rev 2</vt:lpstr>
      <vt:lpstr>2013 Attachment O-Rev 2</vt:lpstr>
      <vt:lpstr>WP Cover-Rev 2</vt:lpstr>
      <vt:lpstr>WP Gross Plant</vt:lpstr>
      <vt:lpstr>WP Accum Deprec</vt:lpstr>
      <vt:lpstr>WP Net Plant</vt:lpstr>
      <vt:lpstr>WP CWIP</vt:lpstr>
      <vt:lpstr>WP CWIP Detail</vt:lpstr>
      <vt:lpstr>WP Adj to Rate Base</vt:lpstr>
      <vt:lpstr>WP PreFunded ADUDC</vt:lpstr>
      <vt:lpstr>WP Land HFFU</vt:lpstr>
      <vt:lpstr>WP Working Capital</vt:lpstr>
      <vt:lpstr>WP O&amp;M</vt:lpstr>
      <vt:lpstr>WP Dep &amp; Amort Exp</vt:lpstr>
      <vt:lpstr>WP Taxes Other Than Income</vt:lpstr>
      <vt:lpstr>WP Support for Alloc Factors</vt:lpstr>
      <vt:lpstr>WP Capital Structure</vt:lpstr>
      <vt:lpstr>WP Revenue Credits-Rev 2</vt:lpstr>
      <vt:lpstr>WP Divisor</vt:lpstr>
      <vt:lpstr>WP True Up Calc in 2013 Formula</vt:lpstr>
      <vt:lpstr>WP True Up Interest</vt:lpstr>
      <vt:lpstr>WP Tax Rate Calc</vt:lpstr>
      <vt:lpstr>2013 True Up Calculation-Rev 2</vt:lpstr>
      <vt:lpstr>'Comparison-Rev 2'!OLE_LINK1</vt:lpstr>
      <vt:lpstr>'Protocol Matrix'!OLE_LINK4</vt:lpstr>
      <vt:lpstr>'Protocol Matrix'!OLE_LINK5</vt:lpstr>
      <vt:lpstr>'Protocol Matrix'!OLE_LINK7</vt:lpstr>
      <vt:lpstr>'2013 Attachment O-Rev 2'!Print_Area</vt:lpstr>
      <vt:lpstr>'Comparison-Rev 2'!Print_Area</vt:lpstr>
      <vt:lpstr>'Revision Explanation'!Print_Area</vt:lpstr>
      <vt:lpstr>'WP CWIP'!Print_Area</vt:lpstr>
      <vt:lpstr>'WP CWIP Detail'!Print_Area</vt:lpstr>
    </vt:vector>
  </TitlesOfParts>
  <Company>Xcel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Authorized User</dc:creator>
  <cp:lastModifiedBy>Xcel Energy</cp:lastModifiedBy>
  <cp:lastPrinted>2014-09-23T12:08:51Z</cp:lastPrinted>
  <dcterms:created xsi:type="dcterms:W3CDTF">2005-09-09T21:44:27Z</dcterms:created>
  <dcterms:modified xsi:type="dcterms:W3CDTF">2014-09-29T19:06:48Z</dcterms:modified>
</cp:coreProperties>
</file>