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9840" yWindow="495" windowWidth="6840" windowHeight="8085" tabRatio="812"/>
  </bookViews>
  <sheets>
    <sheet name="Revision Explanation" sheetId="167" r:id="rId1"/>
    <sheet name="Protocol Matrix" sheetId="155" r:id="rId2"/>
    <sheet name="2014 True Up Calculation Rev 1" sheetId="160" r:id="rId3"/>
    <sheet name="Comparison Rev 1" sheetId="153" r:id="rId4"/>
    <sheet name="2014 Attachment O Rev 1" sheetId="154" r:id="rId5"/>
    <sheet name="WP Cover Rev 1" sheetId="135" r:id="rId6"/>
    <sheet name="WP Gross Plant" sheetId="3" r:id="rId7"/>
    <sheet name="WP Accum Deprec" sheetId="127" r:id="rId8"/>
    <sheet name="WP Net Plant" sheetId="134" r:id="rId9"/>
    <sheet name="WP CWIP" sheetId="133" r:id="rId10"/>
    <sheet name="WP CWIP Detail Rev 1" sheetId="150" r:id="rId11"/>
    <sheet name="WP Adj to Rate Base Rev 1" sheetId="128" r:id="rId12"/>
    <sheet name="WP PreFunded AFUDC Rev 1" sheetId="157" r:id="rId13"/>
    <sheet name="WP Land HFFU" sheetId="129" r:id="rId14"/>
    <sheet name="WP Working Capital" sheetId="130" r:id="rId15"/>
    <sheet name="WP O&amp;M" sheetId="37" r:id="rId16"/>
    <sheet name="WP Dep &amp; Amort Exp" sheetId="138" r:id="rId17"/>
    <sheet name="WP Taxes Other Than Income" sheetId="84" r:id="rId18"/>
    <sheet name="WP Support for Alloc Factors" sheetId="131" r:id="rId19"/>
    <sheet name="WP Capital Structure" sheetId="132" r:id="rId20"/>
    <sheet name="WP Revenue Credits Rev 1" sheetId="136" r:id="rId21"/>
    <sheet name="WP FERC 456 Rev 1" sheetId="159" r:id="rId22"/>
    <sheet name="WP Att GG 2014 Actuals Rev 1" sheetId="162" r:id="rId23"/>
    <sheet name="WP Att GG Support Rev 1" sheetId="163" r:id="rId24"/>
    <sheet name="WP Att MM 2014 Actuals Rev 1" sheetId="164" r:id="rId25"/>
    <sheet name="WP Att MM Support Rev 1" sheetId="165" r:id="rId26"/>
    <sheet name="WP True Up Calc in 2014 Formula" sheetId="149" r:id="rId27"/>
    <sheet name="WP True Up Interest" sheetId="148" r:id="rId28"/>
    <sheet name="WP Divisor" sheetId="137" r:id="rId29"/>
    <sheet name="WP Tax Rate Calc" sheetId="151" r:id="rId30"/>
    <sheet name="WP 2014 Projected Rate" sheetId="161" r:id="rId31"/>
    <sheet name="WP GG and MM Projects Rev 1" sheetId="166" r:id="rId32"/>
  </sheets>
  <externalReferences>
    <externalReference r:id="rId33"/>
    <externalReference r:id="rId34"/>
  </externalReferences>
  <definedNames>
    <definedName name="_Fill" localSheetId="2" hidden="1">#REF!</definedName>
    <definedName name="_Fill" localSheetId="5" hidden="1">#REF!</definedName>
    <definedName name="_Fill" hidden="1">#REF!</definedName>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Parse_Out" localSheetId="2" hidden="1">#REF!</definedName>
    <definedName name="_Parse_Out" localSheetId="5" hidden="1">#REF!</definedName>
    <definedName name="_Parse_Out" hidden="1">#REF!</definedName>
    <definedName name="_Regression_Out" localSheetId="2" hidden="1">#REF!</definedName>
    <definedName name="_Regression_Out" localSheetId="5" hidden="1">#REF!</definedName>
    <definedName name="_Regression_Out" hidden="1">#REF!</definedName>
    <definedName name="_Regression_X" localSheetId="2" hidden="1">#REF!</definedName>
    <definedName name="_Regression_X" localSheetId="5" hidden="1">#REF!</definedName>
    <definedName name="_Regression_X" hidden="1">#REF!</definedName>
    <definedName name="_Regression_Y" localSheetId="2" hidden="1">#REF!</definedName>
    <definedName name="_Regression_Y" localSheetId="5" hidden="1">#REF!</definedName>
    <definedName name="_Regression_Y" hidden="1">#REF!</definedName>
    <definedName name="_Sort" localSheetId="2" hidden="1">#REF!</definedName>
    <definedName name="_Sort" localSheetId="7" hidden="1">#REF!</definedName>
    <definedName name="_Sort" localSheetId="11" hidden="1">#REF!</definedName>
    <definedName name="_Sort" localSheetId="19" hidden="1">#REF!</definedName>
    <definedName name="_Sort" localSheetId="9" hidden="1">#REF!</definedName>
    <definedName name="_Sort" localSheetId="16" hidden="1">#REF!</definedName>
    <definedName name="_Sort" localSheetId="28" hidden="1">#REF!</definedName>
    <definedName name="_Sort" localSheetId="6" hidden="1">#REF!</definedName>
    <definedName name="_Sort" localSheetId="13" hidden="1">#REF!</definedName>
    <definedName name="_Sort" localSheetId="8" hidden="1">#REF!</definedName>
    <definedName name="_Sort" localSheetId="20" hidden="1">#REF!</definedName>
    <definedName name="_Sort" localSheetId="18" hidden="1">#REF!</definedName>
    <definedName name="_Sort" localSheetId="17" hidden="1">#REF!</definedName>
    <definedName name="_Sort" localSheetId="14" hidden="1">#REF!</definedName>
    <definedName name="_Sort" hidden="1">#REF!</definedName>
    <definedName name="ACwvu.DATABASE." localSheetId="2" hidden="1">[1]DATABASE!#REF!</definedName>
    <definedName name="ACwvu.DATABASE." hidden="1">[1]DATABASE!#REF!</definedName>
    <definedName name="ACwvu.Distplt." localSheetId="7" hidden="1">'WP Accum Deprec'!#REF!</definedName>
    <definedName name="ACwvu.Distplt." localSheetId="11" hidden="1">'WP Adj to Rate Base Rev 1'!#REF!</definedName>
    <definedName name="ACwvu.Distplt." localSheetId="9" hidden="1">'WP CWIP'!#REF!</definedName>
    <definedName name="ACwvu.Distplt." localSheetId="28" hidden="1">'WP Divisor'!#REF!</definedName>
    <definedName name="ACwvu.Distplt." localSheetId="6" hidden="1">'WP Gross Plant'!#REF!</definedName>
    <definedName name="ACwvu.Distplt." localSheetId="13" hidden="1">'WP Land HFFU'!#REF!</definedName>
    <definedName name="ACwvu.Distplt." localSheetId="8" hidden="1">'WP Net Plant'!#REF!</definedName>
    <definedName name="ACwvu.Distplt." localSheetId="14" hidden="1">'WP Working Capital'!#REF!</definedName>
    <definedName name="ACwvu.OP." localSheetId="2" hidden="1">#REF!</definedName>
    <definedName name="ACwvu.OP." hidden="1">#REF!</definedName>
    <definedName name="ACwvu.Plant." localSheetId="7" hidden="1">'WP Accum Deprec'!#REF!</definedName>
    <definedName name="ACwvu.Plant." localSheetId="11" hidden="1">'WP Adj to Rate Base Rev 1'!#REF!</definedName>
    <definedName name="ACwvu.Plant." localSheetId="9" hidden="1">'WP CWIP'!#REF!</definedName>
    <definedName name="ACwvu.Plant." localSheetId="28" hidden="1">'WP Divisor'!#REF!</definedName>
    <definedName name="ACwvu.Plant." localSheetId="6" hidden="1">'WP Gross Plant'!#REF!</definedName>
    <definedName name="ACwvu.Plant." localSheetId="13" hidden="1">'WP Land HFFU'!#REF!</definedName>
    <definedName name="ACwvu.Plant." localSheetId="8" hidden="1">'WP Net Plant'!#REF!</definedName>
    <definedName name="ACwvu.Plant." localSheetId="14" hidden="1">'WP Working Capital'!#REF!</definedName>
    <definedName name="AS2DocOpenMode" hidden="1">"AS2DocumentEdit"</definedName>
    <definedName name="BLPH2" localSheetId="2" hidden="1">'[2]Commercial Paper'!#REF!</definedName>
    <definedName name="BLPH2" hidden="1">'[2]Commercial Paper'!#REF!</definedName>
    <definedName name="BLPH3" localSheetId="2" hidden="1">'[2]Commercial Paper'!#REF!</definedName>
    <definedName name="BLPH3" hidden="1">'[2]Commercial Paper'!#REF!</definedName>
    <definedName name="BLPH4" localSheetId="2" hidden="1">'[2]Commercial Paper'!#REF!</definedName>
    <definedName name="BLPH4" hidden="1">'[2]Commercial Paper'!#REF!</definedName>
    <definedName name="BLPH5" localSheetId="2" hidden="1">'[2]Commercial Paper'!#REF!</definedName>
    <definedName name="BLPH5" hidden="1">'[2]Commercial Paper'!#REF!</definedName>
    <definedName name="BLPH6" localSheetId="2" hidden="1">'[2]Commercial Paper'!#REF!</definedName>
    <definedName name="BLPH6" hidden="1">'[2]Commercial Paper'!#REF!</definedName>
    <definedName name="dsfds" localSheetId="2" hidden="1">#REF!</definedName>
    <definedName name="dsfds" hidden="1">#REF!</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11" hidden="1">{TRUE,TRUE,-1.25,-15.5,484.5,279.75,FALSE,FALSE,TRUE,TRUE,0,3,#N/A,1,#N/A,6.54545454545454,15.55,1,FALSE,FALSE,3,TRUE,1,FALSE,100,"Swvu.WP1.","ACwvu.WP1.",1,FALSE,FALSE,0.25,0.25,0.25,0.25,1,"","&amp;L&amp;D &amp;T NBW&amp;C&amp;P&amp;R&amp;F",FALSE,FALSE,FALSE,FALSE,1,100,#N/A,#N/A,FALSE,FALSE,#N/A,#N/A,FALSE,FALSE}</definedName>
    <definedName name="er" localSheetId="19" hidden="1">{TRUE,TRUE,-1.25,-15.5,484.5,279.75,FALSE,FALSE,TRUE,TRUE,0,3,#N/A,1,#N/A,6.54545454545454,15.55,1,FALSE,FALSE,3,TRUE,1,FALSE,100,"Swvu.WP1.","ACwvu.WP1.",1,FALSE,FALSE,0.25,0.25,0.25,0.25,1,"","&amp;L&amp;D &amp;T NBW&amp;C&amp;P&amp;R&amp;F",FALSE,FALSE,FALSE,FALSE,1,100,#N/A,#N/A,FALSE,FALSE,#N/A,#N/A,FALSE,FALSE}</definedName>
    <definedName name="er" localSheetId="5"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localSheetId="16" hidden="1">{TRUE,TRUE,-1.25,-15.5,484.5,279.75,FALSE,FALSE,TRUE,TRUE,0,3,#N/A,1,#N/A,6.54545454545454,15.55,1,FALSE,FALSE,3,TRUE,1,FALSE,100,"Swvu.WP1.","ACwvu.WP1.",1,FALSE,FALSE,0.25,0.25,0.25,0.25,1,"","&amp;L&amp;D &amp;T NBW&amp;C&amp;P&amp;R&amp;F",FALSE,FALSE,FALSE,FALSE,1,100,#N/A,#N/A,FALSE,FALSE,#N/A,#N/A,FALSE,FALSE}</definedName>
    <definedName name="er" localSheetId="28" hidden="1">{TRUE,TRUE,-1.25,-15.5,484.5,279.75,FALSE,FALSE,TRUE,TRUE,0,3,#N/A,1,#N/A,6.54545454545454,15.55,1,FALSE,FALSE,3,TRUE,1,FALSE,100,"Swvu.WP1.","ACwvu.WP1.",1,FALSE,FALSE,0.25,0.25,0.25,0.25,1,"","&amp;L&amp;D &amp;T NBW&amp;C&amp;P&amp;R&amp;F",FALSE,FALSE,FALSE,FALSE,1,100,#N/A,#N/A,FALSE,FALSE,#N/A,#N/A,FALSE,FALSE}</definedName>
    <definedName name="er" localSheetId="6" hidden="1">{TRUE,TRUE,-1.25,-15.5,484.5,279.75,FALSE,FALSE,TRUE,TRUE,0,3,#N/A,1,#N/A,6.54545454545454,15.55,1,FALSE,FALSE,3,TRUE,1,FALSE,100,"Swvu.WP1.","ACwvu.WP1.",1,FALSE,FALSE,0.25,0.25,0.25,0.25,1,"","&amp;L&amp;D &amp;T NBW&amp;C&amp;P&amp;R&amp;F",FALSE,FALSE,FALSE,FALSE,1,100,#N/A,#N/A,FALSE,FALSE,#N/A,#N/A,FALSE,FALSE}</definedName>
    <definedName name="er" localSheetId="13"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localSheetId="20" hidden="1">{TRUE,TRUE,-1.25,-15.5,484.5,279.75,FALSE,FALSE,TRUE,TRUE,0,3,#N/A,1,#N/A,6.54545454545454,15.55,1,FALSE,FALSE,3,TRUE,1,FALSE,100,"Swvu.WP1.","ACwvu.WP1.",1,FALSE,FALSE,0.25,0.25,0.25,0.25,1,"","&amp;L&amp;D &amp;T NBW&amp;C&amp;P&amp;R&amp;F",FALSE,FALSE,FALSE,FALSE,1,100,#N/A,#N/A,FALSE,FALSE,#N/A,#N/A,FALSE,FALSE}</definedName>
    <definedName name="er" localSheetId="18" hidden="1">{TRUE,TRUE,-1.25,-15.5,484.5,279.75,FALSE,FALSE,TRUE,TRUE,0,3,#N/A,1,#N/A,6.54545454545454,15.55,1,FALSE,FALSE,3,TRUE,1,FALSE,100,"Swvu.WP1.","ACwvu.WP1.",1,FALSE,FALSE,0.25,0.25,0.25,0.25,1,"","&amp;L&amp;D &amp;T NBW&amp;C&amp;P&amp;R&amp;F",FALSE,FALSE,FALSE,FALSE,1,100,#N/A,#N/A,FALSE,FALSE,#N/A,#N/A,FALSE,FALSE}</definedName>
    <definedName name="er" localSheetId="17" hidden="1">{TRUE,TRUE,-1.25,-15.5,484.5,279.75,FALSE,FALSE,TRUE,TRUE,0,3,#N/A,1,#N/A,6.54545454545454,15.55,1,FALSE,FALSE,3,TRUE,1,FALSE,100,"Swvu.WP1.","ACwvu.WP1.",1,FALSE,FALSE,0.25,0.25,0.25,0.25,1,"","&amp;L&amp;D &amp;T NBW&amp;C&amp;P&amp;R&amp;F",FALSE,FALSE,FALSE,FALSE,1,100,#N/A,#N/A,FALSE,FALSE,#N/A,#N/A,FALSE,FALSE}</definedName>
    <definedName name="er" localSheetId="14"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OLE_LINK1" localSheetId="3">'Comparison Rev 1'!$A$15</definedName>
    <definedName name="OLE_LINK4" localSheetId="1">'Protocol Matrix'!$C$17</definedName>
    <definedName name="OLE_LINK5" localSheetId="1">'Protocol Matrix'!#REF!</definedName>
    <definedName name="OLE_LINK7" localSheetId="1">'Protocol Matrix'!#REF!</definedName>
    <definedName name="_xlnm.Print_Area" localSheetId="4">'2014 Attachment O Rev 1'!$A$1:$M$375</definedName>
    <definedName name="_xlnm.Print_Area" localSheetId="3">'Comparison Rev 1'!$A$1:$A$22</definedName>
    <definedName name="_xlnm.Print_Area" localSheetId="9">'WP CWIP'!$A$1:$K$82</definedName>
    <definedName name="_xlnm.Print_Area" localSheetId="10">'WP CWIP Detail Rev 1'!$B$2:$R$68</definedName>
    <definedName name="_xlnm.Print_Area" localSheetId="27">'WP True Up Interest'!$A$1:$E$51</definedName>
    <definedName name="_xlnm.Print_Area" localSheetId="14">'WP Working Capital'!$A$1:$F$66</definedName>
    <definedName name="q" localSheetId="7" hidden="1">{"MATALL",#N/A,FALSE,"Sheet4";"matclass",#N/A,FALSE,"Sheet4"}</definedName>
    <definedName name="q" localSheetId="11" hidden="1">{"MATALL",#N/A,FALSE,"Sheet4";"matclass",#N/A,FALSE,"Sheet4"}</definedName>
    <definedName name="q" localSheetId="19" hidden="1">{"MATALL",#N/A,FALSE,"Sheet4";"matclass",#N/A,FALSE,"Sheet4"}</definedName>
    <definedName name="q" localSheetId="5" hidden="1">{"MATALL",#N/A,FALSE,"Sheet4";"matclass",#N/A,FALSE,"Sheet4"}</definedName>
    <definedName name="q" localSheetId="9" hidden="1">{"MATALL",#N/A,FALSE,"Sheet4";"matclass",#N/A,FALSE,"Sheet4"}</definedName>
    <definedName name="q" localSheetId="16" hidden="1">{"MATALL",#N/A,FALSE,"Sheet4";"matclass",#N/A,FALSE,"Sheet4"}</definedName>
    <definedName name="q" localSheetId="28" hidden="1">{"MATALL",#N/A,FALSE,"Sheet4";"matclass",#N/A,FALSE,"Sheet4"}</definedName>
    <definedName name="q" localSheetId="13" hidden="1">{"MATALL",#N/A,FALSE,"Sheet4";"matclass",#N/A,FALSE,"Sheet4"}</definedName>
    <definedName name="q" localSheetId="8" hidden="1">{"MATALL",#N/A,FALSE,"Sheet4";"matclass",#N/A,FALSE,"Sheet4"}</definedName>
    <definedName name="q" localSheetId="20" hidden="1">{"MATALL",#N/A,FALSE,"Sheet4";"matclass",#N/A,FALSE,"Sheet4"}</definedName>
    <definedName name="q" localSheetId="18" hidden="1">{"MATALL",#N/A,FALSE,"Sheet4";"matclass",#N/A,FALSE,"Sheet4"}</definedName>
    <definedName name="q" localSheetId="14" hidden="1">{"MATALL",#N/A,FALSE,"Sheet4";"matclass",#N/A,FALSE,"Sheet4"}</definedName>
    <definedName name="q" hidden="1">{"MATALL",#N/A,FALSE,"Sheet4";"matclass",#N/A,FALSE,"Sheet4"}</definedName>
    <definedName name="Swvu.DATABASE." localSheetId="2" hidden="1">[1]DATABASE!#REF!</definedName>
    <definedName name="Swvu.DATABASE." hidden="1">[1]DATABASE!#REF!</definedName>
    <definedName name="Swvu.Distplt." localSheetId="7" hidden="1">'WP Accum Deprec'!#REF!</definedName>
    <definedName name="Swvu.Distplt." localSheetId="11" hidden="1">'WP Adj to Rate Base Rev 1'!#REF!</definedName>
    <definedName name="Swvu.Distplt." localSheetId="9" hidden="1">'WP CWIP'!#REF!</definedName>
    <definedName name="Swvu.Distplt." localSheetId="28" hidden="1">'WP Divisor'!#REF!</definedName>
    <definedName name="Swvu.Distplt." localSheetId="6" hidden="1">'WP Gross Plant'!#REF!</definedName>
    <definedName name="Swvu.Distplt." localSheetId="13" hidden="1">'WP Land HFFU'!#REF!</definedName>
    <definedName name="Swvu.Distplt." localSheetId="8" hidden="1">'WP Net Plant'!#REF!</definedName>
    <definedName name="Swvu.Distplt." localSheetId="14" hidden="1">'WP Working Capital'!#REF!</definedName>
    <definedName name="Swvu.OP." localSheetId="2" hidden="1">#REF!</definedName>
    <definedName name="Swvu.OP." hidden="1">#REF!</definedName>
    <definedName name="Swvu.Plant." localSheetId="7" hidden="1">'WP Accum Deprec'!#REF!</definedName>
    <definedName name="Swvu.Plant." localSheetId="11" hidden="1">'WP Adj to Rate Base Rev 1'!#REF!</definedName>
    <definedName name="Swvu.Plant." localSheetId="9" hidden="1">'WP CWIP'!#REF!</definedName>
    <definedName name="Swvu.Plant." localSheetId="28" hidden="1">'WP Divisor'!#REF!</definedName>
    <definedName name="Swvu.Plant." localSheetId="6" hidden="1">'WP Gross Plant'!#REF!</definedName>
    <definedName name="Swvu.Plant." localSheetId="13" hidden="1">'WP Land HFFU'!#REF!</definedName>
    <definedName name="Swvu.Plant." localSheetId="8" hidden="1">'WP Net Plant'!#REF!</definedName>
    <definedName name="Swvu.Plant." localSheetId="14" hidden="1">'WP Working Capital'!#REF!</definedName>
    <definedName name="TEST" localSheetId="7" hidden="1">{TRUE,TRUE,-1.25,-15.5,484.5,279.75,FALSE,FALSE,TRUE,TRUE,0,3,#N/A,1,#N/A,6.54545454545454,15.55,1,FALSE,FALSE,3,TRUE,1,FALSE,100,"Swvu.WP1.","ACwvu.WP1.",1,FALSE,FALSE,0.25,0.25,0.25,0.25,1,"","&amp;L&amp;D &amp;T NBW&amp;C&amp;P&amp;R&amp;F",FALSE,FALSE,FALSE,FALSE,1,100,#N/A,#N/A,FALSE,FALSE,#N/A,#N/A,FALSE,FALSE}</definedName>
    <definedName name="TEST" localSheetId="11" hidden="1">{TRUE,TRUE,-1.25,-15.5,484.5,279.75,FALSE,FALSE,TRUE,TRUE,0,3,#N/A,1,#N/A,6.54545454545454,15.55,1,FALSE,FALSE,3,TRUE,1,FALSE,100,"Swvu.WP1.","ACwvu.WP1.",1,FALSE,FALSE,0.25,0.25,0.25,0.25,1,"","&amp;L&amp;D &amp;T NBW&amp;C&amp;P&amp;R&amp;F",FALSE,FALSE,FALSE,FALSE,1,100,#N/A,#N/A,FALSE,FALSE,#N/A,#N/A,FALSE,FALSE}</definedName>
    <definedName name="TEST" localSheetId="19" hidden="1">{TRUE,TRUE,-1.25,-15.5,484.5,279.75,FALSE,FALSE,TRUE,TRUE,0,3,#N/A,1,#N/A,6.54545454545454,15.55,1,FALSE,FALSE,3,TRUE,1,FALSE,100,"Swvu.WP1.","ACwvu.WP1.",1,FALSE,FALSE,0.25,0.25,0.25,0.25,1,"","&amp;L&amp;D &amp;T NBW&amp;C&amp;P&amp;R&amp;F",FALSE,FALSE,FALSE,FALSE,1,100,#N/A,#N/A,FALSE,FALSE,#N/A,#N/A,FALSE,FALSE}</definedName>
    <definedName name="TEST" localSheetId="5"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localSheetId="16" hidden="1">{TRUE,TRUE,-1.25,-15.5,484.5,279.75,FALSE,FALSE,TRUE,TRUE,0,3,#N/A,1,#N/A,6.54545454545454,15.55,1,FALSE,FALSE,3,TRUE,1,FALSE,100,"Swvu.WP1.","ACwvu.WP1.",1,FALSE,FALSE,0.25,0.25,0.25,0.25,1,"","&amp;L&amp;D &amp;T NBW&amp;C&amp;P&amp;R&amp;F",FALSE,FALSE,FALSE,FALSE,1,100,#N/A,#N/A,FALSE,FALSE,#N/A,#N/A,FALSE,FALSE}</definedName>
    <definedName name="TEST" localSheetId="28" hidden="1">{TRUE,TRUE,-1.25,-15.5,484.5,279.75,FALSE,FALSE,TRUE,TRUE,0,3,#N/A,1,#N/A,6.54545454545454,15.55,1,FALSE,FALSE,3,TRUE,1,FALSE,100,"Swvu.WP1.","ACwvu.WP1.",1,FALSE,FALSE,0.25,0.25,0.25,0.25,1,"","&amp;L&amp;D &amp;T NBW&amp;C&amp;P&amp;R&amp;F",FALSE,FALSE,FALSE,FALSE,1,100,#N/A,#N/A,FALSE,FALSE,#N/A,#N/A,FALSE,FALSE}</definedName>
    <definedName name="TEST" localSheetId="6" hidden="1">{TRUE,TRUE,-1.25,-15.5,484.5,279.75,FALSE,FALSE,TRUE,TRUE,0,3,#N/A,1,#N/A,6.54545454545454,15.55,1,FALSE,FALSE,3,TRUE,1,FALSE,100,"Swvu.WP1.","ACwvu.WP1.",1,FALSE,FALSE,0.25,0.25,0.25,0.25,1,"","&amp;L&amp;D &amp;T NBW&amp;C&amp;P&amp;R&amp;F",FALSE,FALSE,FALSE,FALSE,1,100,#N/A,#N/A,FALSE,FALSE,#N/A,#N/A,FALSE,FALSE}</definedName>
    <definedName name="TEST" localSheetId="13" hidden="1">{TRUE,TRUE,-1.25,-15.5,484.5,279.75,FALSE,FALSE,TRUE,TRUE,0,3,#N/A,1,#N/A,6.54545454545454,15.55,1,FALSE,FALSE,3,TRUE,1,FALSE,100,"Swvu.WP1.","ACwvu.WP1.",1,FALSE,FALSE,0.25,0.25,0.25,0.25,1,"","&amp;L&amp;D &amp;T NBW&amp;C&amp;P&amp;R&amp;F",FALSE,FALSE,FALSE,FALSE,1,100,#N/A,#N/A,FALSE,FALSE,#N/A,#N/A,FALSE,FALSE}</definedName>
    <definedName name="TEST" localSheetId="8" hidden="1">{TRUE,TRUE,-1.25,-15.5,484.5,279.75,FALSE,FALSE,TRUE,TRUE,0,3,#N/A,1,#N/A,6.54545454545454,15.55,1,FALSE,FALSE,3,TRUE,1,FALSE,100,"Swvu.WP1.","ACwvu.WP1.",1,FALSE,FALSE,0.25,0.25,0.25,0.25,1,"","&amp;L&amp;D &amp;T NBW&amp;C&amp;P&amp;R&amp;F",FALSE,FALSE,FALSE,FALSE,1,100,#N/A,#N/A,FALSE,FALSE,#N/A,#N/A,FALSE,FALSE}</definedName>
    <definedName name="TEST" localSheetId="20" hidden="1">{TRUE,TRUE,-1.25,-15.5,484.5,279.75,FALSE,FALSE,TRUE,TRUE,0,3,#N/A,1,#N/A,6.54545454545454,15.55,1,FALSE,FALSE,3,TRUE,1,FALSE,100,"Swvu.WP1.","ACwvu.WP1.",1,FALSE,FALSE,0.25,0.25,0.25,0.25,1,"","&amp;L&amp;D &amp;T NBW&amp;C&amp;P&amp;R&amp;F",FALSE,FALSE,FALSE,FALSE,1,100,#N/A,#N/A,FALSE,FALSE,#N/A,#N/A,FALSE,FALSE}</definedName>
    <definedName name="TEST" localSheetId="18" hidden="1">{TRUE,TRUE,-1.25,-15.5,484.5,279.75,FALSE,FALSE,TRUE,TRUE,0,3,#N/A,1,#N/A,6.54545454545454,15.55,1,FALSE,FALSE,3,TRUE,1,FALSE,100,"Swvu.WP1.","ACwvu.WP1.",1,FALSE,FALSE,0.25,0.25,0.25,0.25,1,"","&amp;L&amp;D &amp;T NBW&amp;C&amp;P&amp;R&amp;F",FALSE,FALSE,FALSE,FALSE,1,100,#N/A,#N/A,FALSE,FALSE,#N/A,#N/A,FALSE,FALSE}</definedName>
    <definedName name="TEST" localSheetId="17" hidden="1">{TRUE,TRUE,-1.25,-15.5,484.5,279.75,FALSE,FALSE,TRUE,TRUE,0,3,#N/A,1,#N/A,6.54545454545454,15.55,1,FALSE,FALSE,3,TRUE,1,FALSE,100,"Swvu.WP1.","ACwvu.WP1.",1,FALSE,FALSE,0.25,0.25,0.25,0.25,1,"","&amp;L&amp;D &amp;T NBW&amp;C&amp;P&amp;R&amp;F",FALSE,FALSE,FALSE,FALSE,1,100,#N/A,#N/A,FALSE,FALSE,#N/A,#N/A,FALSE,FALSE}</definedName>
    <definedName name="TEST" localSheetId="14"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7" hidden="1">{"MATALL",#N/A,FALSE,"Sheet4";"matclass",#N/A,FALSE,"Sheet4"}</definedName>
    <definedName name="w" localSheetId="11" hidden="1">{"MATALL",#N/A,FALSE,"Sheet4";"matclass",#N/A,FALSE,"Sheet4"}</definedName>
    <definedName name="w" localSheetId="19" hidden="1">{"MATALL",#N/A,FALSE,"Sheet4";"matclass",#N/A,FALSE,"Sheet4"}</definedName>
    <definedName name="w" localSheetId="5" hidden="1">{"MATALL",#N/A,FALSE,"Sheet4";"matclass",#N/A,FALSE,"Sheet4"}</definedName>
    <definedName name="w" localSheetId="9" hidden="1">{"MATALL",#N/A,FALSE,"Sheet4";"matclass",#N/A,FALSE,"Sheet4"}</definedName>
    <definedName name="w" localSheetId="16" hidden="1">{"MATALL",#N/A,FALSE,"Sheet4";"matclass",#N/A,FALSE,"Sheet4"}</definedName>
    <definedName name="w" localSheetId="28" hidden="1">{"MATALL",#N/A,FALSE,"Sheet4";"matclass",#N/A,FALSE,"Sheet4"}</definedName>
    <definedName name="w" localSheetId="13" hidden="1">{"MATALL",#N/A,FALSE,"Sheet4";"matclass",#N/A,FALSE,"Sheet4"}</definedName>
    <definedName name="w" localSheetId="8" hidden="1">{"MATALL",#N/A,FALSE,"Sheet4";"matclass",#N/A,FALSE,"Sheet4"}</definedName>
    <definedName name="w" localSheetId="20" hidden="1">{"MATALL",#N/A,FALSE,"Sheet4";"matclass",#N/A,FALSE,"Sheet4"}</definedName>
    <definedName name="w" localSheetId="18" hidden="1">{"MATALL",#N/A,FALSE,"Sheet4";"matclass",#N/A,FALSE,"Sheet4"}</definedName>
    <definedName name="w" localSheetId="14" hidden="1">{"MATALL",#N/A,FALSE,"Sheet4";"matclass",#N/A,FALSE,"Sheet4"}</definedName>
    <definedName name="w" hidden="1">{"MATALL",#N/A,FALSE,"Sheet4";"matclass",#N/A,FALSE,"Sheet4"}</definedName>
    <definedName name="WORKCAPa" localSheetId="7" hidden="1">{"WCCWCLL",#N/A,FALSE,"Sheet3";"PP",#N/A,FALSE,"Sheet3";"MAT1",#N/A,FALSE,"Sheet3";"MAT2",#N/A,FALSE,"Sheet3"}</definedName>
    <definedName name="WORKCAPa" localSheetId="11" hidden="1">{"WCCWCLL",#N/A,FALSE,"Sheet3";"PP",#N/A,FALSE,"Sheet3";"MAT1",#N/A,FALSE,"Sheet3";"MAT2",#N/A,FALSE,"Sheet3"}</definedName>
    <definedName name="WORKCAPa" localSheetId="19" hidden="1">{"WCCWCLL",#N/A,FALSE,"Sheet3";"PP",#N/A,FALSE,"Sheet3";"MAT1",#N/A,FALSE,"Sheet3";"MAT2",#N/A,FALSE,"Sheet3"}</definedName>
    <definedName name="WORKCAPa" localSheetId="5" hidden="1">{"WCCWCLL",#N/A,FALSE,"Sheet3";"PP",#N/A,FALSE,"Sheet3";"MAT1",#N/A,FALSE,"Sheet3";"MAT2",#N/A,FALSE,"Sheet3"}</definedName>
    <definedName name="WORKCAPa" localSheetId="9" hidden="1">{"WCCWCLL",#N/A,FALSE,"Sheet3";"PP",#N/A,FALSE,"Sheet3";"MAT1",#N/A,FALSE,"Sheet3";"MAT2",#N/A,FALSE,"Sheet3"}</definedName>
    <definedName name="WORKCAPa" localSheetId="16" hidden="1">{"WCCWCLL",#N/A,FALSE,"Sheet3";"PP",#N/A,FALSE,"Sheet3";"MAT1",#N/A,FALSE,"Sheet3";"MAT2",#N/A,FALSE,"Sheet3"}</definedName>
    <definedName name="WORKCAPa" localSheetId="28" hidden="1">{"WCCWCLL",#N/A,FALSE,"Sheet3";"PP",#N/A,FALSE,"Sheet3";"MAT1",#N/A,FALSE,"Sheet3";"MAT2",#N/A,FALSE,"Sheet3"}</definedName>
    <definedName name="WORKCAPa" localSheetId="6" hidden="1">{"WCCWCLL",#N/A,FALSE,"Sheet3";"PP",#N/A,FALSE,"Sheet3";"MAT1",#N/A,FALSE,"Sheet3";"MAT2",#N/A,FALSE,"Sheet3"}</definedName>
    <definedName name="WORKCAPa" localSheetId="13" hidden="1">{"WCCWCLL",#N/A,FALSE,"Sheet3";"PP",#N/A,FALSE,"Sheet3";"MAT1",#N/A,FALSE,"Sheet3";"MAT2",#N/A,FALSE,"Sheet3"}</definedName>
    <definedName name="WORKCAPa" localSheetId="8" hidden="1">{"WCCWCLL",#N/A,FALSE,"Sheet3";"PP",#N/A,FALSE,"Sheet3";"MAT1",#N/A,FALSE,"Sheet3";"MAT2",#N/A,FALSE,"Sheet3"}</definedName>
    <definedName name="WORKCAPa" localSheetId="15" hidden="1">{"WCCWCLL",#N/A,FALSE,"Sheet3";"PP",#N/A,FALSE,"Sheet3";"MAT1",#N/A,FALSE,"Sheet3";"MAT2",#N/A,FALSE,"Sheet3"}</definedName>
    <definedName name="WORKCAPa" localSheetId="20" hidden="1">{"WCCWCLL",#N/A,FALSE,"Sheet3";"PP",#N/A,FALSE,"Sheet3";"MAT1",#N/A,FALSE,"Sheet3";"MAT2",#N/A,FALSE,"Sheet3"}</definedName>
    <definedName name="WORKCAPa" localSheetId="18" hidden="1">{"WCCWCLL",#N/A,FALSE,"Sheet3";"PP",#N/A,FALSE,"Sheet3";"MAT1",#N/A,FALSE,"Sheet3";"MAT2",#N/A,FALSE,"Sheet3"}</definedName>
    <definedName name="WORKCAPa" localSheetId="17" hidden="1">{"WCCWCLL",#N/A,FALSE,"Sheet3";"PP",#N/A,FALSE,"Sheet3";"MAT1",#N/A,FALSE,"Sheet3";"MAT2",#N/A,FALSE,"Sheet3"}</definedName>
    <definedName name="WORKCAPa" localSheetId="14" hidden="1">{"WCCWCLL",#N/A,FALSE,"Sheet3";"PP",#N/A,FALSE,"Sheet3";"MAT1",#N/A,FALSE,"Sheet3";"MAT2",#N/A,FALSE,"Sheet3"}</definedName>
    <definedName name="WORKCAPa" hidden="1">{"WCCWCLL",#N/A,FALSE,"Sheet3";"PP",#N/A,FALSE,"Sheet3";"MAT1",#N/A,FALSE,"Sheet3";"MAT2",#N/A,FALSE,"Sheet3"}</definedName>
    <definedName name="wrn.cwip." localSheetId="7" hidden="1">{"CWIP2",#N/A,FALSE,"CWIP";"CWIP3",#N/A,FALSE,"CWIP"}</definedName>
    <definedName name="wrn.cwip." localSheetId="11" hidden="1">{"CWIP2",#N/A,FALSE,"CWIP";"CWIP3",#N/A,FALSE,"CWIP"}</definedName>
    <definedName name="wrn.cwip." localSheetId="19" hidden="1">{"CWIP2",#N/A,FALSE,"CWIP";"CWIP3",#N/A,FALSE,"CWIP"}</definedName>
    <definedName name="wrn.cwip." localSheetId="5" hidden="1">{"CWIP2",#N/A,FALSE,"CWIP";"CWIP3",#N/A,FALSE,"CWIP"}</definedName>
    <definedName name="wrn.cwip." localSheetId="9" hidden="1">{"CWIP2",#N/A,FALSE,"CWIP";"CWIP3",#N/A,FALSE,"CWIP"}</definedName>
    <definedName name="wrn.cwip." localSheetId="16" hidden="1">{"CWIP2",#N/A,FALSE,"CWIP";"CWIP3",#N/A,FALSE,"CWIP"}</definedName>
    <definedName name="wrn.cwip." localSheetId="28" hidden="1">{"CWIP2",#N/A,FALSE,"CWIP";"CWIP3",#N/A,FALSE,"CWIP"}</definedName>
    <definedName name="wrn.cwip." localSheetId="6" hidden="1">{"CWIP2",#N/A,FALSE,"CWIP";"CWIP3",#N/A,FALSE,"CWIP"}</definedName>
    <definedName name="wrn.cwip." localSheetId="13" hidden="1">{"CWIP2",#N/A,FALSE,"CWIP";"CWIP3",#N/A,FALSE,"CWIP"}</definedName>
    <definedName name="wrn.cwip." localSheetId="8" hidden="1">{"CWIP2",#N/A,FALSE,"CWIP";"CWIP3",#N/A,FALSE,"CWIP"}</definedName>
    <definedName name="wrn.cwip." localSheetId="15" hidden="1">{"CWIP2",#N/A,FALSE,"CWIP";"CWIP3",#N/A,FALSE,"CWIP"}</definedName>
    <definedName name="wrn.cwip." localSheetId="20" hidden="1">{"CWIP2",#N/A,FALSE,"CWIP";"CWIP3",#N/A,FALSE,"CWIP"}</definedName>
    <definedName name="wrn.cwip." localSheetId="18" hidden="1">{"CWIP2",#N/A,FALSE,"CWIP";"CWIP3",#N/A,FALSE,"CWIP"}</definedName>
    <definedName name="wrn.cwip." localSheetId="17" hidden="1">{"CWIP2",#N/A,FALSE,"CWIP";"CWIP3",#N/A,FALSE,"CWIP"}</definedName>
    <definedName name="wrn.cwip." localSheetId="14" hidden="1">{"CWIP2",#N/A,FALSE,"CWIP";"CWIP3",#N/A,FALSE,"CWIP"}</definedName>
    <definedName name="wrn.cwip." hidden="1">{"CWIP2",#N/A,FALSE,"CWIP";"CWIP3",#N/A,FALSE,"CWIP"}</definedName>
    <definedName name="wrn.cwipa" localSheetId="7" hidden="1">{"CWIP2",#N/A,FALSE,"CWIP";"CWIP3",#N/A,FALSE,"CWIP"}</definedName>
    <definedName name="wrn.cwipa" localSheetId="11" hidden="1">{"CWIP2",#N/A,FALSE,"CWIP";"CWIP3",#N/A,FALSE,"CWIP"}</definedName>
    <definedName name="wrn.cwipa" localSheetId="19" hidden="1">{"CWIP2",#N/A,FALSE,"CWIP";"CWIP3",#N/A,FALSE,"CWIP"}</definedName>
    <definedName name="wrn.cwipa" localSheetId="5" hidden="1">{"CWIP2",#N/A,FALSE,"CWIP";"CWIP3",#N/A,FALSE,"CWIP"}</definedName>
    <definedName name="wrn.cwipa" localSheetId="9" hidden="1">{"CWIP2",#N/A,FALSE,"CWIP";"CWIP3",#N/A,FALSE,"CWIP"}</definedName>
    <definedName name="wrn.cwipa" localSheetId="16" hidden="1">{"CWIP2",#N/A,FALSE,"CWIP";"CWIP3",#N/A,FALSE,"CWIP"}</definedName>
    <definedName name="wrn.cwipa" localSheetId="28" hidden="1">{"CWIP2",#N/A,FALSE,"CWIP";"CWIP3",#N/A,FALSE,"CWIP"}</definedName>
    <definedName name="wrn.cwipa" localSheetId="6" hidden="1">{"CWIP2",#N/A,FALSE,"CWIP";"CWIP3",#N/A,FALSE,"CWIP"}</definedName>
    <definedName name="wrn.cwipa" localSheetId="13" hidden="1">{"CWIP2",#N/A,FALSE,"CWIP";"CWIP3",#N/A,FALSE,"CWIP"}</definedName>
    <definedName name="wrn.cwipa" localSheetId="8" hidden="1">{"CWIP2",#N/A,FALSE,"CWIP";"CWIP3",#N/A,FALSE,"CWIP"}</definedName>
    <definedName name="wrn.cwipa" localSheetId="15" hidden="1">{"CWIP2",#N/A,FALSE,"CWIP";"CWIP3",#N/A,FALSE,"CWIP"}</definedName>
    <definedName name="wrn.cwipa" localSheetId="20" hidden="1">{"CWIP2",#N/A,FALSE,"CWIP";"CWIP3",#N/A,FALSE,"CWIP"}</definedName>
    <definedName name="wrn.cwipa" localSheetId="18" hidden="1">{"CWIP2",#N/A,FALSE,"CWIP";"CWIP3",#N/A,FALSE,"CWIP"}</definedName>
    <definedName name="wrn.cwipa" localSheetId="17" hidden="1">{"CWIP2",#N/A,FALSE,"CWIP";"CWIP3",#N/A,FALSE,"CWIP"}</definedName>
    <definedName name="wrn.cwipa" localSheetId="14" hidden="1">{"CWIP2",#N/A,FALSE,"CWIP";"CWIP3",#N/A,FALSE,"CWIP"}</definedName>
    <definedName name="wrn.cwipa" hidden="1">{"CWIP2",#N/A,FALSE,"CWIP";"CWIP3",#N/A,FALSE,"CWIP"}</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4"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4"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7" hidden="1">{"MATALL",#N/A,FALSE,"Sheet4";"matclass",#N/A,FALSE,"Sheet4"}</definedName>
    <definedName name="wrn.matdtl." localSheetId="11" hidden="1">{"MATALL",#N/A,FALSE,"Sheet4";"matclass",#N/A,FALSE,"Sheet4"}</definedName>
    <definedName name="wrn.matdtl." localSheetId="19" hidden="1">{"MATALL",#N/A,FALSE,"Sheet4";"matclass",#N/A,FALSE,"Sheet4"}</definedName>
    <definedName name="wrn.matdtl." localSheetId="5" hidden="1">{"MATALL",#N/A,FALSE,"Sheet4";"matclass",#N/A,FALSE,"Sheet4"}</definedName>
    <definedName name="wrn.matdtl." localSheetId="9" hidden="1">{"MATALL",#N/A,FALSE,"Sheet4";"matclass",#N/A,FALSE,"Sheet4"}</definedName>
    <definedName name="wrn.matdtl." localSheetId="16" hidden="1">{"MATALL",#N/A,FALSE,"Sheet4";"matclass",#N/A,FALSE,"Sheet4"}</definedName>
    <definedName name="wrn.matdtl." localSheetId="28" hidden="1">{"MATALL",#N/A,FALSE,"Sheet4";"matclass",#N/A,FALSE,"Sheet4"}</definedName>
    <definedName name="wrn.matdtl." localSheetId="6" hidden="1">{"MATALL",#N/A,FALSE,"Sheet4";"matclass",#N/A,FALSE,"Sheet4"}</definedName>
    <definedName name="wrn.matdtl." localSheetId="13" hidden="1">{"MATALL",#N/A,FALSE,"Sheet4";"matclass",#N/A,FALSE,"Sheet4"}</definedName>
    <definedName name="wrn.matdtl." localSheetId="8" hidden="1">{"MATALL",#N/A,FALSE,"Sheet4";"matclass",#N/A,FALSE,"Sheet4"}</definedName>
    <definedName name="wrn.matdtl." localSheetId="15" hidden="1">{"MATALL",#N/A,FALSE,"Sheet4";"matclass",#N/A,FALSE,"Sheet4"}</definedName>
    <definedName name="wrn.matdtl." localSheetId="20" hidden="1">{"MATALL",#N/A,FALSE,"Sheet4";"matclass",#N/A,FALSE,"Sheet4"}</definedName>
    <definedName name="wrn.matdtl." localSheetId="18" hidden="1">{"MATALL",#N/A,FALSE,"Sheet4";"matclass",#N/A,FALSE,"Sheet4"}</definedName>
    <definedName name="wrn.matdtl." localSheetId="17" hidden="1">{"MATALL",#N/A,FALSE,"Sheet4";"matclass",#N/A,FALSE,"Sheet4"}</definedName>
    <definedName name="wrn.matdtl." localSheetId="14"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11" hidden="1">{"MATALL",#N/A,FALSE,"Sheet4";"matclass",#N/A,FALSE,"Sheet4"}</definedName>
    <definedName name="wrn.matdtla" localSheetId="19" hidden="1">{"MATALL",#N/A,FALSE,"Sheet4";"matclass",#N/A,FALSE,"Sheet4"}</definedName>
    <definedName name="wrn.matdtla" localSheetId="5" hidden="1">{"MATALL",#N/A,FALSE,"Sheet4";"matclass",#N/A,FALSE,"Sheet4"}</definedName>
    <definedName name="wrn.matdtla" localSheetId="9" hidden="1">{"MATALL",#N/A,FALSE,"Sheet4";"matclass",#N/A,FALSE,"Sheet4"}</definedName>
    <definedName name="wrn.matdtla" localSheetId="16" hidden="1">{"MATALL",#N/A,FALSE,"Sheet4";"matclass",#N/A,FALSE,"Sheet4"}</definedName>
    <definedName name="wrn.matdtla" localSheetId="28" hidden="1">{"MATALL",#N/A,FALSE,"Sheet4";"matclass",#N/A,FALSE,"Sheet4"}</definedName>
    <definedName name="wrn.matdtla" localSheetId="6" hidden="1">{"MATALL",#N/A,FALSE,"Sheet4";"matclass",#N/A,FALSE,"Sheet4"}</definedName>
    <definedName name="wrn.matdtla" localSheetId="13" hidden="1">{"MATALL",#N/A,FALSE,"Sheet4";"matclass",#N/A,FALSE,"Sheet4"}</definedName>
    <definedName name="wrn.matdtla" localSheetId="8" hidden="1">{"MATALL",#N/A,FALSE,"Sheet4";"matclass",#N/A,FALSE,"Sheet4"}</definedName>
    <definedName name="wrn.matdtla" localSheetId="15" hidden="1">{"MATALL",#N/A,FALSE,"Sheet4";"matclass",#N/A,FALSE,"Sheet4"}</definedName>
    <definedName name="wrn.matdtla" localSheetId="20" hidden="1">{"MATALL",#N/A,FALSE,"Sheet4";"matclass",#N/A,FALSE,"Sheet4"}</definedName>
    <definedName name="wrn.matdtla" localSheetId="18" hidden="1">{"MATALL",#N/A,FALSE,"Sheet4";"matclass",#N/A,FALSE,"Sheet4"}</definedName>
    <definedName name="wrn.matdtla" localSheetId="17" hidden="1">{"MATALL",#N/A,FALSE,"Sheet4";"matclass",#N/A,FALSE,"Sheet4"}</definedName>
    <definedName name="wrn.matdtla" localSheetId="14" hidden="1">{"MATALL",#N/A,FALSE,"Sheet4";"matclass",#N/A,FALSE,"Sheet4"}</definedName>
    <definedName name="wrn.matdtla" hidden="1">{"MATALL",#N/A,FALSE,"Sheet4";"matclass",#N/A,FALSE,"Sheet4"}</definedName>
    <definedName name="wrn.PPJOURNAL._.ENTRY." localSheetId="7" hidden="1">{"PPDEFERREDBAL",#N/A,FALSE,"PRIOR PERIOD ADJMT";#N/A,#N/A,FALSE,"PRIOR PERIOD ADJMT";"PPJOURNALENTRY",#N/A,FALSE,"PRIOR PERIOD ADJMT"}</definedName>
    <definedName name="wrn.PPJOURNAL._.ENTRY." localSheetId="11" hidden="1">{"PPDEFERREDBAL",#N/A,FALSE,"PRIOR PERIOD ADJMT";#N/A,#N/A,FALSE,"PRIOR PERIOD ADJMT";"PPJOURNALENTRY",#N/A,FALSE,"PRIOR PERIOD ADJMT"}</definedName>
    <definedName name="wrn.PPJOURNAL._.ENTRY." localSheetId="19" hidden="1">{"PPDEFERREDBAL",#N/A,FALSE,"PRIOR PERIOD ADJMT";#N/A,#N/A,FALSE,"PRIOR PERIOD ADJMT";"PPJOURNALENTRY",#N/A,FALSE,"PRIOR PERIOD ADJMT"}</definedName>
    <definedName name="wrn.PPJOURNAL._.ENTRY." localSheetId="5"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localSheetId="16" hidden="1">{"PPDEFERREDBAL",#N/A,FALSE,"PRIOR PERIOD ADJMT";#N/A,#N/A,FALSE,"PRIOR PERIOD ADJMT";"PPJOURNALENTRY",#N/A,FALSE,"PRIOR PERIOD ADJMT"}</definedName>
    <definedName name="wrn.PPJOURNAL._.ENTRY." localSheetId="28" hidden="1">{"PPDEFERREDBAL",#N/A,FALSE,"PRIOR PERIOD ADJMT";#N/A,#N/A,FALSE,"PRIOR PERIOD ADJMT";"PPJOURNALENTRY",#N/A,FALSE,"PRIOR PERIOD ADJMT"}</definedName>
    <definedName name="wrn.PPJOURNAL._.ENTRY." localSheetId="6" hidden="1">{"PPDEFERREDBAL",#N/A,FALSE,"PRIOR PERIOD ADJMT";#N/A,#N/A,FALSE,"PRIOR PERIOD ADJMT";"PPJOURNALENTRY",#N/A,FALSE,"PRIOR PERIOD ADJMT"}</definedName>
    <definedName name="wrn.PPJOURNAL._.ENTRY." localSheetId="13"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20" hidden="1">{"PPDEFERREDBAL",#N/A,FALSE,"PRIOR PERIOD ADJMT";#N/A,#N/A,FALSE,"PRIOR PERIOD ADJMT";"PPJOURNALENTRY",#N/A,FALSE,"PRIOR PERIOD ADJMT"}</definedName>
    <definedName name="wrn.PPJOURNAL._.ENTRY." localSheetId="18" hidden="1">{"PPDEFERREDBAL",#N/A,FALSE,"PRIOR PERIOD ADJMT";#N/A,#N/A,FALSE,"PRIOR PERIOD ADJMT";"PPJOURNALENTRY",#N/A,FALSE,"PRIOR PERIOD ADJMT"}</definedName>
    <definedName name="wrn.PPJOURNAL._.ENTRY." localSheetId="17" hidden="1">{"PPDEFERREDBAL",#N/A,FALSE,"PRIOR PERIOD ADJMT";#N/A,#N/A,FALSE,"PRIOR PERIOD ADJMT";"PPJOURNALENTRY",#N/A,FALSE,"PRIOR PERIOD ADJMT"}</definedName>
    <definedName name="wrn.PPJOURNAL._.ENTRY." localSheetId="14"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7" hidden="1">{#N/A,#N/A,FALSE,"PRIOR PERIOD ADJMT"}</definedName>
    <definedName name="wrn.PRIOR._.PERIOD._.ADJMT." localSheetId="11" hidden="1">{#N/A,#N/A,FALSE,"PRIOR PERIOD ADJMT"}</definedName>
    <definedName name="wrn.PRIOR._.PERIOD._.ADJMT." localSheetId="19" hidden="1">{#N/A,#N/A,FALSE,"PRIOR PERIOD ADJMT"}</definedName>
    <definedName name="wrn.PRIOR._.PERIOD._.ADJMT." localSheetId="5" hidden="1">{#N/A,#N/A,FALSE,"PRIOR PERIOD ADJMT"}</definedName>
    <definedName name="wrn.PRIOR._.PERIOD._.ADJMT." localSheetId="9" hidden="1">{#N/A,#N/A,FALSE,"PRIOR PERIOD ADJMT"}</definedName>
    <definedName name="wrn.PRIOR._.PERIOD._.ADJMT." localSheetId="16" hidden="1">{#N/A,#N/A,FALSE,"PRIOR PERIOD ADJMT"}</definedName>
    <definedName name="wrn.PRIOR._.PERIOD._.ADJMT." localSheetId="28" hidden="1">{#N/A,#N/A,FALSE,"PRIOR PERIOD ADJMT"}</definedName>
    <definedName name="wrn.PRIOR._.PERIOD._.ADJMT." localSheetId="6" hidden="1">{#N/A,#N/A,FALSE,"PRIOR PERIOD ADJMT"}</definedName>
    <definedName name="wrn.PRIOR._.PERIOD._.ADJMT." localSheetId="13" hidden="1">{#N/A,#N/A,FALSE,"PRIOR PERIOD ADJMT"}</definedName>
    <definedName name="wrn.PRIOR._.PERIOD._.ADJMT." localSheetId="8" hidden="1">{#N/A,#N/A,FALSE,"PRIOR PERIOD ADJMT"}</definedName>
    <definedName name="wrn.PRIOR._.PERIOD._.ADJMT." localSheetId="20" hidden="1">{#N/A,#N/A,FALSE,"PRIOR PERIOD ADJMT"}</definedName>
    <definedName name="wrn.PRIOR._.PERIOD._.ADJMT." localSheetId="18" hidden="1">{#N/A,#N/A,FALSE,"PRIOR PERIOD ADJMT"}</definedName>
    <definedName name="wrn.PRIOR._.PERIOD._.ADJMT." localSheetId="17" hidden="1">{#N/A,#N/A,FALSE,"PRIOR PERIOD ADJMT"}</definedName>
    <definedName name="wrn.PRIOR._.PERIOD._.ADJMT." localSheetId="14"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11" hidden="1">{"Production",#N/A,FALSE,"Electric O&amp;M Functionalization"}</definedName>
    <definedName name="wrn.Production." localSheetId="19" hidden="1">{"Production",#N/A,FALSE,"Electric O&amp;M Functionalization"}</definedName>
    <definedName name="wrn.Production." localSheetId="5" hidden="1">{"Production",#N/A,FALSE,"Electric O&amp;M Functionalization"}</definedName>
    <definedName name="wrn.Production." localSheetId="9" hidden="1">{"Production",#N/A,FALSE,"Electric O&amp;M Functionalization"}</definedName>
    <definedName name="wrn.Production." localSheetId="16" hidden="1">{"Production",#N/A,FALSE,"Electric O&amp;M Functionalization"}</definedName>
    <definedName name="wrn.Production." localSheetId="28" hidden="1">{"Production",#N/A,FALSE,"Electric O&amp;M Functionalization"}</definedName>
    <definedName name="wrn.Production." localSheetId="6" hidden="1">{"Production",#N/A,FALSE,"Electric O&amp;M Functionalization"}</definedName>
    <definedName name="wrn.Production." localSheetId="13" hidden="1">{"Production",#N/A,FALSE,"Electric O&amp;M Functionalization"}</definedName>
    <definedName name="wrn.Production." localSheetId="8" hidden="1">{"Production",#N/A,FALSE,"Electric O&amp;M Functionalization"}</definedName>
    <definedName name="wrn.Production." localSheetId="15" hidden="1">{"Production",#N/A,FALSE,"Electric O&amp;M Functionalization"}</definedName>
    <definedName name="wrn.Production." localSheetId="20" hidden="1">{"Production",#N/A,FALSE,"Electric O&amp;M Functionalization"}</definedName>
    <definedName name="wrn.Production." localSheetId="18" hidden="1">{"Production",#N/A,FALSE,"Electric O&amp;M Functionalization"}</definedName>
    <definedName name="wrn.Production." localSheetId="17" hidden="1">{"Production",#N/A,FALSE,"Electric O&amp;M Functionalization"}</definedName>
    <definedName name="wrn.Production." localSheetId="14" hidden="1">{"Production",#N/A,FALSE,"Electric O&amp;M Functionalization"}</definedName>
    <definedName name="wrn.Production." hidden="1">{"Production",#N/A,FALSE,"Electric O&amp;M Functionalization"}</definedName>
    <definedName name="wrn.Transmission." localSheetId="7" hidden="1">{"Transmission",#N/A,FALSE,"Electric O&amp;M Functionalization"}</definedName>
    <definedName name="wrn.Transmission." localSheetId="11" hidden="1">{"Transmission",#N/A,FALSE,"Electric O&amp;M Functionalization"}</definedName>
    <definedName name="wrn.Transmission." localSheetId="19" hidden="1">{"Transmission",#N/A,FALSE,"Electric O&amp;M Functionalization"}</definedName>
    <definedName name="wrn.Transmission." localSheetId="5" hidden="1">{"Transmission",#N/A,FALSE,"Electric O&amp;M Functionalization"}</definedName>
    <definedName name="wrn.Transmission." localSheetId="9" hidden="1">{"Transmission",#N/A,FALSE,"Electric O&amp;M Functionalization"}</definedName>
    <definedName name="wrn.Transmission." localSheetId="16" hidden="1">{"Transmission",#N/A,FALSE,"Electric O&amp;M Functionalization"}</definedName>
    <definedName name="wrn.Transmission." localSheetId="28" hidden="1">{"Transmission",#N/A,FALSE,"Electric O&amp;M Functionalization"}</definedName>
    <definedName name="wrn.Transmission." localSheetId="6" hidden="1">{"Transmission",#N/A,FALSE,"Electric O&amp;M Functionalization"}</definedName>
    <definedName name="wrn.Transmission." localSheetId="13" hidden="1">{"Transmission",#N/A,FALSE,"Electric O&amp;M Functionalization"}</definedName>
    <definedName name="wrn.Transmission." localSheetId="8" hidden="1">{"Transmission",#N/A,FALSE,"Electric O&amp;M Functionalization"}</definedName>
    <definedName name="wrn.Transmission." localSheetId="15" hidden="1">{"Transmission",#N/A,FALSE,"Electric O&amp;M Functionalization"}</definedName>
    <definedName name="wrn.Transmission." localSheetId="20" hidden="1">{"Transmission",#N/A,FALSE,"Electric O&amp;M Functionalization"}</definedName>
    <definedName name="wrn.Transmission." localSheetId="18" hidden="1">{"Transmission",#N/A,FALSE,"Electric O&amp;M Functionalization"}</definedName>
    <definedName name="wrn.Transmission." localSheetId="17" hidden="1">{"Transmission",#N/A,FALSE,"Electric O&amp;M Functionalization"}</definedName>
    <definedName name="wrn.Transmission." localSheetId="14" hidden="1">{"Transmission",#N/A,FALSE,"Electric O&amp;M Functionalization"}</definedName>
    <definedName name="wrn.Transmission." hidden="1">{"Transmission",#N/A,FALSE,"Electric O&amp;M Functionalization"}</definedName>
    <definedName name="wrn.WORKCAP." localSheetId="7" hidden="1">{"WCCWCLL",#N/A,FALSE,"Sheet3";"PP",#N/A,FALSE,"Sheet3";"MAT1",#N/A,FALSE,"Sheet3";"MAT2",#N/A,FALSE,"Sheet3"}</definedName>
    <definedName name="wrn.WORKCAP." localSheetId="11" hidden="1">{"WCCWCLL",#N/A,FALSE,"Sheet3";"PP",#N/A,FALSE,"Sheet3";"MAT1",#N/A,FALSE,"Sheet3";"MAT2",#N/A,FALSE,"Sheet3"}</definedName>
    <definedName name="wrn.WORKCAP." localSheetId="19" hidden="1">{"WCCWCLL",#N/A,FALSE,"Sheet3";"PP",#N/A,FALSE,"Sheet3";"MAT1",#N/A,FALSE,"Sheet3";"MAT2",#N/A,FALSE,"Sheet3"}</definedName>
    <definedName name="wrn.WORKCAP." localSheetId="5" hidden="1">{"WCCWCLL",#N/A,FALSE,"Sheet3";"PP",#N/A,FALSE,"Sheet3";"MAT1",#N/A,FALSE,"Sheet3";"MAT2",#N/A,FALSE,"Sheet3"}</definedName>
    <definedName name="wrn.WORKCAP." localSheetId="9" hidden="1">{"WCCWCLL",#N/A,FALSE,"Sheet3";"PP",#N/A,FALSE,"Sheet3";"MAT1",#N/A,FALSE,"Sheet3";"MAT2",#N/A,FALSE,"Sheet3"}</definedName>
    <definedName name="wrn.WORKCAP." localSheetId="16" hidden="1">{"WCCWCLL",#N/A,FALSE,"Sheet3";"PP",#N/A,FALSE,"Sheet3";"MAT1",#N/A,FALSE,"Sheet3";"MAT2",#N/A,FALSE,"Sheet3"}</definedName>
    <definedName name="wrn.WORKCAP." localSheetId="28" hidden="1">{"WCCWCLL",#N/A,FALSE,"Sheet3";"PP",#N/A,FALSE,"Sheet3";"MAT1",#N/A,FALSE,"Sheet3";"MAT2",#N/A,FALSE,"Sheet3"}</definedName>
    <definedName name="wrn.WORKCAP." localSheetId="6" hidden="1">{"WCCWCLL",#N/A,FALSE,"Sheet3";"PP",#N/A,FALSE,"Sheet3";"MAT1",#N/A,FALSE,"Sheet3";"MAT2",#N/A,FALSE,"Sheet3"}</definedName>
    <definedName name="wrn.WORKCAP." localSheetId="13" hidden="1">{"WCCWCLL",#N/A,FALSE,"Sheet3";"PP",#N/A,FALSE,"Sheet3";"MAT1",#N/A,FALSE,"Sheet3";"MAT2",#N/A,FALSE,"Sheet3"}</definedName>
    <definedName name="wrn.WORKCAP." localSheetId="8" hidden="1">{"WCCWCLL",#N/A,FALSE,"Sheet3";"PP",#N/A,FALSE,"Sheet3";"MAT1",#N/A,FALSE,"Sheet3";"MAT2",#N/A,FALSE,"Sheet3"}</definedName>
    <definedName name="wrn.WORKCAP." localSheetId="15" hidden="1">{"WCCWCLL",#N/A,FALSE,"Sheet3";"PP",#N/A,FALSE,"Sheet3";"MAT1",#N/A,FALSE,"Sheet3";"MAT2",#N/A,FALSE,"Sheet3"}</definedName>
    <definedName name="wrn.WORKCAP." localSheetId="20" hidden="1">{"WCCWCLL",#N/A,FALSE,"Sheet3";"PP",#N/A,FALSE,"Sheet3";"MAT1",#N/A,FALSE,"Sheet3";"MAT2",#N/A,FALSE,"Sheet3"}</definedName>
    <definedName name="wrn.WORKCAP." localSheetId="18" hidden="1">{"WCCWCLL",#N/A,FALSE,"Sheet3";"PP",#N/A,FALSE,"Sheet3";"MAT1",#N/A,FALSE,"Sheet3";"MAT2",#N/A,FALSE,"Sheet3"}</definedName>
    <definedName name="wrn.WORKCAP." localSheetId="17" hidden="1">{"WCCWCLL",#N/A,FALSE,"Sheet3";"PP",#N/A,FALSE,"Sheet3";"MAT1",#N/A,FALSE,"Sheet3";"MAT2",#N/A,FALSE,"Sheet3"}</definedName>
    <definedName name="wrn.WORKCAP." localSheetId="14" hidden="1">{"WCCWCLL",#N/A,FALSE,"Sheet3";"PP",#N/A,FALSE,"Sheet3";"MAT1",#N/A,FALSE,"Sheet3";"MAT2",#N/A,FALSE,"Sheet3"}</definedName>
    <definedName name="wrn.WORKCAP." hidden="1">{"WCCWCLL",#N/A,FALSE,"Sheet3";"PP",#N/A,FALSE,"Sheet3";"MAT1",#N/A,FALSE,"Sheet3";"MAT2",#N/A,FALSE,"Sheet3"}</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5"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4"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istplt." localSheetId="7" hidden="1">{FALSE,TRUE,-1.25,-15.5,484.5,274.5,FALSE,TRUE,TRUE,TRUE,0,24,#N/A,1,#N/A,12.03,20,1,FALSE,FALSE,3,TRUE,1,FALSE,75,"Swvu.Distplt.","ACwvu.Distplt.",#N/A,FALSE,FALSE,1,0.75,0.75,0.75,1,"","",FALSE,FALSE,FALSE,FALSE,1,#N/A,1,1,FALSE,FALSE,#N/A,#N/A,FALSE,FALSE,FALSE,1,300,300,FALSE,FALSE,TRUE,TRUE,TRUE}</definedName>
    <definedName name="wvu.Distplt." localSheetId="11" hidden="1">{FALSE,TRUE,-1.25,-15.5,484.5,274.5,FALSE,TRUE,TRUE,TRUE,0,24,#N/A,1,#N/A,12.03,20,1,FALSE,FALSE,3,TRUE,1,FALSE,75,"Swvu.Distplt.","ACwvu.Distplt.",#N/A,FALSE,FALSE,1,0.75,0.75,0.75,1,"","",FALSE,FALSE,FALSE,FALSE,1,#N/A,1,1,FALSE,FALSE,#N/A,#N/A,FALSE,FALSE,FALSE,1,300,300,FALSE,FALSE,TRUE,TRUE,TRUE}</definedName>
    <definedName name="wvu.Distplt." localSheetId="9" hidden="1">{FALSE,TRUE,-1.25,-15.5,484.5,274.5,FALSE,TRUE,TRUE,TRUE,0,24,#N/A,1,#N/A,12.03,20,1,FALSE,FALSE,3,TRUE,1,FALSE,75,"Swvu.Distplt.","ACwvu.Distplt.",#N/A,FALSE,FALSE,1,0.75,0.75,0.75,1,"","",FALSE,FALSE,FALSE,FALSE,1,#N/A,1,1,FALSE,FALSE,#N/A,#N/A,FALSE,FALSE,FALSE,1,300,300,FALSE,FALSE,TRUE,TRUE,TRUE}</definedName>
    <definedName name="wvu.Distplt." localSheetId="28" hidden="1">{FALSE,TRUE,-1.25,-15.5,484.5,274.5,FALSE,TRUE,TRUE,TRUE,0,24,#N/A,1,#N/A,12.03,20,1,FALSE,FALSE,3,TRUE,1,FALSE,75,"Swvu.Distplt.","ACwvu.Distplt.",#N/A,FALSE,FALSE,1,0.75,0.75,0.75,1,"","",FALSE,FALSE,FALSE,FALSE,1,#N/A,1,1,FALSE,FALSE,#N/A,#N/A,FALSE,FALSE,FALSE,1,300,300,FALSE,FALSE,TRUE,TRUE,TRUE}</definedName>
    <definedName name="wvu.Distplt." localSheetId="6" hidden="1">{FALSE,TRUE,-1.25,-15.5,484.5,274.5,FALSE,TRUE,TRUE,TRUE,0,24,#N/A,1,#N/A,12.03,20,1,FALSE,FALSE,3,TRUE,1,FALSE,75,"Swvu.Distplt.","ACwvu.Distplt.",#N/A,FALSE,FALSE,1,0.75,0.75,0.75,1,"","",FALSE,FALSE,FALSE,FALSE,1,#N/A,1,1,FALSE,FALSE,#N/A,#N/A,FALSE,FALSE,FALSE,1,300,300,FALSE,FALSE,TRUE,TRUE,TRUE}</definedName>
    <definedName name="wvu.Distplt." localSheetId="13" hidden="1">{FALSE,TRUE,-1.25,-15.5,484.5,274.5,FALSE,TRUE,TRUE,TRUE,0,24,#N/A,1,#N/A,12.03,20,1,FALSE,FALSE,3,TRUE,1,FALSE,75,"Swvu.Distplt.","ACwvu.Distplt.",#N/A,FALSE,FALSE,1,0.75,0.75,0.75,1,"","",FALSE,FALSE,FALSE,FALSE,1,#N/A,1,1,FALSE,FALSE,#N/A,#N/A,FALSE,FALSE,FALSE,1,300,300,FALSE,FALSE,TRUE,TRUE,TRUE}</definedName>
    <definedName name="wvu.Distplt." localSheetId="8" hidden="1">{FALSE,TRUE,-1.25,-15.5,484.5,274.5,FALSE,TRUE,TRUE,TRUE,0,24,#N/A,1,#N/A,12.03,20,1,FALSE,FALSE,3,TRUE,1,FALSE,75,"Swvu.Distplt.","ACwvu.Distplt.",#N/A,FALSE,FALSE,1,0.75,0.75,0.75,1,"","",FALSE,FALSE,FALSE,FALSE,1,#N/A,1,1,FALSE,FALSE,#N/A,#N/A,FALSE,FALSE,FALSE,1,300,300,FALSE,FALSE,TRUE,TRUE,TRUE}</definedName>
    <definedName name="wvu.Distplt." localSheetId="14" hidden="1">{FALSE,TRUE,-1.25,-15.5,484.5,274.5,FALSE,TRUE,TRUE,TRUE,0,24,#N/A,1,#N/A,12.03,20,1,FALSE,FALSE,3,TRUE,1,FALSE,75,"Swvu.Distplt.","ACwvu.Distplt.",#N/A,FALSE,FALSE,1,0.75,0.75,0.75,1,"","",FALSE,FALSE,FALSE,FALSE,1,#N/A,1,1,FALSE,FALSE,#N/A,#N/A,FALSE,FALSE,FALSE,1,300,300,FALSE,FALSE,TRUE,TRUE,TRU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5"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4"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7"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1" hidden="1">{TRUE,TRUE,-1.25,-15.5,484.5,274.5,FALSE,TRUE,TRUE,TRUE,0,11,#N/A,47,#N/A,11.030303030303,20.4375,1,FALSE,FALSE,3,TRUE,1,FALSE,75,"Swvu.Plant.","ACwvu.Plant.",#N/A,FALSE,FALSE,0.75,0.75,0.5,0.5,2,"","",FALSE,FALSE,FALSE,FALSE,1,#N/A,1,1,"=R1C2:R60C21",FALSE,#N/A,#N/A,FALSE,FALSE,FALSE,1,300,300,FALSE,FALSE,TRUE,TRUE,TRUE}</definedName>
    <definedName name="wvu.Plant." localSheetId="9" hidden="1">{TRUE,TRUE,-1.25,-15.5,484.5,274.5,FALSE,TRUE,TRUE,TRUE,0,11,#N/A,47,#N/A,11.030303030303,20.4375,1,FALSE,FALSE,3,TRUE,1,FALSE,75,"Swvu.Plant.","ACwvu.Plant.",#N/A,FALSE,FALSE,0.75,0.75,0.5,0.5,2,"","",FALSE,FALSE,FALSE,FALSE,1,#N/A,1,1,"=R1C2:R60C21",FALSE,#N/A,#N/A,FALSE,FALSE,FALSE,1,300,300,FALSE,FALSE,TRUE,TRUE,TRUE}</definedName>
    <definedName name="wvu.Plant." localSheetId="28" hidden="1">{TRUE,TRUE,-1.25,-15.5,484.5,274.5,FALSE,TRUE,TRUE,TRUE,0,11,#N/A,47,#N/A,11.030303030303,20.4375,1,FALSE,FALSE,3,TRUE,1,FALSE,75,"Swvu.Plant.","ACwvu.Plant.",#N/A,FALSE,FALSE,0.75,0.75,0.5,0.5,2,"","",FALSE,FALSE,FALSE,FALSE,1,#N/A,1,1,"=R1C2:R60C21",FALSE,#N/A,#N/A,FALSE,FALSE,FALSE,1,300,300,FALSE,FALSE,TRUE,TRUE,TRUE}</definedName>
    <definedName name="wvu.Plant." localSheetId="6"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3" hidden="1">{TRUE,TRUE,-1.25,-15.5,484.5,274.5,FALSE,TRUE,TRUE,TRUE,0,11,#N/A,47,#N/A,11.030303030303,20.4375,1,FALSE,FALSE,3,TRUE,1,FALSE,75,"Swvu.Plant.","ACwvu.Plant.",#N/A,FALSE,FALSE,0.75,0.75,0.5,0.5,2,"","",FALSE,FALSE,FALSE,FALSE,1,#N/A,1,1,"=R1C2:R60C21",FALSE,#N/A,#N/A,FALSE,FALSE,FALSE,1,300,300,FALSE,FALSE,TRUE,TRUE,TRUE}</definedName>
    <definedName name="wvu.Plant." localSheetId="8"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4" hidden="1">{TRUE,TRUE,-1.25,-15.5,484.5,274.5,FALSE,TRUE,TRUE,TRUE,0,11,#N/A,47,#N/A,11.030303030303,20.4375,1,FALSE,FALSE,3,TRUE,1,FALSE,75,"Swvu.Plant.","ACwvu.Plant.",#N/A,FALSE,FALSE,0.75,0.75,0.5,0.5,2,"","",FALSE,FALSE,FALSE,FALSE,1,#N/A,1,1,"=R1C2:R60C21",FALSE,#N/A,#N/A,FALSE,FALSE,FALSE,1,300,300,FALSE,FALSE,TRUE,TRUE,TRU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11" hidden="1">{TRUE,TRUE,-1.25,-15.5,484.5,279.75,FALSE,FALSE,TRUE,TRUE,0,3,#N/A,1,#N/A,6.54545454545454,15.55,1,FALSE,FALSE,3,TRUE,1,FALSE,100,"Swvu.WP1.","ACwvu.WP1.",1,FALSE,FALSE,0.25,0.25,0.25,0.25,1,"","&amp;L&amp;D &amp;T NBW&amp;C&amp;P&amp;R&amp;F",FALSE,FALSE,FALSE,FALSE,1,100,#N/A,#N/A,FALSE,FALSE,#N/A,#N/A,FALSE,FALSE}</definedName>
    <definedName name="wvu.WP1." localSheetId="19" hidden="1">{TRUE,TRUE,-1.25,-15.5,484.5,279.75,FALSE,FALSE,TRUE,TRUE,0,3,#N/A,1,#N/A,6.54545454545454,15.55,1,FALSE,FALSE,3,TRUE,1,FALSE,100,"Swvu.WP1.","ACwvu.WP1.",1,FALSE,FALSE,0.25,0.25,0.25,0.25,1,"","&amp;L&amp;D &amp;T NBW&amp;C&amp;P&amp;R&amp;F",FALSE,FALSE,FALSE,FALSE,1,100,#N/A,#N/A,FALSE,FALSE,#N/A,#N/A,FALSE,FALSE}</definedName>
    <definedName name="wvu.WP1." localSheetId="5"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localSheetId="16" hidden="1">{TRUE,TRUE,-1.25,-15.5,484.5,279.75,FALSE,FALSE,TRUE,TRUE,0,3,#N/A,1,#N/A,6.54545454545454,15.55,1,FALSE,FALSE,3,TRUE,1,FALSE,100,"Swvu.WP1.","ACwvu.WP1.",1,FALSE,FALSE,0.25,0.25,0.25,0.25,1,"","&amp;L&amp;D &amp;T NBW&amp;C&amp;P&amp;R&amp;F",FALSE,FALSE,FALSE,FALSE,1,100,#N/A,#N/A,FALSE,FALSE,#N/A,#N/A,FALSE,FALSE}</definedName>
    <definedName name="wvu.WP1." localSheetId="28" hidden="1">{TRUE,TRUE,-1.25,-15.5,484.5,279.75,FALSE,FALSE,TRUE,TRUE,0,3,#N/A,1,#N/A,6.54545454545454,15.55,1,FALSE,FALSE,3,TRUE,1,FALSE,100,"Swvu.WP1.","ACwvu.WP1.",1,FALSE,FALSE,0.25,0.25,0.25,0.25,1,"","&amp;L&amp;D &amp;T NBW&amp;C&amp;P&amp;R&amp;F",FALSE,FALSE,FALSE,FALSE,1,100,#N/A,#N/A,FALSE,FALSE,#N/A,#N/A,FALSE,FALSE}</definedName>
    <definedName name="wvu.WP1." localSheetId="6" hidden="1">{TRUE,TRUE,-1.25,-15.5,484.5,279.75,FALSE,FALSE,TRUE,TRUE,0,3,#N/A,1,#N/A,6.54545454545454,15.55,1,FALSE,FALSE,3,TRUE,1,FALSE,100,"Swvu.WP1.","ACwvu.WP1.",1,FALSE,FALSE,0.25,0.25,0.25,0.25,1,"","&amp;L&amp;D &amp;T NBW&amp;C&amp;P&amp;R&amp;F",FALSE,FALSE,FALSE,FALSE,1,100,#N/A,#N/A,FALSE,FALSE,#N/A,#N/A,FALSE,FALSE}</definedName>
    <definedName name="wvu.WP1." localSheetId="13"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localSheetId="20" hidden="1">{TRUE,TRUE,-1.25,-15.5,484.5,279.75,FALSE,FALSE,TRUE,TRUE,0,3,#N/A,1,#N/A,6.54545454545454,15.55,1,FALSE,FALSE,3,TRUE,1,FALSE,100,"Swvu.WP1.","ACwvu.WP1.",1,FALSE,FALSE,0.25,0.25,0.25,0.25,1,"","&amp;L&amp;D &amp;T NBW&amp;C&amp;P&amp;R&amp;F",FALSE,FALSE,FALSE,FALSE,1,100,#N/A,#N/A,FALSE,FALSE,#N/A,#N/A,FALSE,FALSE}</definedName>
    <definedName name="wvu.WP1." localSheetId="18" hidden="1">{TRUE,TRUE,-1.25,-15.5,484.5,279.75,FALSE,FALSE,TRUE,TRUE,0,3,#N/A,1,#N/A,6.54545454545454,15.55,1,FALSE,FALSE,3,TRUE,1,FALSE,100,"Swvu.WP1.","ACwvu.WP1.",1,FALSE,FALSE,0.25,0.25,0.25,0.25,1,"","&amp;L&amp;D &amp;T NBW&amp;C&amp;P&amp;R&amp;F",FALSE,FALSE,FALSE,FALSE,1,100,#N/A,#N/A,FALSE,FALSE,#N/A,#N/A,FALSE,FALSE}</definedName>
    <definedName name="wvu.WP1." localSheetId="17" hidden="1">{TRUE,TRUE,-1.25,-15.5,484.5,279.75,FALSE,FALSE,TRUE,TRUE,0,3,#N/A,1,#N/A,6.54545454545454,15.55,1,FALSE,FALSE,3,TRUE,1,FALSE,100,"Swvu.WP1.","ACwvu.WP1.",1,FALSE,FALSE,0.25,0.25,0.25,0.25,1,"","&amp;L&amp;D &amp;T NBW&amp;C&amp;P&amp;R&amp;F",FALSE,FALSE,FALSE,FALSE,1,100,#N/A,#N/A,FALSE,FALSE,#N/A,#N/A,FALSE,FALSE}</definedName>
    <definedName name="wvu.WP1." localSheetId="14"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Z_2AB39ABB_3056_11D2_9A0A_002035671DEC_.wvu.PrintArea" localSheetId="7" hidden="1">'WP Accum Deprec'!$B$1:$N$58</definedName>
    <definedName name="Z_2AB39ABB_3056_11D2_9A0A_002035671DEC_.wvu.PrintArea" localSheetId="11" hidden="1">'WP Adj to Rate Base Rev 1'!$B$1:$R$70</definedName>
    <definedName name="Z_2AB39ABB_3056_11D2_9A0A_002035671DEC_.wvu.PrintArea" localSheetId="9" hidden="1">'WP CWIP'!$B$1:$I$75</definedName>
    <definedName name="Z_2AB39ABB_3056_11D2_9A0A_002035671DEC_.wvu.PrintArea" localSheetId="28" hidden="1">'WP Divisor'!#REF!</definedName>
    <definedName name="Z_2AB39ABB_3056_11D2_9A0A_002035671DEC_.wvu.PrintArea" localSheetId="6" hidden="1">'WP Gross Plant'!$B$1:$N$56</definedName>
    <definedName name="Z_2AB39ABB_3056_11D2_9A0A_002035671DEC_.wvu.PrintArea" localSheetId="13" hidden="1">'WP Land HFFU'!$B$1:$P$55</definedName>
    <definedName name="Z_2AB39ABB_3056_11D2_9A0A_002035671DEC_.wvu.PrintArea" localSheetId="8" hidden="1">'WP Net Plant'!$B$1:$N$62</definedName>
    <definedName name="Z_2AB39ABB_3056_11D2_9A0A_002035671DEC_.wvu.PrintArea" localSheetId="14" hidden="1">'WP Working Capital'!$B$1:$P$31</definedName>
    <definedName name="Z_2EBC390F_35AC_11D2_9A0A_002035671DEC_.wvu.PrintArea" localSheetId="7" hidden="1">'WP Accum Deprec'!$B$1:$N$58</definedName>
    <definedName name="Z_2EBC390F_35AC_11D2_9A0A_002035671DEC_.wvu.PrintArea" localSheetId="11" hidden="1">'WP Adj to Rate Base Rev 1'!$B$1:$R$70</definedName>
    <definedName name="Z_2EBC390F_35AC_11D2_9A0A_002035671DEC_.wvu.PrintArea" localSheetId="9" hidden="1">'WP CWIP'!$B$1:$I$75</definedName>
    <definedName name="Z_2EBC390F_35AC_11D2_9A0A_002035671DEC_.wvu.PrintArea" localSheetId="28" hidden="1">'WP Divisor'!#REF!</definedName>
    <definedName name="Z_2EBC390F_35AC_11D2_9A0A_002035671DEC_.wvu.PrintArea" localSheetId="6" hidden="1">'WP Gross Plant'!$B$1:$N$56</definedName>
    <definedName name="Z_2EBC390F_35AC_11D2_9A0A_002035671DEC_.wvu.PrintArea" localSheetId="13" hidden="1">'WP Land HFFU'!$B$1:$P$55</definedName>
    <definedName name="Z_2EBC390F_35AC_11D2_9A0A_002035671DEC_.wvu.PrintArea" localSheetId="8" hidden="1">'WP Net Plant'!$B$1:$N$62</definedName>
    <definedName name="Z_2EBC390F_35AC_11D2_9A0A_002035671DEC_.wvu.PrintArea" localSheetId="14" hidden="1">'WP Working Capital'!$B$1:$P$31</definedName>
    <definedName name="Z_695B8C1F_3695_11D2_9A0A_002035671DEC_.wvu.PrintArea" localSheetId="7" hidden="1">'WP Accum Deprec'!$B$1:$N$58</definedName>
    <definedName name="Z_695B8C1F_3695_11D2_9A0A_002035671DEC_.wvu.PrintArea" localSheetId="11" hidden="1">'WP Adj to Rate Base Rev 1'!$B$1:$R$70</definedName>
    <definedName name="Z_695B8C1F_3695_11D2_9A0A_002035671DEC_.wvu.PrintArea" localSheetId="9" hidden="1">'WP CWIP'!$B$1:$I$75</definedName>
    <definedName name="Z_695B8C1F_3695_11D2_9A0A_002035671DEC_.wvu.PrintArea" localSheetId="28" hidden="1">'WP Divisor'!#REF!</definedName>
    <definedName name="Z_695B8C1F_3695_11D2_9A0A_002035671DEC_.wvu.PrintArea" localSheetId="6" hidden="1">'WP Gross Plant'!$B$1:$N$56</definedName>
    <definedName name="Z_695B8C1F_3695_11D2_9A0A_002035671DEC_.wvu.PrintArea" localSheetId="13" hidden="1">'WP Land HFFU'!$B$1:$P$55</definedName>
    <definedName name="Z_695B8C1F_3695_11D2_9A0A_002035671DEC_.wvu.PrintArea" localSheetId="8" hidden="1">'WP Net Plant'!$B$1:$N$62</definedName>
    <definedName name="Z_695B8C1F_3695_11D2_9A0A_002035671DEC_.wvu.PrintArea" localSheetId="14" hidden="1">'WP Working Capital'!$B$1:$P$31</definedName>
    <definedName name="Z_7530C500_3E4D_11D2_9A0A_002035671DEC_.wvu.PrintArea" localSheetId="7" hidden="1">'WP Accum Deprec'!$B$1:$N$58</definedName>
    <definedName name="Z_7530C500_3E4D_11D2_9A0A_002035671DEC_.wvu.PrintArea" localSheetId="11" hidden="1">'WP Adj to Rate Base Rev 1'!$B$1:$R$70</definedName>
    <definedName name="Z_7530C500_3E4D_11D2_9A0A_002035671DEC_.wvu.PrintArea" localSheetId="9" hidden="1">'WP CWIP'!$B$1:$I$75</definedName>
    <definedName name="Z_7530C500_3E4D_11D2_9A0A_002035671DEC_.wvu.PrintArea" localSheetId="28" hidden="1">'WP Divisor'!#REF!</definedName>
    <definedName name="Z_7530C500_3E4D_11D2_9A0A_002035671DEC_.wvu.PrintArea" localSheetId="6" hidden="1">'WP Gross Plant'!$B$1:$N$56</definedName>
    <definedName name="Z_7530C500_3E4D_11D2_9A0A_002035671DEC_.wvu.PrintArea" localSheetId="13" hidden="1">'WP Land HFFU'!$B$1:$P$55</definedName>
    <definedName name="Z_7530C500_3E4D_11D2_9A0A_002035671DEC_.wvu.PrintArea" localSheetId="8" hidden="1">'WP Net Plant'!$B$1:$N$62</definedName>
    <definedName name="Z_7530C500_3E4D_11D2_9A0A_002035671DEC_.wvu.PrintArea" localSheetId="14" hidden="1">'WP Working Capital'!$B$1:$P$31</definedName>
    <definedName name="Z_83CCC42C_3811_11D2_9A0A_002035671DEC_.wvu.PrintArea" localSheetId="7" hidden="1">'WP Accum Deprec'!$B$1:$N$58</definedName>
    <definedName name="Z_83CCC42C_3811_11D2_9A0A_002035671DEC_.wvu.PrintArea" localSheetId="11" hidden="1">'WP Adj to Rate Base Rev 1'!$B$1:$R$70</definedName>
    <definedName name="Z_83CCC42C_3811_11D2_9A0A_002035671DEC_.wvu.PrintArea" localSheetId="9" hidden="1">'WP CWIP'!$B$1:$I$75</definedName>
    <definedName name="Z_83CCC42C_3811_11D2_9A0A_002035671DEC_.wvu.PrintArea" localSheetId="28" hidden="1">'WP Divisor'!#REF!</definedName>
    <definedName name="Z_83CCC42C_3811_11D2_9A0A_002035671DEC_.wvu.PrintArea" localSheetId="6" hidden="1">'WP Gross Plant'!$B$1:$N$56</definedName>
    <definedName name="Z_83CCC42C_3811_11D2_9A0A_002035671DEC_.wvu.PrintArea" localSheetId="13" hidden="1">'WP Land HFFU'!$B$1:$P$55</definedName>
    <definedName name="Z_83CCC42C_3811_11D2_9A0A_002035671DEC_.wvu.PrintArea" localSheetId="8" hidden="1">'WP Net Plant'!$B$1:$N$62</definedName>
    <definedName name="Z_83CCC42C_3811_11D2_9A0A_002035671DEC_.wvu.PrintArea" localSheetId="14" hidden="1">'WP Working Capital'!$B$1:$P$31</definedName>
    <definedName name="Z_85FF1678_2AB5_11D2_9A0A_002035671DEC_.wvu.PrintArea" localSheetId="7" hidden="1">'WP Accum Deprec'!$A$1:$N$58</definedName>
    <definedName name="Z_85FF1678_2AB5_11D2_9A0A_002035671DEC_.wvu.PrintArea" localSheetId="11" hidden="1">'WP Adj to Rate Base Rev 1'!$A$1:$R$70</definedName>
    <definedName name="Z_85FF1678_2AB5_11D2_9A0A_002035671DEC_.wvu.PrintArea" localSheetId="9" hidden="1">'WP CWIP'!$A$1:$I$75</definedName>
    <definedName name="Z_85FF1678_2AB5_11D2_9A0A_002035671DEC_.wvu.PrintArea" localSheetId="28" hidden="1">'WP Divisor'!#REF!</definedName>
    <definedName name="Z_85FF1678_2AB5_11D2_9A0A_002035671DEC_.wvu.PrintArea" localSheetId="6" hidden="1">'WP Gross Plant'!$A$1:$N$56</definedName>
    <definedName name="Z_85FF1678_2AB5_11D2_9A0A_002035671DEC_.wvu.PrintArea" localSheetId="13" hidden="1">'WP Land HFFU'!$A$1:$P$55</definedName>
    <definedName name="Z_85FF1678_2AB5_11D2_9A0A_002035671DEC_.wvu.PrintArea" localSheetId="8" hidden="1">'WP Net Plant'!$A$1:$N$62</definedName>
    <definedName name="Z_85FF1678_2AB5_11D2_9A0A_002035671DEC_.wvu.PrintArea" localSheetId="14" hidden="1">'WP Working Capital'!$A$1:$P$31</definedName>
    <definedName name="Z_85FF169C_2AB5_11D2_9A0A_002035671DEC_.wvu.PrintArea" localSheetId="7" hidden="1">'WP Accum Deprec'!$A$1:$N$58</definedName>
    <definedName name="Z_85FF169C_2AB5_11D2_9A0A_002035671DEC_.wvu.PrintArea" localSheetId="11" hidden="1">'WP Adj to Rate Base Rev 1'!$A$1:$R$70</definedName>
    <definedName name="Z_85FF169C_2AB5_11D2_9A0A_002035671DEC_.wvu.PrintArea" localSheetId="9" hidden="1">'WP CWIP'!$A$1:$I$75</definedName>
    <definedName name="Z_85FF169C_2AB5_11D2_9A0A_002035671DEC_.wvu.PrintArea" localSheetId="28" hidden="1">'WP Divisor'!#REF!</definedName>
    <definedName name="Z_85FF169C_2AB5_11D2_9A0A_002035671DEC_.wvu.PrintArea" localSheetId="6" hidden="1">'WP Gross Plant'!$A$1:$N$56</definedName>
    <definedName name="Z_85FF169C_2AB5_11D2_9A0A_002035671DEC_.wvu.PrintArea" localSheetId="13" hidden="1">'WP Land HFFU'!$A$1:$P$55</definedName>
    <definedName name="Z_85FF169C_2AB5_11D2_9A0A_002035671DEC_.wvu.PrintArea" localSheetId="8" hidden="1">'WP Net Plant'!$A$1:$N$62</definedName>
    <definedName name="Z_85FF169C_2AB5_11D2_9A0A_002035671DEC_.wvu.PrintArea" localSheetId="14" hidden="1">'WP Working Capital'!$A$1:$P$31</definedName>
    <definedName name="Z_899A2362_3D94_11D2_9A0A_002035671DEC_.wvu.PrintArea" localSheetId="7" hidden="1">'WP Accum Deprec'!$B$1:$N$58</definedName>
    <definedName name="Z_899A2362_3D94_11D2_9A0A_002035671DEC_.wvu.PrintArea" localSheetId="11" hidden="1">'WP Adj to Rate Base Rev 1'!$B$1:$R$70</definedName>
    <definedName name="Z_899A2362_3D94_11D2_9A0A_002035671DEC_.wvu.PrintArea" localSheetId="9" hidden="1">'WP CWIP'!$B$1:$I$75</definedName>
    <definedName name="Z_899A2362_3D94_11D2_9A0A_002035671DEC_.wvu.PrintArea" localSheetId="28" hidden="1">'WP Divisor'!#REF!</definedName>
    <definedName name="Z_899A2362_3D94_11D2_9A0A_002035671DEC_.wvu.PrintArea" localSheetId="6" hidden="1">'WP Gross Plant'!$B$1:$N$56</definedName>
    <definedName name="Z_899A2362_3D94_11D2_9A0A_002035671DEC_.wvu.PrintArea" localSheetId="13" hidden="1">'WP Land HFFU'!$B$1:$P$55</definedName>
    <definedName name="Z_899A2362_3D94_11D2_9A0A_002035671DEC_.wvu.PrintArea" localSheetId="8" hidden="1">'WP Net Plant'!$B$1:$N$62</definedName>
    <definedName name="Z_899A2362_3D94_11D2_9A0A_002035671DEC_.wvu.PrintArea" localSheetId="14" hidden="1">'WP Working Capital'!$B$1:$P$31</definedName>
    <definedName name="Z_96F833DF_38CF_11D2_9A0A_002035671DEC_.wvu.PrintArea" localSheetId="7" hidden="1">'WP Accum Deprec'!$B$1:$N$58</definedName>
    <definedName name="Z_96F833DF_38CF_11D2_9A0A_002035671DEC_.wvu.PrintArea" localSheetId="11" hidden="1">'WP Adj to Rate Base Rev 1'!$B$1:$R$70</definedName>
    <definedName name="Z_96F833DF_38CF_11D2_9A0A_002035671DEC_.wvu.PrintArea" localSheetId="9" hidden="1">'WP CWIP'!$B$1:$I$75</definedName>
    <definedName name="Z_96F833DF_38CF_11D2_9A0A_002035671DEC_.wvu.PrintArea" localSheetId="28" hidden="1">'WP Divisor'!#REF!</definedName>
    <definedName name="Z_96F833DF_38CF_11D2_9A0A_002035671DEC_.wvu.PrintArea" localSheetId="6" hidden="1">'WP Gross Plant'!$B$1:$N$56</definedName>
    <definedName name="Z_96F833DF_38CF_11D2_9A0A_002035671DEC_.wvu.PrintArea" localSheetId="13" hidden="1">'WP Land HFFU'!$B$1:$P$55</definedName>
    <definedName name="Z_96F833DF_38CF_11D2_9A0A_002035671DEC_.wvu.PrintArea" localSheetId="8" hidden="1">'WP Net Plant'!$B$1:$N$62</definedName>
    <definedName name="Z_96F833DF_38CF_11D2_9A0A_002035671DEC_.wvu.PrintArea" localSheetId="14" hidden="1">'WP Working Capital'!$B$1:$P$31</definedName>
    <definedName name="Z_A82EF67A_30F0_11D2_9A0A_002035671DEC_.wvu.PrintArea" localSheetId="7" hidden="1">'WP Accum Deprec'!$B$1:$N$58</definedName>
    <definedName name="Z_A82EF67A_30F0_11D2_9A0A_002035671DEC_.wvu.PrintArea" localSheetId="11" hidden="1">'WP Adj to Rate Base Rev 1'!$B$1:$R$70</definedName>
    <definedName name="Z_A82EF67A_30F0_11D2_9A0A_002035671DEC_.wvu.PrintArea" localSheetId="9" hidden="1">'WP CWIP'!$B$1:$I$75</definedName>
    <definedName name="Z_A82EF67A_30F0_11D2_9A0A_002035671DEC_.wvu.PrintArea" localSheetId="28" hidden="1">'WP Divisor'!#REF!</definedName>
    <definedName name="Z_A82EF67A_30F0_11D2_9A0A_002035671DEC_.wvu.PrintArea" localSheetId="6" hidden="1">'WP Gross Plant'!$B$1:$N$56</definedName>
    <definedName name="Z_A82EF67A_30F0_11D2_9A0A_002035671DEC_.wvu.PrintArea" localSheetId="13" hidden="1">'WP Land HFFU'!$B$1:$P$55</definedName>
    <definedName name="Z_A82EF67A_30F0_11D2_9A0A_002035671DEC_.wvu.PrintArea" localSheetId="8" hidden="1">'WP Net Plant'!$B$1:$N$62</definedName>
    <definedName name="Z_A82EF67A_30F0_11D2_9A0A_002035671DEC_.wvu.PrintArea" localSheetId="14" hidden="1">'WP Working Capital'!$B$1:$P$31</definedName>
    <definedName name="Z_B219561F_35C5_11D2_9A0A_002035671DEC_.wvu.PrintArea" localSheetId="7" hidden="1">'WP Accum Deprec'!$B$1:$N$58</definedName>
    <definedName name="Z_B219561F_35C5_11D2_9A0A_002035671DEC_.wvu.PrintArea" localSheetId="11" hidden="1">'WP Adj to Rate Base Rev 1'!$B$1:$R$70</definedName>
    <definedName name="Z_B219561F_35C5_11D2_9A0A_002035671DEC_.wvu.PrintArea" localSheetId="9" hidden="1">'WP CWIP'!$B$1:$I$75</definedName>
    <definedName name="Z_B219561F_35C5_11D2_9A0A_002035671DEC_.wvu.PrintArea" localSheetId="28" hidden="1">'WP Divisor'!#REF!</definedName>
    <definedName name="Z_B219561F_35C5_11D2_9A0A_002035671DEC_.wvu.PrintArea" localSheetId="6" hidden="1">'WP Gross Plant'!$B$1:$N$56</definedName>
    <definedName name="Z_B219561F_35C5_11D2_9A0A_002035671DEC_.wvu.PrintArea" localSheetId="13" hidden="1">'WP Land HFFU'!$B$1:$P$55</definedName>
    <definedName name="Z_B219561F_35C5_11D2_9A0A_002035671DEC_.wvu.PrintArea" localSheetId="8" hidden="1">'WP Net Plant'!$B$1:$N$62</definedName>
    <definedName name="Z_B219561F_35C5_11D2_9A0A_002035671DEC_.wvu.PrintArea" localSheetId="14" hidden="1">'WP Working Capital'!$B$1:$P$31</definedName>
    <definedName name="Z_B6920318_2AE7_11D2_9A0A_002035671DEC_.wvu.PrintArea" localSheetId="7" hidden="1">'WP Accum Deprec'!$A$1:$N$58</definedName>
    <definedName name="Z_B6920318_2AE7_11D2_9A0A_002035671DEC_.wvu.PrintArea" localSheetId="11" hidden="1">'WP Adj to Rate Base Rev 1'!$A$1:$R$70</definedName>
    <definedName name="Z_B6920318_2AE7_11D2_9A0A_002035671DEC_.wvu.PrintArea" localSheetId="9" hidden="1">'WP CWIP'!$A$1:$I$75</definedName>
    <definedName name="Z_B6920318_2AE7_11D2_9A0A_002035671DEC_.wvu.PrintArea" localSheetId="28" hidden="1">'WP Divisor'!#REF!</definedName>
    <definedName name="Z_B6920318_2AE7_11D2_9A0A_002035671DEC_.wvu.PrintArea" localSheetId="6" hidden="1">'WP Gross Plant'!$A$1:$N$56</definedName>
    <definedName name="Z_B6920318_2AE7_11D2_9A0A_002035671DEC_.wvu.PrintArea" localSheetId="13" hidden="1">'WP Land HFFU'!$A$1:$P$55</definedName>
    <definedName name="Z_B6920318_2AE7_11D2_9A0A_002035671DEC_.wvu.PrintArea" localSheetId="8" hidden="1">'WP Net Plant'!$A$1:$N$62</definedName>
    <definedName name="Z_B6920318_2AE7_11D2_9A0A_002035671DEC_.wvu.PrintArea" localSheetId="14" hidden="1">'WP Working Capital'!$A$1:$P$31</definedName>
    <definedName name="Z_B7219758_2F65_11D2_9A0A_002035671DEC_.wvu.PrintArea" localSheetId="7" hidden="1">'WP Accum Deprec'!$A$1:$N$58</definedName>
    <definedName name="Z_B7219758_2F65_11D2_9A0A_002035671DEC_.wvu.PrintArea" localSheetId="11" hidden="1">'WP Adj to Rate Base Rev 1'!$A$1:$R$70</definedName>
    <definedName name="Z_B7219758_2F65_11D2_9A0A_002035671DEC_.wvu.PrintArea" localSheetId="9" hidden="1">'WP CWIP'!$A$1:$I$75</definedName>
    <definedName name="Z_B7219758_2F65_11D2_9A0A_002035671DEC_.wvu.PrintArea" localSheetId="28" hidden="1">'WP Divisor'!#REF!</definedName>
    <definedName name="Z_B7219758_2F65_11D2_9A0A_002035671DEC_.wvu.PrintArea" localSheetId="6" hidden="1">'WP Gross Plant'!$A$1:$N$56</definedName>
    <definedName name="Z_B7219758_2F65_11D2_9A0A_002035671DEC_.wvu.PrintArea" localSheetId="13" hidden="1">'WP Land HFFU'!$A$1:$P$55</definedName>
    <definedName name="Z_B7219758_2F65_11D2_9A0A_002035671DEC_.wvu.PrintArea" localSheetId="8" hidden="1">'WP Net Plant'!$A$1:$N$62</definedName>
    <definedName name="Z_B7219758_2F65_11D2_9A0A_002035671DEC_.wvu.PrintArea" localSheetId="14" hidden="1">'WP Working Capital'!$A$1:$P$31</definedName>
    <definedName name="Z_B8997BC0_3CD6_11D2_9A0A_002035671DEC_.wvu.PrintArea" localSheetId="7" hidden="1">'WP Accum Deprec'!$B$1:$N$58</definedName>
    <definedName name="Z_B8997BC0_3CD6_11D2_9A0A_002035671DEC_.wvu.PrintArea" localSheetId="11" hidden="1">'WP Adj to Rate Base Rev 1'!$B$1:$R$70</definedName>
    <definedName name="Z_B8997BC0_3CD6_11D2_9A0A_002035671DEC_.wvu.PrintArea" localSheetId="9" hidden="1">'WP CWIP'!$B$1:$I$75</definedName>
    <definedName name="Z_B8997BC0_3CD6_11D2_9A0A_002035671DEC_.wvu.PrintArea" localSheetId="28" hidden="1">'WP Divisor'!#REF!</definedName>
    <definedName name="Z_B8997BC0_3CD6_11D2_9A0A_002035671DEC_.wvu.PrintArea" localSheetId="6" hidden="1">'WP Gross Plant'!$B$1:$N$56</definedName>
    <definedName name="Z_B8997BC0_3CD6_11D2_9A0A_002035671DEC_.wvu.PrintArea" localSheetId="13" hidden="1">'WP Land HFFU'!$B$1:$P$55</definedName>
    <definedName name="Z_B8997BC0_3CD6_11D2_9A0A_002035671DEC_.wvu.PrintArea" localSheetId="8" hidden="1">'WP Net Plant'!$B$1:$N$62</definedName>
    <definedName name="Z_B8997BC0_3CD6_11D2_9A0A_002035671DEC_.wvu.PrintArea" localSheetId="14" hidden="1">'WP Working Capital'!$B$1:$P$31</definedName>
    <definedName name="Z_D20BDA67_374C_11D2_9A0A_002035671DEC_.wvu.PrintArea" localSheetId="7" hidden="1">'WP Accum Deprec'!$B$1:$N$58</definedName>
    <definedName name="Z_D20BDA67_374C_11D2_9A0A_002035671DEC_.wvu.PrintArea" localSheetId="11" hidden="1">'WP Adj to Rate Base Rev 1'!$B$1:$R$70</definedName>
    <definedName name="Z_D20BDA67_374C_11D2_9A0A_002035671DEC_.wvu.PrintArea" localSheetId="9" hidden="1">'WP CWIP'!$B$1:$I$75</definedName>
    <definedName name="Z_D20BDA67_374C_11D2_9A0A_002035671DEC_.wvu.PrintArea" localSheetId="28" hidden="1">'WP Divisor'!#REF!</definedName>
    <definedName name="Z_D20BDA67_374C_11D2_9A0A_002035671DEC_.wvu.PrintArea" localSheetId="6" hidden="1">'WP Gross Plant'!$B$1:$N$56</definedName>
    <definedName name="Z_D20BDA67_374C_11D2_9A0A_002035671DEC_.wvu.PrintArea" localSheetId="13" hidden="1">'WP Land HFFU'!$B$1:$P$55</definedName>
    <definedName name="Z_D20BDA67_374C_11D2_9A0A_002035671DEC_.wvu.PrintArea" localSheetId="8" hidden="1">'WP Net Plant'!$B$1:$N$62</definedName>
    <definedName name="Z_D20BDA67_374C_11D2_9A0A_002035671DEC_.wvu.PrintArea" localSheetId="14" hidden="1">'WP Working Capital'!$B$1:$P$31</definedName>
    <definedName name="Z_D7887CBF_30F6_11D2_9A0A_002035671DEC_.wvu.PrintArea" localSheetId="7" hidden="1">'WP Accum Deprec'!$B$1:$N$58</definedName>
    <definedName name="Z_D7887CBF_30F6_11D2_9A0A_002035671DEC_.wvu.PrintArea" localSheetId="11" hidden="1">'WP Adj to Rate Base Rev 1'!$B$1:$R$70</definedName>
    <definedName name="Z_D7887CBF_30F6_11D2_9A0A_002035671DEC_.wvu.PrintArea" localSheetId="9" hidden="1">'WP CWIP'!$B$1:$I$75</definedName>
    <definedName name="Z_D7887CBF_30F6_11D2_9A0A_002035671DEC_.wvu.PrintArea" localSheetId="28" hidden="1">'WP Divisor'!#REF!</definedName>
    <definedName name="Z_D7887CBF_30F6_11D2_9A0A_002035671DEC_.wvu.PrintArea" localSheetId="6" hidden="1">'WP Gross Plant'!$B$1:$N$56</definedName>
    <definedName name="Z_D7887CBF_30F6_11D2_9A0A_002035671DEC_.wvu.PrintArea" localSheetId="13" hidden="1">'WP Land HFFU'!$B$1:$P$55</definedName>
    <definedName name="Z_D7887CBF_30F6_11D2_9A0A_002035671DEC_.wvu.PrintArea" localSheetId="8" hidden="1">'WP Net Plant'!$B$1:$N$62</definedName>
    <definedName name="Z_D7887CBF_30F6_11D2_9A0A_002035671DEC_.wvu.PrintArea" localSheetId="14" hidden="1">'WP Working Capital'!$B$1:$P$31</definedName>
    <definedName name="Z_DBF8361F_30FA_11D2_9A0A_002035671DEC_.wvu.PrintArea" localSheetId="7" hidden="1">'WP Accum Deprec'!$B$1:$N$58</definedName>
    <definedName name="Z_DBF8361F_30FA_11D2_9A0A_002035671DEC_.wvu.PrintArea" localSheetId="11" hidden="1">'WP Adj to Rate Base Rev 1'!$B$1:$R$70</definedName>
    <definedName name="Z_DBF8361F_30FA_11D2_9A0A_002035671DEC_.wvu.PrintArea" localSheetId="9" hidden="1">'WP CWIP'!$B$1:$I$75</definedName>
    <definedName name="Z_DBF8361F_30FA_11D2_9A0A_002035671DEC_.wvu.PrintArea" localSheetId="28" hidden="1">'WP Divisor'!#REF!</definedName>
    <definedName name="Z_DBF8361F_30FA_11D2_9A0A_002035671DEC_.wvu.PrintArea" localSheetId="6" hidden="1">'WP Gross Plant'!$B$1:$N$56</definedName>
    <definedName name="Z_DBF8361F_30FA_11D2_9A0A_002035671DEC_.wvu.PrintArea" localSheetId="13" hidden="1">'WP Land HFFU'!$B$1:$P$55</definedName>
    <definedName name="Z_DBF8361F_30FA_11D2_9A0A_002035671DEC_.wvu.PrintArea" localSheetId="8" hidden="1">'WP Net Plant'!$B$1:$N$62</definedName>
    <definedName name="Z_DBF8361F_30FA_11D2_9A0A_002035671DEC_.wvu.PrintArea" localSheetId="14" hidden="1">'WP Working Capital'!$B$1:$P$31</definedName>
    <definedName name="Z_E400ADB6_2875_11D2_9A0A_002035671DEC_.wvu.PrintArea" localSheetId="7" hidden="1">'WP Accum Deprec'!$A$1:$N$58</definedName>
    <definedName name="Z_E400ADB6_2875_11D2_9A0A_002035671DEC_.wvu.PrintArea" localSheetId="11" hidden="1">'WP Adj to Rate Base Rev 1'!$A$1:$R$70</definedName>
    <definedName name="Z_E400ADB6_2875_11D2_9A0A_002035671DEC_.wvu.PrintArea" localSheetId="9" hidden="1">'WP CWIP'!$A$1:$I$75</definedName>
    <definedName name="Z_E400ADB6_2875_11D2_9A0A_002035671DEC_.wvu.PrintArea" localSheetId="28" hidden="1">'WP Divisor'!#REF!</definedName>
    <definedName name="Z_E400ADB6_2875_11D2_9A0A_002035671DEC_.wvu.PrintArea" localSheetId="6" hidden="1">'WP Gross Plant'!$A$1:$N$56</definedName>
    <definedName name="Z_E400ADB6_2875_11D2_9A0A_002035671DEC_.wvu.PrintArea" localSheetId="13" hidden="1">'WP Land HFFU'!$A$1:$P$55</definedName>
    <definedName name="Z_E400ADB6_2875_11D2_9A0A_002035671DEC_.wvu.PrintArea" localSheetId="8" hidden="1">'WP Net Plant'!$A$1:$N$62</definedName>
    <definedName name="Z_E400ADB6_2875_11D2_9A0A_002035671DEC_.wvu.PrintArea" localSheetId="14" hidden="1">'WP Working Capital'!$A$1:$P$31</definedName>
    <definedName name="Z_E400ADFD_2875_11D2_9A0A_002035671DEC_.wvu.PrintArea" localSheetId="7" hidden="1">'WP Accum Deprec'!$A$1:$N$58</definedName>
    <definedName name="Z_E400ADFD_2875_11D2_9A0A_002035671DEC_.wvu.PrintArea" localSheetId="11" hidden="1">'WP Adj to Rate Base Rev 1'!$A$1:$R$70</definedName>
    <definedName name="Z_E400ADFD_2875_11D2_9A0A_002035671DEC_.wvu.PrintArea" localSheetId="9" hidden="1">'WP CWIP'!$A$1:$I$75</definedName>
    <definedName name="Z_E400ADFD_2875_11D2_9A0A_002035671DEC_.wvu.PrintArea" localSheetId="28" hidden="1">'WP Divisor'!#REF!</definedName>
    <definedName name="Z_E400ADFD_2875_11D2_9A0A_002035671DEC_.wvu.PrintArea" localSheetId="6" hidden="1">'WP Gross Plant'!$A$1:$N$56</definedName>
    <definedName name="Z_E400ADFD_2875_11D2_9A0A_002035671DEC_.wvu.PrintArea" localSheetId="13" hidden="1">'WP Land HFFU'!$A$1:$P$55</definedName>
    <definedName name="Z_E400ADFD_2875_11D2_9A0A_002035671DEC_.wvu.PrintArea" localSheetId="8" hidden="1">'WP Net Plant'!$A$1:$N$62</definedName>
    <definedName name="Z_E400ADFD_2875_11D2_9A0A_002035671DEC_.wvu.PrintArea" localSheetId="14" hidden="1">'WP Working Capital'!$A$1:$P$31</definedName>
    <definedName name="Z_E400AE47_2875_11D2_9A0A_002035671DEC_.wvu.PrintArea" localSheetId="7" hidden="1">'WP Accum Deprec'!$A$1:$N$58</definedName>
    <definedName name="Z_E400AE47_2875_11D2_9A0A_002035671DEC_.wvu.PrintArea" localSheetId="11" hidden="1">'WP Adj to Rate Base Rev 1'!$A$1:$R$70</definedName>
    <definedName name="Z_E400AE47_2875_11D2_9A0A_002035671DEC_.wvu.PrintArea" localSheetId="9" hidden="1">'WP CWIP'!$A$1:$I$75</definedName>
    <definedName name="Z_E400AE47_2875_11D2_9A0A_002035671DEC_.wvu.PrintArea" localSheetId="28" hidden="1">'WP Divisor'!#REF!</definedName>
    <definedName name="Z_E400AE47_2875_11D2_9A0A_002035671DEC_.wvu.PrintArea" localSheetId="6" hidden="1">'WP Gross Plant'!$A$1:$N$56</definedName>
    <definedName name="Z_E400AE47_2875_11D2_9A0A_002035671DEC_.wvu.PrintArea" localSheetId="13" hidden="1">'WP Land HFFU'!$A$1:$P$55</definedName>
    <definedName name="Z_E400AE47_2875_11D2_9A0A_002035671DEC_.wvu.PrintArea" localSheetId="8" hidden="1">'WP Net Plant'!$A$1:$N$62</definedName>
    <definedName name="Z_E400AE47_2875_11D2_9A0A_002035671DEC_.wvu.PrintArea" localSheetId="14" hidden="1">'WP Working Capital'!$A$1:$P$31</definedName>
  </definedNames>
  <calcPr calcId="145621"/>
</workbook>
</file>

<file path=xl/calcChain.xml><?xml version="1.0" encoding="utf-8"?>
<calcChain xmlns="http://schemas.openxmlformats.org/spreadsheetml/2006/main">
  <c r="L52" i="164" l="1"/>
  <c r="L48" i="164"/>
  <c r="L38" i="164"/>
  <c r="L34" i="164"/>
  <c r="L42" i="164"/>
  <c r="L37" i="162"/>
  <c r="L41" i="162"/>
  <c r="L27" i="162"/>
  <c r="L23" i="162"/>
  <c r="L31" i="162"/>
  <c r="E53" i="150" l="1"/>
  <c r="F53" i="150"/>
  <c r="G53" i="150"/>
  <c r="H53" i="150"/>
  <c r="I53" i="150"/>
  <c r="J53" i="150"/>
  <c r="K53" i="150"/>
  <c r="L53" i="150"/>
  <c r="M53" i="150"/>
  <c r="N53" i="150"/>
  <c r="O53" i="150"/>
  <c r="P53" i="150"/>
  <c r="D53" i="150"/>
  <c r="E28" i="166"/>
  <c r="H44" i="157" l="1"/>
  <c r="H33" i="157"/>
  <c r="O19" i="154" l="1"/>
  <c r="C22" i="166" l="1"/>
  <c r="E22" i="166" s="1"/>
  <c r="C21" i="166"/>
  <c r="C20" i="166"/>
  <c r="E20" i="166" s="1"/>
  <c r="C19" i="166"/>
  <c r="E19" i="166" s="1"/>
  <c r="C18" i="166"/>
  <c r="E18" i="166" s="1"/>
  <c r="C17" i="166"/>
  <c r="E17" i="166" s="1"/>
  <c r="C16" i="166"/>
  <c r="E16" i="166" s="1"/>
  <c r="C15" i="166"/>
  <c r="E15" i="166" s="1"/>
  <c r="C14" i="166"/>
  <c r="E14" i="166" s="1"/>
  <c r="C10" i="166"/>
  <c r="E10" i="166" s="1"/>
  <c r="C9" i="166"/>
  <c r="D9" i="166" s="1"/>
  <c r="E9" i="166" s="1"/>
  <c r="C8" i="166"/>
  <c r="C7" i="166"/>
  <c r="E21" i="166"/>
  <c r="E31" i="166"/>
  <c r="D8" i="166" l="1"/>
  <c r="E8" i="166" s="1"/>
  <c r="D7" i="166"/>
  <c r="E7" i="166" s="1"/>
  <c r="P34" i="154" l="1"/>
  <c r="P33" i="154"/>
  <c r="S33" i="154" s="1"/>
  <c r="S32" i="154"/>
  <c r="N30" i="154"/>
  <c r="N29" i="154"/>
  <c r="O21" i="154"/>
  <c r="O20" i="154"/>
  <c r="Q19" i="154"/>
  <c r="S34" i="154" l="1"/>
  <c r="K88" i="162" l="1"/>
  <c r="K87" i="162"/>
  <c r="K86" i="162"/>
  <c r="K85" i="162"/>
  <c r="K84" i="162"/>
  <c r="K83" i="162"/>
  <c r="K82" i="162"/>
  <c r="K81" i="162"/>
  <c r="K80" i="162"/>
  <c r="K76" i="162"/>
  <c r="K75" i="162"/>
  <c r="K74" i="162"/>
  <c r="K73" i="162"/>
  <c r="H88" i="162"/>
  <c r="H87" i="162"/>
  <c r="H86" i="162"/>
  <c r="H85" i="162"/>
  <c r="H84" i="162"/>
  <c r="H83" i="162"/>
  <c r="H82" i="162"/>
  <c r="H81" i="162"/>
  <c r="H80" i="162"/>
  <c r="H76" i="162"/>
  <c r="H75" i="162"/>
  <c r="H74" i="162"/>
  <c r="H73" i="162"/>
  <c r="E88" i="162"/>
  <c r="E87" i="162"/>
  <c r="E86" i="162"/>
  <c r="E85" i="162"/>
  <c r="E84" i="162"/>
  <c r="E83" i="162"/>
  <c r="E82" i="162"/>
  <c r="E81" i="162"/>
  <c r="E80" i="162"/>
  <c r="E79" i="162"/>
  <c r="E76" i="162"/>
  <c r="E75" i="162"/>
  <c r="E74" i="162"/>
  <c r="E73" i="162"/>
  <c r="M93" i="162"/>
  <c r="G65" i="162"/>
  <c r="G63" i="162"/>
  <c r="N62" i="162"/>
  <c r="G62" i="162"/>
  <c r="C62" i="162"/>
  <c r="N61" i="162"/>
  <c r="G30" i="162"/>
  <c r="G26" i="162"/>
  <c r="G22" i="162"/>
  <c r="R61" i="163"/>
  <c r="Q61" i="163"/>
  <c r="P61" i="163"/>
  <c r="O61" i="163"/>
  <c r="M61" i="163"/>
  <c r="L61" i="163"/>
  <c r="K61" i="163"/>
  <c r="J61" i="163"/>
  <c r="I61" i="163"/>
  <c r="K79" i="162" s="1"/>
  <c r="H61" i="163"/>
  <c r="K78" i="162" s="1"/>
  <c r="G61" i="163"/>
  <c r="K77" i="162" s="1"/>
  <c r="F61" i="163"/>
  <c r="E61" i="163"/>
  <c r="D61" i="163"/>
  <c r="C61" i="163"/>
  <c r="N59" i="163"/>
  <c r="N61" i="163" s="1"/>
  <c r="R55" i="163"/>
  <c r="Q55" i="163"/>
  <c r="P55" i="163"/>
  <c r="O55" i="163"/>
  <c r="N55" i="163"/>
  <c r="M55" i="163"/>
  <c r="L55" i="163"/>
  <c r="K55" i="163"/>
  <c r="J55" i="163"/>
  <c r="I55" i="163"/>
  <c r="H55" i="163"/>
  <c r="G55" i="163"/>
  <c r="F55" i="163"/>
  <c r="E55" i="163"/>
  <c r="D55" i="163"/>
  <c r="C55" i="163"/>
  <c r="R54" i="163"/>
  <c r="Q54" i="163"/>
  <c r="P54" i="163"/>
  <c r="O54" i="163"/>
  <c r="N54" i="163"/>
  <c r="M54" i="163"/>
  <c r="L54" i="163"/>
  <c r="K54" i="163"/>
  <c r="J54" i="163"/>
  <c r="I54" i="163"/>
  <c r="H54" i="163"/>
  <c r="G54" i="163"/>
  <c r="F54" i="163"/>
  <c r="E54" i="163"/>
  <c r="D54" i="163"/>
  <c r="C54" i="163"/>
  <c r="R53" i="163"/>
  <c r="Q53" i="163"/>
  <c r="P53" i="163"/>
  <c r="O53" i="163"/>
  <c r="N53" i="163"/>
  <c r="M53" i="163"/>
  <c r="L53" i="163"/>
  <c r="K53" i="163"/>
  <c r="J53" i="163"/>
  <c r="I53" i="163"/>
  <c r="H53" i="163"/>
  <c r="G53" i="163"/>
  <c r="F53" i="163"/>
  <c r="E53" i="163"/>
  <c r="D53" i="163"/>
  <c r="C53" i="163"/>
  <c r="R52" i="163"/>
  <c r="Q52" i="163"/>
  <c r="P52" i="163"/>
  <c r="O52" i="163"/>
  <c r="N52" i="163"/>
  <c r="M52" i="163"/>
  <c r="L52" i="163"/>
  <c r="K52" i="163"/>
  <c r="J52" i="163"/>
  <c r="I52" i="163"/>
  <c r="H52" i="163"/>
  <c r="G52" i="163"/>
  <c r="F52" i="163"/>
  <c r="E52" i="163"/>
  <c r="D52" i="163"/>
  <c r="C52" i="163"/>
  <c r="R51" i="163"/>
  <c r="Q51" i="163"/>
  <c r="P51" i="163"/>
  <c r="O51" i="163"/>
  <c r="N51" i="163"/>
  <c r="M51" i="163"/>
  <c r="L51" i="163"/>
  <c r="K51" i="163"/>
  <c r="J51" i="163"/>
  <c r="I51" i="163"/>
  <c r="H51" i="163"/>
  <c r="G51" i="163"/>
  <c r="F51" i="163"/>
  <c r="E51" i="163"/>
  <c r="D51" i="163"/>
  <c r="C51" i="163"/>
  <c r="R50" i="163"/>
  <c r="Q50" i="163"/>
  <c r="P50" i="163"/>
  <c r="O50" i="163"/>
  <c r="N50" i="163"/>
  <c r="M50" i="163"/>
  <c r="L50" i="163"/>
  <c r="K50" i="163"/>
  <c r="J50" i="163"/>
  <c r="I50" i="163"/>
  <c r="H50" i="163"/>
  <c r="G50" i="163"/>
  <c r="F50" i="163"/>
  <c r="E50" i="163"/>
  <c r="D50" i="163"/>
  <c r="C50" i="163"/>
  <c r="R49" i="163"/>
  <c r="Q49" i="163"/>
  <c r="P49" i="163"/>
  <c r="O49" i="163"/>
  <c r="N49" i="163"/>
  <c r="M49" i="163"/>
  <c r="L49" i="163"/>
  <c r="K49" i="163"/>
  <c r="J49" i="163"/>
  <c r="I49" i="163"/>
  <c r="H49" i="163"/>
  <c r="G49" i="163"/>
  <c r="F49" i="163"/>
  <c r="E49" i="163"/>
  <c r="D49" i="163"/>
  <c r="C49" i="163"/>
  <c r="R48" i="163"/>
  <c r="Q48" i="163"/>
  <c r="P48" i="163"/>
  <c r="O48" i="163"/>
  <c r="N48" i="163"/>
  <c r="M48" i="163"/>
  <c r="L48" i="163"/>
  <c r="K48" i="163"/>
  <c r="J48" i="163"/>
  <c r="I48" i="163"/>
  <c r="H48" i="163"/>
  <c r="G48" i="163"/>
  <c r="F48" i="163"/>
  <c r="E48" i="163"/>
  <c r="D48" i="163"/>
  <c r="C48" i="163"/>
  <c r="R47" i="163"/>
  <c r="Q47" i="163"/>
  <c r="P47" i="163"/>
  <c r="O47" i="163"/>
  <c r="N47" i="163"/>
  <c r="M47" i="163"/>
  <c r="L47" i="163"/>
  <c r="K47" i="163"/>
  <c r="J47" i="163"/>
  <c r="I47" i="163"/>
  <c r="H47" i="163"/>
  <c r="G47" i="163"/>
  <c r="F47" i="163"/>
  <c r="E47" i="163"/>
  <c r="D47" i="163"/>
  <c r="C47" i="163"/>
  <c r="R46" i="163"/>
  <c r="Q46" i="163"/>
  <c r="P46" i="163"/>
  <c r="O46" i="163"/>
  <c r="N46" i="163"/>
  <c r="M46" i="163"/>
  <c r="L46" i="163"/>
  <c r="K46" i="163"/>
  <c r="J46" i="163"/>
  <c r="I46" i="163"/>
  <c r="H46" i="163"/>
  <c r="G46" i="163"/>
  <c r="F46" i="163"/>
  <c r="E46" i="163"/>
  <c r="D46" i="163"/>
  <c r="C46" i="163"/>
  <c r="R45" i="163"/>
  <c r="Q45" i="163"/>
  <c r="P45" i="163"/>
  <c r="O45" i="163"/>
  <c r="N45" i="163"/>
  <c r="M45" i="163"/>
  <c r="L45" i="163"/>
  <c r="K45" i="163"/>
  <c r="J45" i="163"/>
  <c r="I45" i="163"/>
  <c r="H45" i="163"/>
  <c r="G45" i="163"/>
  <c r="F45" i="163"/>
  <c r="E45" i="163"/>
  <c r="D45" i="163"/>
  <c r="C45" i="163"/>
  <c r="R44" i="163"/>
  <c r="Q44" i="163"/>
  <c r="P44" i="163"/>
  <c r="O44" i="163"/>
  <c r="N44" i="163"/>
  <c r="M44" i="163"/>
  <c r="L44" i="163"/>
  <c r="K44" i="163"/>
  <c r="J44" i="163"/>
  <c r="I44" i="163"/>
  <c r="H44" i="163"/>
  <c r="G44" i="163"/>
  <c r="F44" i="163"/>
  <c r="E44" i="163"/>
  <c r="D44" i="163"/>
  <c r="C44" i="163"/>
  <c r="R43" i="163"/>
  <c r="R56" i="163" s="1"/>
  <c r="Q43" i="163"/>
  <c r="Q56" i="163" s="1"/>
  <c r="P43" i="163"/>
  <c r="P56" i="163" s="1"/>
  <c r="O43" i="163"/>
  <c r="O56" i="163" s="1"/>
  <c r="N43" i="163"/>
  <c r="N56" i="163" s="1"/>
  <c r="M43" i="163"/>
  <c r="M56" i="163" s="1"/>
  <c r="L43" i="163"/>
  <c r="L56" i="163" s="1"/>
  <c r="K43" i="163"/>
  <c r="K56" i="163" s="1"/>
  <c r="J43" i="163"/>
  <c r="J56" i="163" s="1"/>
  <c r="I43" i="163"/>
  <c r="I56" i="163" s="1"/>
  <c r="H79" i="162" s="1"/>
  <c r="H43" i="163"/>
  <c r="H56" i="163" s="1"/>
  <c r="H78" i="162" s="1"/>
  <c r="G43" i="163"/>
  <c r="G56" i="163" s="1"/>
  <c r="H77" i="162" s="1"/>
  <c r="F43" i="163"/>
  <c r="F56" i="163" s="1"/>
  <c r="E43" i="163"/>
  <c r="E56" i="163" s="1"/>
  <c r="D43" i="163"/>
  <c r="D56" i="163" s="1"/>
  <c r="C43" i="163"/>
  <c r="C56" i="163" s="1"/>
  <c r="R39" i="163"/>
  <c r="Q39" i="163"/>
  <c r="P39" i="163"/>
  <c r="O39" i="163"/>
  <c r="N39" i="163"/>
  <c r="M39" i="163"/>
  <c r="L39" i="163"/>
  <c r="K39" i="163"/>
  <c r="J39" i="163"/>
  <c r="I39" i="163"/>
  <c r="H39" i="163"/>
  <c r="G39" i="163"/>
  <c r="F39" i="163"/>
  <c r="E39" i="163"/>
  <c r="D39" i="163"/>
  <c r="C39" i="163"/>
  <c r="B27" i="163"/>
  <c r="R23" i="163"/>
  <c r="Q23" i="163"/>
  <c r="P23" i="163"/>
  <c r="O23" i="163"/>
  <c r="N23" i="163"/>
  <c r="M23" i="163"/>
  <c r="L23" i="163"/>
  <c r="K23" i="163"/>
  <c r="J23" i="163"/>
  <c r="I23" i="163"/>
  <c r="C13" i="166" s="1"/>
  <c r="E13" i="166" s="1"/>
  <c r="H23" i="163"/>
  <c r="C12" i="166" s="1"/>
  <c r="E12" i="166" s="1"/>
  <c r="G23" i="163"/>
  <c r="C11" i="166" s="1"/>
  <c r="E11" i="166" s="1"/>
  <c r="F23" i="163"/>
  <c r="E23" i="163"/>
  <c r="D23" i="163"/>
  <c r="C23" i="163"/>
  <c r="B22" i="163"/>
  <c r="B38" i="163" s="1"/>
  <c r="B55" i="163" s="1"/>
  <c r="B11" i="163"/>
  <c r="B44" i="163" s="1"/>
  <c r="B10" i="163"/>
  <c r="B26" i="163" s="1"/>
  <c r="O72" i="164"/>
  <c r="Q92" i="164"/>
  <c r="J64" i="164"/>
  <c r="R62" i="164"/>
  <c r="J62" i="164"/>
  <c r="R61" i="164"/>
  <c r="J61" i="164"/>
  <c r="C61" i="164"/>
  <c r="J41" i="164"/>
  <c r="J37" i="164"/>
  <c r="J26" i="164"/>
  <c r="J27" i="164" s="1"/>
  <c r="J25" i="164"/>
  <c r="J24" i="164"/>
  <c r="J23" i="164"/>
  <c r="J19" i="164"/>
  <c r="C61" i="165"/>
  <c r="C55" i="165"/>
  <c r="C54" i="165"/>
  <c r="C53" i="165"/>
  <c r="C52" i="165"/>
  <c r="C51" i="165"/>
  <c r="C50" i="165"/>
  <c r="C49" i="165"/>
  <c r="C48" i="165"/>
  <c r="C47" i="165"/>
  <c r="C46" i="165"/>
  <c r="C45" i="165"/>
  <c r="C44" i="165"/>
  <c r="C39" i="165"/>
  <c r="F72" i="164" s="1"/>
  <c r="B27" i="165"/>
  <c r="B26" i="165"/>
  <c r="B22" i="165"/>
  <c r="B38" i="165" s="1"/>
  <c r="B55" i="165" s="1"/>
  <c r="B11" i="165"/>
  <c r="B44" i="165" s="1"/>
  <c r="C23" i="165"/>
  <c r="C33" i="166" s="1"/>
  <c r="E33" i="166" s="1"/>
  <c r="E35" i="166" s="1"/>
  <c r="E37" i="166" s="1"/>
  <c r="B10" i="165"/>
  <c r="B43" i="165" s="1"/>
  <c r="E25" i="166" l="1"/>
  <c r="E27" i="166" s="1"/>
  <c r="E78" i="162"/>
  <c r="E77" i="162"/>
  <c r="E93" i="162" s="1"/>
  <c r="E40" i="166"/>
  <c r="E72" i="164"/>
  <c r="L72" i="164" s="1"/>
  <c r="B43" i="163"/>
  <c r="J29" i="164"/>
  <c r="L29" i="164" s="1"/>
  <c r="G72" i="164" s="1"/>
  <c r="H72" i="164" s="1"/>
  <c r="J33" i="164"/>
  <c r="C43" i="165"/>
  <c r="C56" i="165" s="1"/>
  <c r="F32" i="130" l="1"/>
  <c r="F19" i="130"/>
  <c r="F66" i="130"/>
  <c r="F31" i="130" s="1"/>
  <c r="D66" i="130"/>
  <c r="F61" i="130"/>
  <c r="D59" i="130"/>
  <c r="D61" i="130" s="1"/>
  <c r="F20" i="130" s="1"/>
  <c r="F59" i="130"/>
  <c r="D13" i="160" l="1"/>
  <c r="D12" i="160"/>
  <c r="H12" i="160" s="1"/>
  <c r="D362" i="161"/>
  <c r="D364" i="161" s="1"/>
  <c r="A302" i="161"/>
  <c r="I290" i="161"/>
  <c r="I289" i="161"/>
  <c r="I288" i="161"/>
  <c r="I287" i="161"/>
  <c r="I284" i="161"/>
  <c r="D13" i="161" s="1"/>
  <c r="I282" i="161"/>
  <c r="I280" i="161"/>
  <c r="D273" i="161"/>
  <c r="G273" i="161" s="1"/>
  <c r="D272" i="161"/>
  <c r="G272" i="161" s="1"/>
  <c r="M270" i="161"/>
  <c r="L270" i="161"/>
  <c r="I269" i="161"/>
  <c r="I268" i="161"/>
  <c r="I267" i="161"/>
  <c r="I270" i="161" s="1"/>
  <c r="D274" i="161" s="1"/>
  <c r="D275" i="161" s="1"/>
  <c r="I264" i="161"/>
  <c r="I262" i="161"/>
  <c r="M259" i="161"/>
  <c r="L259" i="161"/>
  <c r="D258" i="161"/>
  <c r="D257" i="161"/>
  <c r="D256" i="161"/>
  <c r="D259" i="161" s="1"/>
  <c r="G257" i="161" s="1"/>
  <c r="I255" i="161"/>
  <c r="M252" i="161"/>
  <c r="L252" i="161"/>
  <c r="D251" i="161"/>
  <c r="G251" i="161" s="1"/>
  <c r="G250" i="161"/>
  <c r="D250" i="161"/>
  <c r="D249" i="161"/>
  <c r="D248" i="161"/>
  <c r="I242" i="161"/>
  <c r="I239" i="161"/>
  <c r="I231" i="161"/>
  <c r="I230" i="161"/>
  <c r="A225" i="161"/>
  <c r="K222" i="161"/>
  <c r="K299" i="161" s="1"/>
  <c r="D210" i="161"/>
  <c r="I210" i="161" s="1"/>
  <c r="I206" i="161"/>
  <c r="D206" i="161"/>
  <c r="D193" i="161"/>
  <c r="D192" i="161"/>
  <c r="D196" i="161" s="1"/>
  <c r="D188" i="161"/>
  <c r="M185" i="161"/>
  <c r="L185" i="161"/>
  <c r="D184" i="161"/>
  <c r="F183" i="161"/>
  <c r="D183" i="161"/>
  <c r="C183" i="161"/>
  <c r="D182" i="161"/>
  <c r="D185" i="161" s="1"/>
  <c r="D181" i="161"/>
  <c r="F179" i="161"/>
  <c r="D179" i="161"/>
  <c r="C179" i="161"/>
  <c r="D178" i="161"/>
  <c r="M174" i="161"/>
  <c r="L174" i="161"/>
  <c r="D173" i="161"/>
  <c r="D172" i="161"/>
  <c r="D171" i="161"/>
  <c r="D170" i="161"/>
  <c r="D169" i="161"/>
  <c r="B169" i="161"/>
  <c r="M166" i="161"/>
  <c r="L166" i="161"/>
  <c r="D165" i="161"/>
  <c r="I165" i="161" s="1"/>
  <c r="D164" i="161"/>
  <c r="C164" i="161"/>
  <c r="F163" i="161"/>
  <c r="D163" i="161"/>
  <c r="D162" i="161"/>
  <c r="F161" i="161"/>
  <c r="F162" i="161" s="1"/>
  <c r="D161" i="161"/>
  <c r="D160" i="161"/>
  <c r="D159" i="161"/>
  <c r="D158" i="161"/>
  <c r="I158" i="161" s="1"/>
  <c r="D157" i="161"/>
  <c r="I238" i="161" s="1"/>
  <c r="I240" i="161" s="1"/>
  <c r="A150" i="161"/>
  <c r="K147" i="161"/>
  <c r="M126" i="161"/>
  <c r="L126" i="161"/>
  <c r="D125" i="161"/>
  <c r="D124" i="161"/>
  <c r="F120" i="161"/>
  <c r="D120" i="161"/>
  <c r="M118" i="161"/>
  <c r="L118" i="161"/>
  <c r="D117" i="161"/>
  <c r="D116" i="161"/>
  <c r="D115" i="161"/>
  <c r="F114" i="161"/>
  <c r="D114" i="161"/>
  <c r="D113" i="161"/>
  <c r="D112" i="161"/>
  <c r="F111" i="161"/>
  <c r="F182" i="161" s="1"/>
  <c r="D111" i="161"/>
  <c r="D108" i="161"/>
  <c r="M105" i="161"/>
  <c r="L105" i="161"/>
  <c r="B105" i="161"/>
  <c r="M104" i="161"/>
  <c r="L104" i="161"/>
  <c r="D104" i="161"/>
  <c r="M103" i="161"/>
  <c r="L103" i="161"/>
  <c r="M102" i="161"/>
  <c r="L102" i="161"/>
  <c r="M101" i="161"/>
  <c r="L101" i="161"/>
  <c r="D101" i="161"/>
  <c r="M98" i="161"/>
  <c r="L98" i="161"/>
  <c r="F97" i="161"/>
  <c r="D97" i="161"/>
  <c r="B97" i="161"/>
  <c r="F96" i="161"/>
  <c r="D96" i="161"/>
  <c r="B96" i="161"/>
  <c r="B104" i="161" s="1"/>
  <c r="G95" i="161"/>
  <c r="F95" i="161"/>
  <c r="D95" i="161"/>
  <c r="B95" i="161"/>
  <c r="B103" i="161" s="1"/>
  <c r="F94" i="161"/>
  <c r="D94" i="161"/>
  <c r="B94" i="161"/>
  <c r="B102" i="161" s="1"/>
  <c r="G93" i="161"/>
  <c r="F93" i="161"/>
  <c r="D93" i="161"/>
  <c r="D98" i="161" s="1"/>
  <c r="B93" i="161"/>
  <c r="B101" i="161" s="1"/>
  <c r="M90" i="161"/>
  <c r="L90" i="161"/>
  <c r="D89" i="161"/>
  <c r="D105" i="161" s="1"/>
  <c r="D88" i="161"/>
  <c r="D87" i="161"/>
  <c r="D103" i="161" s="1"/>
  <c r="D86" i="161"/>
  <c r="I229" i="161" s="1"/>
  <c r="D85" i="161"/>
  <c r="A78" i="161"/>
  <c r="K75" i="161"/>
  <c r="I47" i="161"/>
  <c r="I46" i="161"/>
  <c r="I36" i="161"/>
  <c r="I21" i="161"/>
  <c r="F15" i="161"/>
  <c r="F16" i="161" s="1"/>
  <c r="F14" i="161"/>
  <c r="F15" i="160"/>
  <c r="H21" i="160" s="1"/>
  <c r="H14" i="160"/>
  <c r="H13" i="160"/>
  <c r="D15" i="160" l="1"/>
  <c r="E274" i="161"/>
  <c r="I274" i="161" s="1"/>
  <c r="E273" i="161"/>
  <c r="I273" i="161" s="1"/>
  <c r="E272" i="161"/>
  <c r="I272" i="161" s="1"/>
  <c r="D106" i="161"/>
  <c r="L106" i="161"/>
  <c r="D90" i="161"/>
  <c r="M106" i="161"/>
  <c r="M128" i="161" s="1"/>
  <c r="L128" i="161"/>
  <c r="I291" i="161"/>
  <c r="D14" i="161" s="1"/>
  <c r="I234" i="161"/>
  <c r="I232" i="161"/>
  <c r="D102" i="161"/>
  <c r="D118" i="161"/>
  <c r="D174" i="161"/>
  <c r="D252" i="161"/>
  <c r="D166" i="161"/>
  <c r="D123" i="161" s="1"/>
  <c r="D126" i="161" s="1"/>
  <c r="G248" i="161"/>
  <c r="F17" i="160"/>
  <c r="H24" i="160" s="1"/>
  <c r="H15" i="160"/>
  <c r="H20" i="160"/>
  <c r="H22" i="160" s="1"/>
  <c r="H26" i="160" s="1"/>
  <c r="I275" i="161" l="1"/>
  <c r="G170" i="161"/>
  <c r="I170" i="161" s="1"/>
  <c r="G13" i="161"/>
  <c r="G171" i="161"/>
  <c r="I171" i="161" s="1"/>
  <c r="G116" i="161"/>
  <c r="I116" i="161" s="1"/>
  <c r="G86" i="161"/>
  <c r="I243" i="161"/>
  <c r="I244" i="161" s="1"/>
  <c r="G117" i="161"/>
  <c r="I117" i="161" s="1"/>
  <c r="E249" i="161"/>
  <c r="G249" i="161" s="1"/>
  <c r="G252" i="161" s="1"/>
  <c r="I252" i="161" s="1"/>
  <c r="G108" i="161"/>
  <c r="I108" i="161" s="1"/>
  <c r="D128" i="161"/>
  <c r="I257" i="161" l="1"/>
  <c r="K257" i="161" s="1"/>
  <c r="G89" i="161" s="1"/>
  <c r="G88" i="161"/>
  <c r="G94" i="161"/>
  <c r="I86" i="161"/>
  <c r="D199" i="161"/>
  <c r="D189" i="161"/>
  <c r="G157" i="161"/>
  <c r="G124" i="161"/>
  <c r="I124" i="161" s="1"/>
  <c r="G14" i="161"/>
  <c r="I13" i="161"/>
  <c r="G15" i="161" l="1"/>
  <c r="I14" i="161"/>
  <c r="I88" i="161"/>
  <c r="G96" i="161"/>
  <c r="I89" i="161"/>
  <c r="G97" i="161"/>
  <c r="G159" i="161"/>
  <c r="I159" i="161" s="1"/>
  <c r="I157" i="161"/>
  <c r="G163" i="161"/>
  <c r="I163" i="161" s="1"/>
  <c r="D195" i="161"/>
  <c r="D197" i="161" s="1"/>
  <c r="D202" i="161" s="1"/>
  <c r="D211" i="161" s="1"/>
  <c r="G120" i="161"/>
  <c r="I94" i="161"/>
  <c r="I98" i="161" l="1"/>
  <c r="I105" i="161"/>
  <c r="I120" i="161"/>
  <c r="G169" i="161"/>
  <c r="I169" i="161" s="1"/>
  <c r="I102" i="161"/>
  <c r="G160" i="161"/>
  <c r="I96" i="161"/>
  <c r="I15" i="161"/>
  <c r="G16" i="161"/>
  <c r="I16" i="161" s="1"/>
  <c r="I90" i="161"/>
  <c r="G90" i="161" s="1"/>
  <c r="I104" i="161"/>
  <c r="G164" i="161"/>
  <c r="I97" i="161"/>
  <c r="I17" i="161" l="1"/>
  <c r="I106" i="161"/>
  <c r="G106" i="161" s="1"/>
  <c r="I164" i="161"/>
  <c r="G173" i="161"/>
  <c r="I173" i="161" s="1"/>
  <c r="G181" i="161"/>
  <c r="G125" i="161"/>
  <c r="I125" i="161" s="1"/>
  <c r="I160" i="161"/>
  <c r="G161" i="161"/>
  <c r="G172" i="161"/>
  <c r="G178" i="161" l="1"/>
  <c r="I172" i="161"/>
  <c r="I174" i="161" s="1"/>
  <c r="G183" i="161"/>
  <c r="I183" i="161" s="1"/>
  <c r="G184" i="161"/>
  <c r="I184" i="161" s="1"/>
  <c r="I181" i="161"/>
  <c r="I161" i="161"/>
  <c r="G162" i="161"/>
  <c r="I162" i="161" s="1"/>
  <c r="G196" i="161"/>
  <c r="I196" i="161" s="1"/>
  <c r="G112" i="161"/>
  <c r="I166" i="161"/>
  <c r="I123" i="161" s="1"/>
  <c r="I126" i="161" s="1"/>
  <c r="G113" i="161" l="1"/>
  <c r="I112" i="161"/>
  <c r="G179" i="161"/>
  <c r="I179" i="161" s="1"/>
  <c r="I178" i="161"/>
  <c r="I185" i="161" s="1"/>
  <c r="I232" i="154"/>
  <c r="N29" i="127"/>
  <c r="I118" i="161" l="1"/>
  <c r="I128" i="161" s="1"/>
  <c r="I199" i="161" s="1"/>
  <c r="G115" i="161"/>
  <c r="I115" i="161" s="1"/>
  <c r="I113" i="161"/>
  <c r="G114" i="161"/>
  <c r="I114" i="161" s="1"/>
  <c r="F44" i="136"/>
  <c r="F43" i="136"/>
  <c r="H27" i="136"/>
  <c r="F22" i="136"/>
  <c r="F23" i="136"/>
  <c r="D49" i="159"/>
  <c r="E43" i="159"/>
  <c r="E42" i="159"/>
  <c r="G41" i="159"/>
  <c r="G40" i="159"/>
  <c r="G39" i="159"/>
  <c r="E36" i="159"/>
  <c r="E35" i="159"/>
  <c r="E34" i="159"/>
  <c r="E33" i="159"/>
  <c r="E32" i="159"/>
  <c r="E31" i="159"/>
  <c r="E30" i="159"/>
  <c r="E29" i="159"/>
  <c r="E28" i="159"/>
  <c r="E27" i="159"/>
  <c r="E26" i="159"/>
  <c r="E25" i="159"/>
  <c r="E24" i="159"/>
  <c r="E23" i="159"/>
  <c r="E22" i="159"/>
  <c r="E21" i="159"/>
  <c r="E20" i="159"/>
  <c r="G19" i="159"/>
  <c r="G18" i="159"/>
  <c r="G17" i="159"/>
  <c r="G16" i="159"/>
  <c r="G15" i="159"/>
  <c r="G14" i="159"/>
  <c r="G13" i="159"/>
  <c r="E12" i="159"/>
  <c r="D11" i="159"/>
  <c r="E11" i="159" s="1"/>
  <c r="G10" i="159"/>
  <c r="E9" i="159"/>
  <c r="D8" i="159"/>
  <c r="E7" i="159"/>
  <c r="G6" i="159"/>
  <c r="G5" i="159"/>
  <c r="G4" i="159"/>
  <c r="G44" i="159" s="1"/>
  <c r="D4" i="159"/>
  <c r="I195" i="161" l="1"/>
  <c r="I197" i="161" s="1"/>
  <c r="I202" i="161" s="1"/>
  <c r="I211" i="161" s="1"/>
  <c r="I10" i="161" s="1"/>
  <c r="I25" i="161" s="1"/>
  <c r="E44" i="159"/>
  <c r="E8" i="159"/>
  <c r="E5" i="151"/>
  <c r="C7" i="151"/>
  <c r="D37" i="161" l="1"/>
  <c r="N28" i="3"/>
  <c r="I43" i="161" l="1"/>
  <c r="I41" i="161"/>
  <c r="D43" i="161"/>
  <c r="D41" i="161"/>
  <c r="D38" i="161"/>
  <c r="I42" i="161"/>
  <c r="D42" i="161"/>
  <c r="I45" i="133"/>
  <c r="F36" i="157" l="1"/>
  <c r="D36" i="157"/>
  <c r="H35" i="157"/>
  <c r="H34" i="157"/>
  <c r="H32" i="157"/>
  <c r="H31" i="157"/>
  <c r="H30" i="157"/>
  <c r="H29" i="157"/>
  <c r="F47" i="157"/>
  <c r="F19" i="157"/>
  <c r="D19" i="157"/>
  <c r="D47" i="157"/>
  <c r="H41" i="157"/>
  <c r="H42" i="157"/>
  <c r="H43" i="157"/>
  <c r="H45" i="157"/>
  <c r="H46" i="157"/>
  <c r="H40" i="157"/>
  <c r="E41" i="166" l="1"/>
  <c r="E42" i="166" s="1"/>
  <c r="P20" i="154" s="1"/>
  <c r="P21" i="154" s="1"/>
  <c r="H47" i="157"/>
  <c r="H36" i="157"/>
  <c r="Q20" i="154" l="1"/>
  <c r="Q21" i="154" s="1"/>
  <c r="R19" i="154" s="1"/>
  <c r="Q29" i="154" s="1"/>
  <c r="H45" i="37"/>
  <c r="J75" i="3"/>
  <c r="R20" i="154" l="1"/>
  <c r="R21" i="154" s="1"/>
  <c r="H18" i="138"/>
  <c r="F18" i="138"/>
  <c r="F16" i="138"/>
  <c r="H16" i="138"/>
  <c r="J77" i="128"/>
  <c r="J78" i="128"/>
  <c r="F78" i="128"/>
  <c r="J52" i="128"/>
  <c r="J53" i="128"/>
  <c r="F53" i="128"/>
  <c r="H53" i="128"/>
  <c r="F29" i="131" l="1"/>
  <c r="H29" i="131"/>
  <c r="H12" i="132"/>
  <c r="F12" i="132"/>
  <c r="H11" i="132"/>
  <c r="F11" i="132"/>
  <c r="D22" i="130"/>
  <c r="H69" i="37" l="1"/>
  <c r="F69" i="37"/>
  <c r="C51" i="148" l="1"/>
  <c r="C12" i="148" s="1"/>
  <c r="D76" i="3"/>
  <c r="D67" i="3"/>
  <c r="J66" i="3"/>
  <c r="M291" i="154" l="1"/>
  <c r="M290" i="154"/>
  <c r="L289" i="154"/>
  <c r="M289" i="154"/>
  <c r="I289" i="154" s="1"/>
  <c r="L285" i="154"/>
  <c r="M285" i="154"/>
  <c r="L288" i="154"/>
  <c r="M288" i="154"/>
  <c r="M282" i="154"/>
  <c r="L282" i="154"/>
  <c r="M281" i="154"/>
  <c r="L281" i="154"/>
  <c r="I281" i="154" s="1"/>
  <c r="L231" i="154"/>
  <c r="I231" i="154" s="1"/>
  <c r="M231" i="154"/>
  <c r="L232" i="154"/>
  <c r="M232" i="154"/>
  <c r="F17" i="131"/>
  <c r="F18" i="131"/>
  <c r="F19" i="131"/>
  <c r="F20" i="131"/>
  <c r="J20" i="131" s="1"/>
  <c r="H17" i="131"/>
  <c r="H18" i="131"/>
  <c r="H19" i="131"/>
  <c r="H20" i="131"/>
  <c r="L249" i="154"/>
  <c r="M249" i="154"/>
  <c r="L250" i="154"/>
  <c r="M250" i="154"/>
  <c r="L251" i="154"/>
  <c r="M251" i="154"/>
  <c r="L257" i="154"/>
  <c r="M257" i="154"/>
  <c r="M260" i="154" s="1"/>
  <c r="L258" i="154"/>
  <c r="M258" i="154"/>
  <c r="L259" i="154"/>
  <c r="M259" i="154"/>
  <c r="L179" i="154"/>
  <c r="M179" i="154"/>
  <c r="D179" i="154" s="1"/>
  <c r="L180" i="154"/>
  <c r="M180" i="154"/>
  <c r="L182" i="154"/>
  <c r="M182" i="154"/>
  <c r="L184" i="154"/>
  <c r="M184" i="154"/>
  <c r="L185" i="154"/>
  <c r="M185" i="154"/>
  <c r="L268" i="154"/>
  <c r="M268" i="154"/>
  <c r="L270" i="154"/>
  <c r="M270" i="154"/>
  <c r="D328" i="154"/>
  <c r="L194" i="154"/>
  <c r="D194" i="154" s="1"/>
  <c r="M194" i="154"/>
  <c r="L269" i="154"/>
  <c r="M269" i="154"/>
  <c r="D251" i="154"/>
  <c r="G251" i="154" s="1"/>
  <c r="D165" i="154"/>
  <c r="D116" i="154"/>
  <c r="L170" i="154"/>
  <c r="M170" i="154"/>
  <c r="L171" i="154"/>
  <c r="M171" i="154"/>
  <c r="L172" i="154"/>
  <c r="M172" i="154"/>
  <c r="I21" i="154"/>
  <c r="H5" i="157"/>
  <c r="H6" i="157"/>
  <c r="P38" i="128" s="1"/>
  <c r="P13" i="128" s="1"/>
  <c r="H7" i="157"/>
  <c r="P39" i="128" s="1"/>
  <c r="R39" i="128" s="1"/>
  <c r="H8" i="157"/>
  <c r="P40" i="128" s="1"/>
  <c r="R40" i="128" s="1"/>
  <c r="H9" i="157"/>
  <c r="P41" i="128" s="1"/>
  <c r="P16" i="128" s="1"/>
  <c r="R16" i="128" s="1"/>
  <c r="H10" i="157"/>
  <c r="P42" i="128" s="1"/>
  <c r="R42" i="128" s="1"/>
  <c r="H11" i="157"/>
  <c r="P43" i="128" s="1"/>
  <c r="P18" i="128" s="1"/>
  <c r="R18" i="128" s="1"/>
  <c r="H12" i="157"/>
  <c r="P44" i="128" s="1"/>
  <c r="R44" i="128" s="1"/>
  <c r="H13" i="157"/>
  <c r="P45" i="128" s="1"/>
  <c r="R45" i="128" s="1"/>
  <c r="H14" i="157"/>
  <c r="P46" i="128" s="1"/>
  <c r="P21" i="128" s="1"/>
  <c r="H15" i="157"/>
  <c r="P47" i="128" s="1"/>
  <c r="R47" i="128" s="1"/>
  <c r="H16" i="157"/>
  <c r="P48" i="128" s="1"/>
  <c r="R48" i="128" s="1"/>
  <c r="H17" i="157"/>
  <c r="P49" i="128" s="1"/>
  <c r="P24" i="128" s="1"/>
  <c r="M183" i="154"/>
  <c r="L183" i="154"/>
  <c r="A303" i="154"/>
  <c r="D274" i="154"/>
  <c r="G274" i="154" s="1"/>
  <c r="I265" i="154"/>
  <c r="I256" i="154"/>
  <c r="N247" i="154"/>
  <c r="A226" i="154"/>
  <c r="K223" i="154"/>
  <c r="D166" i="154"/>
  <c r="I166" i="154" s="1"/>
  <c r="D118" i="154"/>
  <c r="F184" i="154"/>
  <c r="C184" i="154"/>
  <c r="F94" i="154"/>
  <c r="F112" i="154" s="1"/>
  <c r="F183" i="154" s="1"/>
  <c r="F180" i="154"/>
  <c r="C180" i="154"/>
  <c r="B170" i="154"/>
  <c r="C165" i="154"/>
  <c r="F164" i="154"/>
  <c r="F162" i="154"/>
  <c r="F163" i="154" s="1"/>
  <c r="A151" i="154"/>
  <c r="K148" i="154"/>
  <c r="F95" i="154"/>
  <c r="F121" i="154" s="1"/>
  <c r="F115" i="154"/>
  <c r="B98" i="154"/>
  <c r="B106" i="154" s="1"/>
  <c r="B97" i="154"/>
  <c r="B105" i="154"/>
  <c r="B96" i="154"/>
  <c r="B104" i="154" s="1"/>
  <c r="B95" i="154"/>
  <c r="B103" i="154" s="1"/>
  <c r="B94" i="154"/>
  <c r="B102" i="154" s="1"/>
  <c r="F98" i="154"/>
  <c r="F97" i="154"/>
  <c r="G96" i="154"/>
  <c r="F96" i="154"/>
  <c r="G94" i="154"/>
  <c r="A79" i="154"/>
  <c r="K76" i="154"/>
  <c r="I48" i="154"/>
  <c r="I47" i="154"/>
  <c r="F15" i="154"/>
  <c r="F16" i="154" s="1"/>
  <c r="F17" i="154" s="1"/>
  <c r="C9" i="151"/>
  <c r="D329" i="154" s="1"/>
  <c r="M174" i="154"/>
  <c r="L43" i="127"/>
  <c r="L98" i="154" s="1"/>
  <c r="J43" i="127"/>
  <c r="L97" i="154" s="1"/>
  <c r="H43" i="127"/>
  <c r="L96" i="154" s="1"/>
  <c r="F43" i="127"/>
  <c r="L95" i="154" s="1"/>
  <c r="D43" i="127"/>
  <c r="L94" i="154" s="1"/>
  <c r="I20" i="154"/>
  <c r="I22" i="154" s="1"/>
  <c r="D15" i="149"/>
  <c r="H20" i="149" s="1"/>
  <c r="H10" i="149"/>
  <c r="C7" i="148" s="1"/>
  <c r="C5" i="151"/>
  <c r="L83" i="127"/>
  <c r="J83" i="127"/>
  <c r="H83" i="127"/>
  <c r="F83" i="127"/>
  <c r="D83" i="127"/>
  <c r="L79" i="127"/>
  <c r="J79" i="127"/>
  <c r="H79" i="127"/>
  <c r="F79" i="127"/>
  <c r="D79" i="127"/>
  <c r="L74" i="127"/>
  <c r="J74" i="127"/>
  <c r="H74" i="127"/>
  <c r="F74" i="127"/>
  <c r="D74" i="127"/>
  <c r="L70" i="127"/>
  <c r="J70" i="127"/>
  <c r="H70" i="127"/>
  <c r="F70" i="127"/>
  <c r="D70" i="127"/>
  <c r="A8" i="3"/>
  <c r="A9" i="3" s="1"/>
  <c r="A10" i="3" s="1"/>
  <c r="A11" i="3" s="1"/>
  <c r="A12" i="3" s="1"/>
  <c r="A13" i="3" s="1"/>
  <c r="A14" i="3" s="1"/>
  <c r="A15" i="3" s="1"/>
  <c r="A16" i="3" s="1"/>
  <c r="A17" i="3" s="1"/>
  <c r="A18" i="3" s="1"/>
  <c r="A19" i="3" s="1"/>
  <c r="A20" i="3" s="1"/>
  <c r="A21" i="3" s="1"/>
  <c r="A22" i="3" s="1"/>
  <c r="A27" i="3" s="1"/>
  <c r="A28" i="3" s="1"/>
  <c r="A29" i="3" s="1"/>
  <c r="A30" i="3" s="1"/>
  <c r="A31" i="3" s="1"/>
  <c r="A32" i="3" s="1"/>
  <c r="A33" i="3" s="1"/>
  <c r="A34" i="3" s="1"/>
  <c r="A35" i="3" s="1"/>
  <c r="A36" i="3" s="1"/>
  <c r="A37" i="3" s="1"/>
  <c r="A38" i="3" s="1"/>
  <c r="A39" i="3" s="1"/>
  <c r="A40" i="3" s="1"/>
  <c r="A41" i="3" s="1"/>
  <c r="A42" i="3" s="1"/>
  <c r="A47" i="3" s="1"/>
  <c r="A48" i="3" s="1"/>
  <c r="A49" i="3" s="1"/>
  <c r="A50" i="3" s="1"/>
  <c r="A51" i="3" s="1"/>
  <c r="A52" i="3" s="1"/>
  <c r="A53" i="3" s="1"/>
  <c r="A54" i="3" s="1"/>
  <c r="J81" i="3"/>
  <c r="J72" i="3"/>
  <c r="L81" i="3"/>
  <c r="H81" i="3"/>
  <c r="F81" i="3"/>
  <c r="D81" i="3"/>
  <c r="L77" i="3"/>
  <c r="J77" i="3"/>
  <c r="H77" i="3"/>
  <c r="F77" i="3"/>
  <c r="D77" i="3"/>
  <c r="L72" i="3"/>
  <c r="H72" i="3"/>
  <c r="F72" i="3"/>
  <c r="L68" i="3"/>
  <c r="J68" i="3"/>
  <c r="H68" i="3"/>
  <c r="F68" i="3"/>
  <c r="D72" i="3"/>
  <c r="D68" i="3"/>
  <c r="R66" i="150"/>
  <c r="R53" i="150"/>
  <c r="M173" i="154"/>
  <c r="L174" i="154"/>
  <c r="L173" i="154"/>
  <c r="A9" i="130"/>
  <c r="A10" i="130" s="1"/>
  <c r="M252" i="154"/>
  <c r="L252" i="154"/>
  <c r="M263" i="154"/>
  <c r="M273" i="154"/>
  <c r="L263" i="154"/>
  <c r="L273" i="154"/>
  <c r="F75" i="37"/>
  <c r="F80" i="37" s="1"/>
  <c r="L161" i="154" s="1"/>
  <c r="J64" i="127"/>
  <c r="M97" i="154" s="1"/>
  <c r="F15" i="149"/>
  <c r="H21" i="149" s="1"/>
  <c r="F17" i="149"/>
  <c r="H24" i="149" s="1"/>
  <c r="J12" i="136"/>
  <c r="J11" i="136"/>
  <c r="H14" i="136"/>
  <c r="F14" i="136"/>
  <c r="A60" i="37"/>
  <c r="A61" i="37"/>
  <c r="A62" i="37" s="1"/>
  <c r="A63" i="37" s="1"/>
  <c r="A64" i="37" s="1"/>
  <c r="A65" i="37" s="1"/>
  <c r="A66" i="37" s="1"/>
  <c r="A67" i="37" s="1"/>
  <c r="A68" i="37" s="1"/>
  <c r="A69" i="37" s="1"/>
  <c r="A70" i="37" s="1"/>
  <c r="A71" i="37" s="1"/>
  <c r="A72" i="37" s="1"/>
  <c r="A73" i="37" s="1"/>
  <c r="A74" i="37" s="1"/>
  <c r="A75" i="37" s="1"/>
  <c r="A77" i="37" s="1"/>
  <c r="A78" i="37" s="1"/>
  <c r="A80" i="37" s="1"/>
  <c r="A82" i="37" s="1"/>
  <c r="A84" i="37" s="1"/>
  <c r="A85" i="37" s="1"/>
  <c r="A86" i="37" s="1"/>
  <c r="A87" i="37" s="1"/>
  <c r="A89" i="37" s="1"/>
  <c r="A91" i="37" s="1"/>
  <c r="A93" i="37" s="1"/>
  <c r="A10" i="37"/>
  <c r="A11" i="37" s="1"/>
  <c r="A12" i="37" s="1"/>
  <c r="A13" i="37" s="1"/>
  <c r="A14" i="37" s="1"/>
  <c r="A15" i="37" s="1"/>
  <c r="A16" i="37" s="1"/>
  <c r="A17" i="37" s="1"/>
  <c r="A18" i="37" s="1"/>
  <c r="A19" i="37" s="1"/>
  <c r="A20" i="37" s="1"/>
  <c r="A21" i="37" s="1"/>
  <c r="A22" i="37" s="1"/>
  <c r="A23" i="37" s="1"/>
  <c r="A24" i="37" s="1"/>
  <c r="A25" i="37" s="1"/>
  <c r="A26" i="37" s="1"/>
  <c r="A27" i="37" s="1"/>
  <c r="A29" i="37" s="1"/>
  <c r="A30" i="37" s="1"/>
  <c r="A31" i="37" s="1"/>
  <c r="A32" i="37" s="1"/>
  <c r="A33" i="37" s="1"/>
  <c r="A34" i="37" s="1"/>
  <c r="A35" i="37" s="1"/>
  <c r="A36" i="37" s="1"/>
  <c r="A37" i="37" s="1"/>
  <c r="A38" i="37" s="1"/>
  <c r="A39" i="37" s="1"/>
  <c r="A40" i="37" s="1"/>
  <c r="A42" i="37" s="1"/>
  <c r="A44" i="37" s="1"/>
  <c r="A45" i="37" s="1"/>
  <c r="A46" i="37" s="1"/>
  <c r="A47" i="37" s="1"/>
  <c r="A48" i="37" s="1"/>
  <c r="A49" i="37" s="1"/>
  <c r="A50" i="37" s="1"/>
  <c r="A52" i="37" s="1"/>
  <c r="A54" i="37" s="1"/>
  <c r="A9" i="129"/>
  <c r="A10" i="129" s="1"/>
  <c r="A11" i="129" s="1"/>
  <c r="A12" i="129" s="1"/>
  <c r="A13" i="129" s="1"/>
  <c r="A14" i="129" s="1"/>
  <c r="A15" i="129" s="1"/>
  <c r="A16" i="129" s="1"/>
  <c r="A17" i="129" s="1"/>
  <c r="A18" i="129" s="1"/>
  <c r="A19" i="129" s="1"/>
  <c r="A20" i="129" s="1"/>
  <c r="A21" i="129" s="1"/>
  <c r="A22" i="129" s="1"/>
  <c r="A23" i="129" s="1"/>
  <c r="A27" i="129" s="1"/>
  <c r="A28" i="129" s="1"/>
  <c r="A29" i="129" s="1"/>
  <c r="A30" i="129" s="1"/>
  <c r="A31" i="129" s="1"/>
  <c r="A32" i="129" s="1"/>
  <c r="A33" i="129" s="1"/>
  <c r="A34" i="129" s="1"/>
  <c r="A35" i="129" s="1"/>
  <c r="A36" i="129" s="1"/>
  <c r="A37" i="129" s="1"/>
  <c r="A38" i="129" s="1"/>
  <c r="A39" i="129" s="1"/>
  <c r="A40" i="129" s="1"/>
  <c r="A41" i="129" s="1"/>
  <c r="A42" i="129" s="1"/>
  <c r="A46" i="129" s="1"/>
  <c r="H85" i="37"/>
  <c r="H86" i="37"/>
  <c r="D42" i="129"/>
  <c r="L121" i="154" s="1"/>
  <c r="D61" i="129"/>
  <c r="M121" i="154" s="1"/>
  <c r="J76" i="128"/>
  <c r="J80" i="128" s="1"/>
  <c r="M115" i="154" s="1"/>
  <c r="H76" i="128"/>
  <c r="H80" i="128" s="1"/>
  <c r="M114" i="154" s="1"/>
  <c r="F76" i="128"/>
  <c r="F80" i="128" s="1"/>
  <c r="M113" i="154" s="1"/>
  <c r="D76" i="128"/>
  <c r="D80" i="128" s="1"/>
  <c r="M112" i="154" s="1"/>
  <c r="L64" i="127"/>
  <c r="M98" i="154" s="1"/>
  <c r="H64" i="127"/>
  <c r="M96" i="154" s="1"/>
  <c r="F64" i="127"/>
  <c r="M95" i="154" s="1"/>
  <c r="D64" i="127"/>
  <c r="M94" i="154" s="1"/>
  <c r="J22" i="136"/>
  <c r="J23" i="136"/>
  <c r="A11" i="136"/>
  <c r="A12" i="136" s="1"/>
  <c r="A13" i="136" s="1"/>
  <c r="A14" i="136" s="1"/>
  <c r="A15" i="136" s="1"/>
  <c r="A16" i="136" s="1"/>
  <c r="A17" i="136" s="1"/>
  <c r="A18" i="136" s="1"/>
  <c r="A19" i="136" s="1"/>
  <c r="A20" i="136" s="1"/>
  <c r="A21" i="136" s="1"/>
  <c r="A22" i="136" s="1"/>
  <c r="A23" i="136" s="1"/>
  <c r="A24" i="136" s="1"/>
  <c r="A25" i="136" s="1"/>
  <c r="J18" i="136"/>
  <c r="F25" i="137"/>
  <c r="J25" i="137"/>
  <c r="I31" i="154" s="1"/>
  <c r="D25" i="137"/>
  <c r="F89" i="37"/>
  <c r="L164" i="154" s="1"/>
  <c r="F86" i="37"/>
  <c r="F82" i="37"/>
  <c r="L162" i="154" s="1"/>
  <c r="F34" i="130"/>
  <c r="F52" i="130"/>
  <c r="F54" i="130" s="1"/>
  <c r="F36" i="130" s="1"/>
  <c r="F22" i="130"/>
  <c r="F43" i="130"/>
  <c r="F45" i="130" s="1"/>
  <c r="F24" i="130" s="1"/>
  <c r="D34" i="130"/>
  <c r="D38" i="130" s="1"/>
  <c r="M125" i="154" s="1"/>
  <c r="D26" i="130"/>
  <c r="J51" i="128"/>
  <c r="J55" i="128" s="1"/>
  <c r="L115" i="154" s="1"/>
  <c r="H51" i="128"/>
  <c r="H55" i="128" s="1"/>
  <c r="L114" i="154" s="1"/>
  <c r="F51" i="128"/>
  <c r="F55" i="128" s="1"/>
  <c r="L113" i="154" s="1"/>
  <c r="D51" i="128"/>
  <c r="D55" i="128" s="1"/>
  <c r="L112" i="154" s="1"/>
  <c r="H75" i="37"/>
  <c r="H80" i="37" s="1"/>
  <c r="M161" i="154" s="1"/>
  <c r="F52" i="37"/>
  <c r="L160" i="154" s="1"/>
  <c r="H49" i="37"/>
  <c r="H48" i="37"/>
  <c r="F48" i="37"/>
  <c r="F49" i="37"/>
  <c r="H27" i="37"/>
  <c r="H40" i="37"/>
  <c r="F27" i="37"/>
  <c r="F40" i="37"/>
  <c r="D9" i="130"/>
  <c r="D10" i="130"/>
  <c r="F9" i="130"/>
  <c r="F10" i="130"/>
  <c r="H52" i="37"/>
  <c r="M160" i="154" s="1"/>
  <c r="H82" i="37"/>
  <c r="M162" i="154" s="1"/>
  <c r="H89" i="37"/>
  <c r="M164" i="154" s="1"/>
  <c r="D42" i="3"/>
  <c r="L86" i="154" s="1"/>
  <c r="D62" i="3"/>
  <c r="M86" i="154" s="1"/>
  <c r="F42" i="3"/>
  <c r="L87" i="154" s="1"/>
  <c r="F62" i="3"/>
  <c r="M87" i="154" s="1"/>
  <c r="H42" i="3"/>
  <c r="L88" i="154" s="1"/>
  <c r="H62" i="3"/>
  <c r="M88" i="154" s="1"/>
  <c r="L42" i="3"/>
  <c r="L90" i="154" s="1"/>
  <c r="L62" i="3"/>
  <c r="M90" i="154" s="1"/>
  <c r="M106" i="154" s="1"/>
  <c r="J42" i="3"/>
  <c r="L89" i="154" s="1"/>
  <c r="J62" i="3"/>
  <c r="M89" i="154" s="1"/>
  <c r="M105" i="154" s="1"/>
  <c r="P76" i="128"/>
  <c r="P80" i="128"/>
  <c r="N51" i="128"/>
  <c r="N55" i="128" s="1"/>
  <c r="N76" i="128"/>
  <c r="N80" i="128"/>
  <c r="H20" i="138"/>
  <c r="J30" i="37"/>
  <c r="J31" i="37"/>
  <c r="J32" i="37"/>
  <c r="J33" i="37"/>
  <c r="J34" i="37"/>
  <c r="J35" i="37"/>
  <c r="J36" i="37"/>
  <c r="J37" i="37"/>
  <c r="J38" i="37"/>
  <c r="J39" i="37"/>
  <c r="J11" i="37"/>
  <c r="J12" i="37"/>
  <c r="J13" i="37"/>
  <c r="J14" i="37"/>
  <c r="J15" i="37"/>
  <c r="J16" i="37"/>
  <c r="J17" i="37"/>
  <c r="J18" i="37"/>
  <c r="J19" i="37"/>
  <c r="J20" i="37"/>
  <c r="J21" i="37"/>
  <c r="J22" i="37"/>
  <c r="J23" i="37"/>
  <c r="J24" i="37"/>
  <c r="J25" i="37"/>
  <c r="J26" i="37"/>
  <c r="J49" i="37"/>
  <c r="H14" i="149"/>
  <c r="H13" i="149"/>
  <c r="H12" i="149"/>
  <c r="D12" i="128"/>
  <c r="D24" i="128"/>
  <c r="D13" i="128"/>
  <c r="D14" i="128"/>
  <c r="D15" i="128"/>
  <c r="D16" i="128"/>
  <c r="D17" i="128"/>
  <c r="D18" i="128"/>
  <c r="D19" i="128"/>
  <c r="D20" i="128"/>
  <c r="D21" i="128"/>
  <c r="D22" i="128"/>
  <c r="D23" i="128"/>
  <c r="F12" i="128"/>
  <c r="F24" i="128"/>
  <c r="F18" i="128"/>
  <c r="F19" i="128"/>
  <c r="F20" i="128"/>
  <c r="F21" i="128"/>
  <c r="F13" i="128"/>
  <c r="F14" i="128"/>
  <c r="F15" i="128"/>
  <c r="F16" i="128"/>
  <c r="F17" i="128"/>
  <c r="F22" i="128"/>
  <c r="F23" i="128"/>
  <c r="H12" i="128"/>
  <c r="H24" i="128"/>
  <c r="H13" i="128"/>
  <c r="H14" i="128"/>
  <c r="H15" i="128"/>
  <c r="H16" i="128"/>
  <c r="H17" i="128"/>
  <c r="H18" i="128"/>
  <c r="H19" i="128"/>
  <c r="H20" i="128"/>
  <c r="H21" i="128"/>
  <c r="H22" i="128"/>
  <c r="H23" i="128"/>
  <c r="J12" i="128"/>
  <c r="J24" i="128"/>
  <c r="J13" i="128"/>
  <c r="J14" i="128"/>
  <c r="J15" i="128"/>
  <c r="J16" i="128"/>
  <c r="J17" i="128"/>
  <c r="J18" i="128"/>
  <c r="J19" i="128"/>
  <c r="J20" i="128"/>
  <c r="J21" i="128"/>
  <c r="J22" i="128"/>
  <c r="J23" i="128"/>
  <c r="L37" i="128"/>
  <c r="L62" i="128"/>
  <c r="L12" i="128"/>
  <c r="L13" i="128"/>
  <c r="L14" i="128"/>
  <c r="L15" i="128"/>
  <c r="L16" i="128"/>
  <c r="L17" i="128"/>
  <c r="L18" i="128"/>
  <c r="L19" i="128"/>
  <c r="L20" i="128"/>
  <c r="L21" i="128"/>
  <c r="L22" i="128"/>
  <c r="L23" i="128"/>
  <c r="L49" i="128"/>
  <c r="L51" i="128" s="1"/>
  <c r="L74" i="128"/>
  <c r="N12" i="128"/>
  <c r="N26" i="128" s="1"/>
  <c r="N13" i="128"/>
  <c r="N14" i="128"/>
  <c r="N15" i="128"/>
  <c r="N16" i="128"/>
  <c r="N17" i="128"/>
  <c r="N18" i="128"/>
  <c r="N19" i="128"/>
  <c r="N20" i="128"/>
  <c r="N21" i="128"/>
  <c r="N22" i="128"/>
  <c r="N23" i="128"/>
  <c r="N24" i="128"/>
  <c r="I46" i="133"/>
  <c r="J45" i="37"/>
  <c r="J48" i="37"/>
  <c r="J52" i="37"/>
  <c r="J70" i="37"/>
  <c r="J84" i="37"/>
  <c r="J72" i="37"/>
  <c r="J86" i="37"/>
  <c r="J61" i="37"/>
  <c r="J62" i="37"/>
  <c r="J63" i="37"/>
  <c r="J64" i="37"/>
  <c r="J65" i="37"/>
  <c r="J66" i="37"/>
  <c r="J67" i="37"/>
  <c r="J68" i="37"/>
  <c r="J82" i="37" s="1"/>
  <c r="J71" i="37"/>
  <c r="J73" i="37"/>
  <c r="J74" i="37"/>
  <c r="J78" i="37"/>
  <c r="J89" i="37"/>
  <c r="D10" i="129"/>
  <c r="D11" i="129"/>
  <c r="D12" i="129"/>
  <c r="D13" i="129"/>
  <c r="D14" i="129"/>
  <c r="D15" i="129"/>
  <c r="D16" i="129"/>
  <c r="D17" i="129"/>
  <c r="D18" i="129"/>
  <c r="D19" i="129"/>
  <c r="D20" i="129"/>
  <c r="D21" i="129"/>
  <c r="N29" i="3"/>
  <c r="D55" i="134"/>
  <c r="D56" i="134"/>
  <c r="D57" i="134"/>
  <c r="D58" i="134"/>
  <c r="D59" i="134"/>
  <c r="D60" i="134"/>
  <c r="D61" i="134"/>
  <c r="D62" i="134"/>
  <c r="D63" i="134"/>
  <c r="D64" i="134"/>
  <c r="D65" i="134"/>
  <c r="D66" i="134"/>
  <c r="F55" i="134"/>
  <c r="F56" i="134"/>
  <c r="F57" i="134"/>
  <c r="F58" i="134"/>
  <c r="F59" i="134"/>
  <c r="F60" i="134"/>
  <c r="F61" i="134"/>
  <c r="F62" i="134"/>
  <c r="F63" i="134"/>
  <c r="F64" i="134"/>
  <c r="F65" i="134"/>
  <c r="F66" i="134"/>
  <c r="H55" i="134"/>
  <c r="H56" i="134"/>
  <c r="H57" i="134"/>
  <c r="H58" i="134"/>
  <c r="H59" i="134"/>
  <c r="H60" i="134"/>
  <c r="H61" i="134"/>
  <c r="H62" i="134"/>
  <c r="H63" i="134"/>
  <c r="H64" i="134"/>
  <c r="H65" i="134"/>
  <c r="H66" i="134"/>
  <c r="J55" i="134"/>
  <c r="J56" i="134"/>
  <c r="J57" i="134"/>
  <c r="J58" i="134"/>
  <c r="J59" i="134"/>
  <c r="J60" i="134"/>
  <c r="J61" i="134"/>
  <c r="J62" i="134"/>
  <c r="J63" i="134"/>
  <c r="J64" i="134"/>
  <c r="J65" i="134"/>
  <c r="J66" i="134"/>
  <c r="L55" i="134"/>
  <c r="L56" i="134"/>
  <c r="L57" i="134"/>
  <c r="L58" i="134"/>
  <c r="L59" i="134"/>
  <c r="L60" i="134"/>
  <c r="L61" i="134"/>
  <c r="L62" i="134"/>
  <c r="L63" i="134"/>
  <c r="L64" i="134"/>
  <c r="L65" i="134"/>
  <c r="L66" i="134"/>
  <c r="L33" i="134"/>
  <c r="L34" i="134"/>
  <c r="L35" i="134"/>
  <c r="L13" i="134" s="1"/>
  <c r="L36" i="134"/>
  <c r="L37" i="134"/>
  <c r="L15" i="134" s="1"/>
  <c r="L38" i="134"/>
  <c r="L39" i="134"/>
  <c r="L17" i="134" s="1"/>
  <c r="L40" i="134"/>
  <c r="L41" i="134"/>
  <c r="L42" i="134"/>
  <c r="L43" i="134"/>
  <c r="L44" i="134"/>
  <c r="J33" i="134"/>
  <c r="J11" i="134" s="1"/>
  <c r="J34" i="134"/>
  <c r="J35" i="134"/>
  <c r="J13" i="134" s="1"/>
  <c r="J36" i="134"/>
  <c r="J14" i="134" s="1"/>
  <c r="J37" i="134"/>
  <c r="J38" i="134"/>
  <c r="J39" i="134"/>
  <c r="J17" i="134" s="1"/>
  <c r="J40" i="134"/>
  <c r="J18" i="134" s="1"/>
  <c r="J41" i="134"/>
  <c r="J19" i="134" s="1"/>
  <c r="J42" i="134"/>
  <c r="J43" i="134"/>
  <c r="J21" i="134" s="1"/>
  <c r="J44" i="134"/>
  <c r="J22" i="134" s="1"/>
  <c r="H33" i="134"/>
  <c r="H34" i="134"/>
  <c r="H35" i="134"/>
  <c r="H13" i="134" s="1"/>
  <c r="H36" i="134"/>
  <c r="H14" i="134" s="1"/>
  <c r="H37" i="134"/>
  <c r="H38" i="134"/>
  <c r="H39" i="134"/>
  <c r="H17" i="134" s="1"/>
  <c r="H40" i="134"/>
  <c r="H18" i="134" s="1"/>
  <c r="H41" i="134"/>
  <c r="H42" i="134"/>
  <c r="H43" i="134"/>
  <c r="H21" i="134" s="1"/>
  <c r="H44" i="134"/>
  <c r="H22" i="134" s="1"/>
  <c r="F33" i="134"/>
  <c r="F11" i="134" s="1"/>
  <c r="F34" i="134"/>
  <c r="F35" i="134"/>
  <c r="F13" i="134" s="1"/>
  <c r="F36" i="134"/>
  <c r="F14" i="134" s="1"/>
  <c r="F37" i="134"/>
  <c r="F38" i="134"/>
  <c r="F39" i="134"/>
  <c r="F17" i="134" s="1"/>
  <c r="F40" i="134"/>
  <c r="F18" i="134" s="1"/>
  <c r="F41" i="134"/>
  <c r="F42" i="134"/>
  <c r="F43" i="134"/>
  <c r="F21" i="134" s="1"/>
  <c r="F44" i="134"/>
  <c r="F22" i="134" s="1"/>
  <c r="D33" i="134"/>
  <c r="D11" i="134" s="1"/>
  <c r="D34" i="134"/>
  <c r="D12" i="134" s="1"/>
  <c r="D35" i="134"/>
  <c r="D36" i="134"/>
  <c r="N36" i="134" s="1"/>
  <c r="D37" i="134"/>
  <c r="D15" i="134" s="1"/>
  <c r="D38" i="134"/>
  <c r="N38" i="134" s="1"/>
  <c r="D39" i="134"/>
  <c r="N39" i="134" s="1"/>
  <c r="D40" i="134"/>
  <c r="N40" i="134" s="1"/>
  <c r="D41" i="134"/>
  <c r="D42" i="134"/>
  <c r="D43" i="134"/>
  <c r="D44" i="134"/>
  <c r="N44" i="134" s="1"/>
  <c r="H12" i="137"/>
  <c r="L12" i="137" s="1"/>
  <c r="H13" i="137"/>
  <c r="L13" i="137" s="1"/>
  <c r="H14" i="137"/>
  <c r="L14" i="137" s="1"/>
  <c r="H15" i="137"/>
  <c r="L15" i="137" s="1"/>
  <c r="H16" i="137"/>
  <c r="L16" i="137" s="1"/>
  <c r="H17" i="137"/>
  <c r="L17" i="137" s="1"/>
  <c r="H18" i="137"/>
  <c r="L18" i="137" s="1"/>
  <c r="H19" i="137"/>
  <c r="L19" i="137" s="1"/>
  <c r="H20" i="137"/>
  <c r="L20" i="137" s="1"/>
  <c r="H21" i="137"/>
  <c r="L21" i="137"/>
  <c r="H22" i="137"/>
  <c r="L22" i="137" s="1"/>
  <c r="H23" i="137"/>
  <c r="L23" i="137" s="1"/>
  <c r="A12" i="137"/>
  <c r="A13" i="137"/>
  <c r="A14" i="137"/>
  <c r="A15" i="137" s="1"/>
  <c r="A16" i="137" s="1"/>
  <c r="A17" i="137" s="1"/>
  <c r="A18" i="137" s="1"/>
  <c r="A19" i="137" s="1"/>
  <c r="A20" i="137" s="1"/>
  <c r="A21" i="137" s="1"/>
  <c r="A22" i="137" s="1"/>
  <c r="A23" i="137" s="1"/>
  <c r="A24" i="137" s="1"/>
  <c r="A25" i="137" s="1"/>
  <c r="F55" i="130"/>
  <c r="F56" i="130" s="1"/>
  <c r="A11" i="132"/>
  <c r="A12" i="132" s="1"/>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J11" i="132"/>
  <c r="F28" i="132" s="1"/>
  <c r="J12" i="132"/>
  <c r="J17" i="132"/>
  <c r="J18" i="132"/>
  <c r="J19" i="132"/>
  <c r="F21" i="132"/>
  <c r="H21" i="132"/>
  <c r="A11" i="131"/>
  <c r="J11" i="131"/>
  <c r="A12" i="131"/>
  <c r="A13" i="131" s="1"/>
  <c r="A14" i="131" s="1"/>
  <c r="A15" i="131" s="1"/>
  <c r="A16" i="131" s="1"/>
  <c r="A18" i="131" s="1"/>
  <c r="A19" i="131" s="1"/>
  <c r="A20" i="131" s="1"/>
  <c r="A21" i="131" s="1"/>
  <c r="A22" i="131" s="1"/>
  <c r="A23" i="131" s="1"/>
  <c r="A24" i="131" s="1"/>
  <c r="A25" i="131" s="1"/>
  <c r="A26" i="131" s="1"/>
  <c r="A27" i="131" s="1"/>
  <c r="A28" i="131" s="1"/>
  <c r="A29" i="131" s="1"/>
  <c r="A30" i="131" s="1"/>
  <c r="A31" i="131" s="1"/>
  <c r="A32" i="131" s="1"/>
  <c r="A33" i="131" s="1"/>
  <c r="A34" i="131" s="1"/>
  <c r="A35" i="131" s="1"/>
  <c r="A36" i="131" s="1"/>
  <c r="A37" i="131" s="1"/>
  <c r="A38" i="131" s="1"/>
  <c r="A39" i="131" s="1"/>
  <c r="J12" i="131"/>
  <c r="J17" i="131"/>
  <c r="J26" i="131"/>
  <c r="J27" i="131"/>
  <c r="J28" i="131"/>
  <c r="J29" i="131"/>
  <c r="F31" i="131"/>
  <c r="H31" i="131"/>
  <c r="J35" i="131"/>
  <c r="J36" i="131"/>
  <c r="J37" i="131"/>
  <c r="F39" i="131"/>
  <c r="H39" i="131"/>
  <c r="A11" i="84"/>
  <c r="A12" i="84" s="1"/>
  <c r="A13" i="84" s="1"/>
  <c r="A14" i="84" s="1"/>
  <c r="A15" i="84" s="1"/>
  <c r="A16" i="84" s="1"/>
  <c r="A17" i="84" s="1"/>
  <c r="A18" i="84" s="1"/>
  <c r="A19" i="84" s="1"/>
  <c r="A20" i="84" s="1"/>
  <c r="A21" i="84" s="1"/>
  <c r="A22" i="84" s="1"/>
  <c r="A23" i="84" s="1"/>
  <c r="A24" i="84" s="1"/>
  <c r="A25" i="84" s="1"/>
  <c r="A26" i="84" s="1"/>
  <c r="J12" i="84"/>
  <c r="J13" i="84"/>
  <c r="J17" i="84"/>
  <c r="J18" i="84"/>
  <c r="J19" i="84"/>
  <c r="J20" i="84"/>
  <c r="F23" i="84"/>
  <c r="H23" i="84"/>
  <c r="J26" i="84"/>
  <c r="J10" i="138"/>
  <c r="A11" i="138"/>
  <c r="A12" i="138" s="1"/>
  <c r="A13" i="138" s="1"/>
  <c r="A14" i="138" s="1"/>
  <c r="A15" i="138" s="1"/>
  <c r="A16" i="138" s="1"/>
  <c r="A17" i="138" s="1"/>
  <c r="A18" i="138" s="1"/>
  <c r="A19" i="138" s="1"/>
  <c r="A20" i="138" s="1"/>
  <c r="J12" i="138"/>
  <c r="J14" i="138"/>
  <c r="J16" i="138"/>
  <c r="J18" i="138"/>
  <c r="F20" i="138"/>
  <c r="D9" i="129"/>
  <c r="A47" i="129"/>
  <c r="A48" i="129" s="1"/>
  <c r="A49" i="129" s="1"/>
  <c r="A50" i="129" s="1"/>
  <c r="A51" i="129" s="1"/>
  <c r="A52" i="129" s="1"/>
  <c r="A53" i="129" s="1"/>
  <c r="A54" i="129" s="1"/>
  <c r="A55" i="129" s="1"/>
  <c r="A56" i="129" s="1"/>
  <c r="A57" i="129" s="1"/>
  <c r="A58" i="129" s="1"/>
  <c r="A59" i="129" s="1"/>
  <c r="A60" i="129" s="1"/>
  <c r="A61" i="129" s="1"/>
  <c r="A12" i="128"/>
  <c r="A13" i="128" s="1"/>
  <c r="A14" i="128" s="1"/>
  <c r="A15" i="128" s="1"/>
  <c r="A16" i="128" s="1"/>
  <c r="A17" i="128" s="1"/>
  <c r="A18" i="128" s="1"/>
  <c r="A19" i="128" s="1"/>
  <c r="A20" i="128" s="1"/>
  <c r="A21" i="128" s="1"/>
  <c r="A22" i="128" s="1"/>
  <c r="A23" i="128" s="1"/>
  <c r="A24" i="128" s="1"/>
  <c r="A25" i="128" s="1"/>
  <c r="A26" i="128" s="1"/>
  <c r="A27" i="128" s="1"/>
  <c r="A28" i="128" s="1"/>
  <c r="A29" i="128" s="1"/>
  <c r="A30" i="128" s="1"/>
  <c r="A31" i="128" s="1"/>
  <c r="A32" i="128" s="1"/>
  <c r="A33"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I12" i="128"/>
  <c r="K12" i="128"/>
  <c r="O12" i="128"/>
  <c r="Q12" i="128"/>
  <c r="I13" i="128"/>
  <c r="K13" i="128"/>
  <c r="O13" i="128"/>
  <c r="Q13" i="128"/>
  <c r="I14" i="128"/>
  <c r="K14" i="128"/>
  <c r="O14" i="128"/>
  <c r="Q14" i="128"/>
  <c r="I15" i="128"/>
  <c r="K15" i="128"/>
  <c r="O15" i="128"/>
  <c r="Q15" i="128"/>
  <c r="I16" i="128"/>
  <c r="K16" i="128"/>
  <c r="O16" i="128"/>
  <c r="Q16" i="128"/>
  <c r="I17" i="128"/>
  <c r="K17" i="128"/>
  <c r="O17" i="128"/>
  <c r="Q17" i="128"/>
  <c r="I18" i="128"/>
  <c r="K18" i="128"/>
  <c r="O18" i="128"/>
  <c r="Q18" i="128"/>
  <c r="I19" i="128"/>
  <c r="K19" i="128"/>
  <c r="O19" i="128"/>
  <c r="Q19" i="128"/>
  <c r="I20" i="128"/>
  <c r="K20" i="128"/>
  <c r="O20" i="128"/>
  <c r="Q20" i="128"/>
  <c r="I21" i="128"/>
  <c r="K21" i="128"/>
  <c r="O21" i="128"/>
  <c r="Q21" i="128"/>
  <c r="I22" i="128"/>
  <c r="K22" i="128"/>
  <c r="O22" i="128"/>
  <c r="Q22" i="128"/>
  <c r="I23" i="128"/>
  <c r="K23" i="128"/>
  <c r="O23" i="128"/>
  <c r="Q23" i="128"/>
  <c r="I24" i="128"/>
  <c r="K24" i="128"/>
  <c r="O24" i="128"/>
  <c r="Q24" i="128"/>
  <c r="D27" i="128"/>
  <c r="H27" i="128"/>
  <c r="J27" i="128"/>
  <c r="N27" i="128"/>
  <c r="P27" i="128"/>
  <c r="R77" i="128"/>
  <c r="R52" i="128"/>
  <c r="D28" i="128"/>
  <c r="F28" i="128"/>
  <c r="H28" i="128"/>
  <c r="J28" i="128"/>
  <c r="N28" i="128"/>
  <c r="P28" i="128"/>
  <c r="R78" i="128"/>
  <c r="R53" i="128"/>
  <c r="R62" i="128"/>
  <c r="R63" i="128"/>
  <c r="R64" i="128"/>
  <c r="R65" i="128"/>
  <c r="R66" i="128"/>
  <c r="R67" i="128"/>
  <c r="R68" i="128"/>
  <c r="R69" i="128"/>
  <c r="R70" i="128"/>
  <c r="R71" i="128"/>
  <c r="R72" i="128"/>
  <c r="R73" i="128"/>
  <c r="R74" i="128"/>
  <c r="R76" i="128" s="1"/>
  <c r="L76" i="128"/>
  <c r="L80" i="128"/>
  <c r="A8" i="133"/>
  <c r="A9" i="133" s="1"/>
  <c r="A10" i="133"/>
  <c r="A11" i="133" s="1"/>
  <c r="A12" i="133" s="1"/>
  <c r="A15" i="133" s="1"/>
  <c r="A16" i="133"/>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A43" i="133" s="1"/>
  <c r="A44" i="133" s="1"/>
  <c r="A45" i="133" s="1"/>
  <c r="A46" i="133" s="1"/>
  <c r="A47" i="133" s="1"/>
  <c r="A48" i="133" s="1"/>
  <c r="A49" i="133" s="1"/>
  <c r="A50" i="133" s="1"/>
  <c r="A51" i="133" s="1"/>
  <c r="A52" i="133" s="1"/>
  <c r="A53" i="133" s="1"/>
  <c r="A54" i="133" s="1"/>
  <c r="A55" i="133" s="1"/>
  <c r="A56" i="133" s="1"/>
  <c r="A57" i="133" s="1"/>
  <c r="A58" i="133" s="1"/>
  <c r="A59" i="133" s="1"/>
  <c r="A60" i="133" s="1"/>
  <c r="A61" i="133" s="1"/>
  <c r="A62" i="133" s="1"/>
  <c r="A63" i="133" s="1"/>
  <c r="A64" i="133" s="1"/>
  <c r="A65" i="133" s="1"/>
  <c r="A66" i="133" s="1"/>
  <c r="A67" i="133" s="1"/>
  <c r="A68" i="133" s="1"/>
  <c r="A69" i="133" s="1"/>
  <c r="A70" i="133" s="1"/>
  <c r="A71" i="133" s="1"/>
  <c r="A72" i="133" s="1"/>
  <c r="A73" i="133" s="1"/>
  <c r="A74" i="133" s="1"/>
  <c r="A75" i="133" s="1"/>
  <c r="A76" i="133" s="1"/>
  <c r="A77" i="133" s="1"/>
  <c r="A78" i="133" s="1"/>
  <c r="A79" i="133" s="1"/>
  <c r="A80" i="133" s="1"/>
  <c r="A81" i="133" s="1"/>
  <c r="F23" i="133"/>
  <c r="E23" i="133"/>
  <c r="I23" i="133" s="1"/>
  <c r="F24" i="133"/>
  <c r="E24" i="133"/>
  <c r="F25" i="133"/>
  <c r="E25" i="133"/>
  <c r="I25" i="133" s="1"/>
  <c r="F26" i="133"/>
  <c r="E26" i="133"/>
  <c r="F27" i="133"/>
  <c r="E27" i="133"/>
  <c r="I27" i="133" s="1"/>
  <c r="F28" i="133"/>
  <c r="E28" i="133"/>
  <c r="F29" i="133"/>
  <c r="E29" i="133"/>
  <c r="I29" i="133" s="1"/>
  <c r="F30" i="133"/>
  <c r="E30" i="133"/>
  <c r="F31" i="133"/>
  <c r="E31" i="133"/>
  <c r="I31" i="133" s="1"/>
  <c r="F32" i="133"/>
  <c r="E32" i="133"/>
  <c r="F33" i="133"/>
  <c r="E33" i="133"/>
  <c r="I33" i="133" s="1"/>
  <c r="F34" i="133"/>
  <c r="E34" i="133"/>
  <c r="I34" i="133" s="1"/>
  <c r="F35" i="133"/>
  <c r="E35" i="133"/>
  <c r="I47" i="133"/>
  <c r="I48" i="133"/>
  <c r="I49" i="133"/>
  <c r="I50" i="133"/>
  <c r="I51" i="133"/>
  <c r="I52" i="133"/>
  <c r="I53" i="133"/>
  <c r="I54" i="133"/>
  <c r="I55" i="133"/>
  <c r="I56" i="133"/>
  <c r="I57" i="133"/>
  <c r="E59" i="133"/>
  <c r="I67" i="133"/>
  <c r="I68" i="133"/>
  <c r="I69" i="133"/>
  <c r="I70" i="133"/>
  <c r="I71" i="133"/>
  <c r="I72" i="133"/>
  <c r="I73" i="133"/>
  <c r="I74" i="133"/>
  <c r="I75" i="133"/>
  <c r="I76" i="133"/>
  <c r="I77" i="133"/>
  <c r="I78" i="133"/>
  <c r="I79" i="133"/>
  <c r="E81" i="133"/>
  <c r="A10" i="134"/>
  <c r="D32" i="134"/>
  <c r="D54" i="134"/>
  <c r="F32" i="134"/>
  <c r="F54" i="134"/>
  <c r="G10" i="134"/>
  <c r="H32" i="134"/>
  <c r="H54" i="134"/>
  <c r="I10" i="134"/>
  <c r="J32" i="134"/>
  <c r="J54" i="134"/>
  <c r="K10" i="134"/>
  <c r="L32" i="134"/>
  <c r="L10" i="134" s="1"/>
  <c r="L54" i="134"/>
  <c r="A11" i="134"/>
  <c r="G11" i="134"/>
  <c r="I11" i="134"/>
  <c r="K11" i="134"/>
  <c r="A12" i="134"/>
  <c r="A13" i="134" s="1"/>
  <c r="A14" i="134" s="1"/>
  <c r="A15" i="134" s="1"/>
  <c r="A16" i="134" s="1"/>
  <c r="A17" i="134" s="1"/>
  <c r="A18" i="134" s="1"/>
  <c r="A19" i="134" s="1"/>
  <c r="A20" i="134" s="1"/>
  <c r="A21" i="134" s="1"/>
  <c r="A22" i="134" s="1"/>
  <c r="A23" i="134" s="1"/>
  <c r="A24" i="134" s="1"/>
  <c r="A31" i="134" s="1"/>
  <c r="A32" i="134" s="1"/>
  <c r="A33" i="134" s="1"/>
  <c r="A34" i="134" s="1"/>
  <c r="A35" i="134" s="1"/>
  <c r="A36" i="134" s="1"/>
  <c r="A37" i="134" s="1"/>
  <c r="A38" i="134" s="1"/>
  <c r="A39" i="134" s="1"/>
  <c r="A40" i="134" s="1"/>
  <c r="A41" i="134" s="1"/>
  <c r="A42" i="134" s="1"/>
  <c r="A43" i="134" s="1"/>
  <c r="A44" i="134" s="1"/>
  <c r="A45" i="134" s="1"/>
  <c r="A46" i="134" s="1"/>
  <c r="A53" i="134" s="1"/>
  <c r="A54" i="134" s="1"/>
  <c r="A55" i="134" s="1"/>
  <c r="A56" i="134" s="1"/>
  <c r="A57" i="134" s="1"/>
  <c r="A58" i="134" s="1"/>
  <c r="A59" i="134" s="1"/>
  <c r="A60" i="134" s="1"/>
  <c r="A61" i="134" s="1"/>
  <c r="A62" i="134" s="1"/>
  <c r="A63" i="134" s="1"/>
  <c r="A64" i="134" s="1"/>
  <c r="A65" i="134" s="1"/>
  <c r="A66" i="134" s="1"/>
  <c r="A67" i="134" s="1"/>
  <c r="A68" i="134" s="1"/>
  <c r="G12" i="134"/>
  <c r="I12" i="134"/>
  <c r="K12" i="134"/>
  <c r="D13" i="134"/>
  <c r="G13" i="134"/>
  <c r="I13" i="134"/>
  <c r="K13" i="134"/>
  <c r="G14" i="134"/>
  <c r="I14" i="134"/>
  <c r="K14" i="134"/>
  <c r="F15" i="134"/>
  <c r="G15" i="134"/>
  <c r="I15" i="134"/>
  <c r="K15" i="134"/>
  <c r="G16" i="134"/>
  <c r="I16" i="134"/>
  <c r="K16" i="134"/>
  <c r="D17" i="134"/>
  <c r="G17" i="134"/>
  <c r="I17" i="134"/>
  <c r="K17" i="134"/>
  <c r="G18" i="134"/>
  <c r="I18" i="134"/>
  <c r="K18" i="134"/>
  <c r="G19" i="134"/>
  <c r="I19" i="134"/>
  <c r="K19" i="134"/>
  <c r="L19" i="134"/>
  <c r="G20" i="134"/>
  <c r="I20" i="134"/>
  <c r="K20" i="134"/>
  <c r="G21" i="134"/>
  <c r="I21" i="134"/>
  <c r="K21" i="134"/>
  <c r="G22" i="134"/>
  <c r="I22" i="134"/>
  <c r="K22" i="134"/>
  <c r="H68" i="134"/>
  <c r="N30" i="3"/>
  <c r="N31" i="3"/>
  <c r="N32" i="3"/>
  <c r="N33" i="3"/>
  <c r="N34" i="3"/>
  <c r="N35" i="3"/>
  <c r="N36" i="3"/>
  <c r="N37" i="3"/>
  <c r="N38" i="3"/>
  <c r="N39" i="3"/>
  <c r="N40" i="3"/>
  <c r="N30" i="127"/>
  <c r="N31" i="127"/>
  <c r="N32" i="127"/>
  <c r="N33" i="127"/>
  <c r="N34" i="127"/>
  <c r="N35" i="127"/>
  <c r="N36" i="127"/>
  <c r="N37" i="127"/>
  <c r="N38" i="127"/>
  <c r="N39" i="127"/>
  <c r="N40" i="127"/>
  <c r="N41" i="127"/>
  <c r="N48" i="3"/>
  <c r="N49" i="3"/>
  <c r="N50" i="3"/>
  <c r="N51" i="3"/>
  <c r="N52" i="3"/>
  <c r="N53" i="3"/>
  <c r="N54" i="3"/>
  <c r="N55" i="3"/>
  <c r="N56" i="3"/>
  <c r="N57" i="3"/>
  <c r="N58" i="3"/>
  <c r="N59" i="3"/>
  <c r="N60" i="3"/>
  <c r="N50" i="127"/>
  <c r="N51" i="127"/>
  <c r="N52" i="127"/>
  <c r="N53" i="127"/>
  <c r="N54" i="127"/>
  <c r="N55" i="127"/>
  <c r="N56" i="127"/>
  <c r="N57" i="127"/>
  <c r="N58" i="127"/>
  <c r="N59" i="127"/>
  <c r="N60" i="127"/>
  <c r="N61" i="127"/>
  <c r="N62" i="127"/>
  <c r="N64" i="127"/>
  <c r="N57" i="134"/>
  <c r="N61" i="134"/>
  <c r="N65" i="134"/>
  <c r="A8" i="127"/>
  <c r="A9" i="127" s="1"/>
  <c r="A10" i="127" s="1"/>
  <c r="A11" i="127" s="1"/>
  <c r="A12" i="127" s="1"/>
  <c r="A13" i="127" s="1"/>
  <c r="A14" i="127" s="1"/>
  <c r="A15" i="127" s="1"/>
  <c r="A16" i="127" s="1"/>
  <c r="A17" i="127" s="1"/>
  <c r="A18" i="127" s="1"/>
  <c r="A19" i="127" s="1"/>
  <c r="A20" i="127" s="1"/>
  <c r="A21" i="127" s="1"/>
  <c r="A22" i="127" s="1"/>
  <c r="A28" i="127" s="1"/>
  <c r="A29" i="127" s="1"/>
  <c r="A30" i="127" s="1"/>
  <c r="A31" i="127" s="1"/>
  <c r="A32" i="127" s="1"/>
  <c r="A33" i="127" s="1"/>
  <c r="A34" i="127" s="1"/>
  <c r="A35" i="127" s="1"/>
  <c r="A36" i="127" s="1"/>
  <c r="A37" i="127" s="1"/>
  <c r="A38" i="127" s="1"/>
  <c r="A39" i="127" s="1"/>
  <c r="A40" i="127" s="1"/>
  <c r="A41" i="127" s="1"/>
  <c r="A42" i="127" s="1"/>
  <c r="A43" i="127" s="1"/>
  <c r="A49" i="127" s="1"/>
  <c r="A50" i="127" s="1"/>
  <c r="A51" i="127" s="1"/>
  <c r="A52" i="127" s="1"/>
  <c r="A53" i="127" s="1"/>
  <c r="A54" i="127" s="1"/>
  <c r="A55" i="127" s="1"/>
  <c r="A56" i="127" s="1"/>
  <c r="A57" i="127" s="1"/>
  <c r="A58" i="127" s="1"/>
  <c r="A59" i="127" s="1"/>
  <c r="A60" i="127" s="1"/>
  <c r="A61" i="127" s="1"/>
  <c r="A62" i="127" s="1"/>
  <c r="A63" i="127" s="1"/>
  <c r="A64" i="127" s="1"/>
  <c r="A67" i="127" s="1"/>
  <c r="A68" i="127" s="1"/>
  <c r="A69" i="127" s="1"/>
  <c r="A70" i="127" s="1"/>
  <c r="A71" i="127" s="1"/>
  <c r="A72" i="127" s="1"/>
  <c r="A73" i="127" s="1"/>
  <c r="A74" i="127" s="1"/>
  <c r="A75" i="127" s="1"/>
  <c r="A76" i="127" s="1"/>
  <c r="A77" i="127" s="1"/>
  <c r="A78" i="127" s="1"/>
  <c r="A79" i="127" s="1"/>
  <c r="A80" i="127" s="1"/>
  <c r="A81" i="127" s="1"/>
  <c r="A82" i="127" s="1"/>
  <c r="A83" i="127" s="1"/>
  <c r="D8" i="127"/>
  <c r="F8" i="127"/>
  <c r="G8" i="127"/>
  <c r="H8" i="127"/>
  <c r="I8" i="127"/>
  <c r="J8" i="127"/>
  <c r="K8" i="127"/>
  <c r="L8" i="127"/>
  <c r="D9" i="127"/>
  <c r="F9" i="127"/>
  <c r="G9" i="127"/>
  <c r="H9" i="127"/>
  <c r="I9" i="127"/>
  <c r="J9" i="127"/>
  <c r="K9" i="127"/>
  <c r="L9" i="127"/>
  <c r="D10" i="127"/>
  <c r="F10" i="127"/>
  <c r="G10" i="127"/>
  <c r="H10" i="127"/>
  <c r="I10" i="127"/>
  <c r="J10" i="127"/>
  <c r="K10" i="127"/>
  <c r="L10" i="127"/>
  <c r="D11" i="127"/>
  <c r="F11" i="127"/>
  <c r="G11" i="127"/>
  <c r="H11" i="127"/>
  <c r="I11" i="127"/>
  <c r="J11" i="127"/>
  <c r="K11" i="127"/>
  <c r="L11" i="127"/>
  <c r="D12" i="127"/>
  <c r="F12" i="127"/>
  <c r="G12" i="127"/>
  <c r="H12" i="127"/>
  <c r="I12" i="127"/>
  <c r="J12" i="127"/>
  <c r="K12" i="127"/>
  <c r="L12" i="127"/>
  <c r="D13" i="127"/>
  <c r="F13" i="127"/>
  <c r="G13" i="127"/>
  <c r="H13" i="127"/>
  <c r="I13" i="127"/>
  <c r="J13" i="127"/>
  <c r="K13" i="127"/>
  <c r="L13" i="127"/>
  <c r="D14" i="127"/>
  <c r="F14" i="127"/>
  <c r="G14" i="127"/>
  <c r="H14" i="127"/>
  <c r="I14" i="127"/>
  <c r="J14" i="127"/>
  <c r="K14" i="127"/>
  <c r="L14" i="127"/>
  <c r="D15" i="127"/>
  <c r="F15" i="127"/>
  <c r="G15" i="127"/>
  <c r="H15" i="127"/>
  <c r="I15" i="127"/>
  <c r="J15" i="127"/>
  <c r="K15" i="127"/>
  <c r="L15" i="127"/>
  <c r="D16" i="127"/>
  <c r="F16" i="127"/>
  <c r="G16" i="127"/>
  <c r="H16" i="127"/>
  <c r="I16" i="127"/>
  <c r="J16" i="127"/>
  <c r="K16" i="127"/>
  <c r="L16" i="127"/>
  <c r="D17" i="127"/>
  <c r="F17" i="127"/>
  <c r="G17" i="127"/>
  <c r="H17" i="127"/>
  <c r="I17" i="127"/>
  <c r="J17" i="127"/>
  <c r="K17" i="127"/>
  <c r="L17" i="127"/>
  <c r="D18" i="127"/>
  <c r="F18" i="127"/>
  <c r="G18" i="127"/>
  <c r="H18" i="127"/>
  <c r="I18" i="127"/>
  <c r="J18" i="127"/>
  <c r="K18" i="127"/>
  <c r="L18" i="127"/>
  <c r="D19" i="127"/>
  <c r="F19" i="127"/>
  <c r="G19" i="127"/>
  <c r="H19" i="127"/>
  <c r="I19" i="127"/>
  <c r="J19" i="127"/>
  <c r="K19" i="127"/>
  <c r="L19" i="127"/>
  <c r="D20" i="127"/>
  <c r="F20" i="127"/>
  <c r="G20" i="127"/>
  <c r="H20" i="127"/>
  <c r="I20" i="127"/>
  <c r="J20" i="127"/>
  <c r="K20" i="127"/>
  <c r="L20" i="127"/>
  <c r="H22" i="127"/>
  <c r="D8" i="3"/>
  <c r="F8" i="3"/>
  <c r="G8" i="3"/>
  <c r="H8" i="3"/>
  <c r="I8" i="3"/>
  <c r="J8" i="3"/>
  <c r="K8" i="3"/>
  <c r="L8" i="3"/>
  <c r="D9" i="3"/>
  <c r="F9" i="3"/>
  <c r="G9" i="3"/>
  <c r="H9" i="3"/>
  <c r="I9" i="3"/>
  <c r="J9" i="3"/>
  <c r="K9" i="3"/>
  <c r="L9" i="3"/>
  <c r="D10" i="3"/>
  <c r="F10" i="3"/>
  <c r="G10" i="3"/>
  <c r="H10" i="3"/>
  <c r="I10" i="3"/>
  <c r="J10" i="3"/>
  <c r="K10" i="3"/>
  <c r="L10" i="3"/>
  <c r="D11" i="3"/>
  <c r="F11" i="3"/>
  <c r="G11" i="3"/>
  <c r="H11" i="3"/>
  <c r="I11" i="3"/>
  <c r="J11" i="3"/>
  <c r="K11" i="3"/>
  <c r="L11" i="3"/>
  <c r="D12" i="3"/>
  <c r="F12" i="3"/>
  <c r="G12" i="3"/>
  <c r="H12" i="3"/>
  <c r="I12" i="3"/>
  <c r="J12" i="3"/>
  <c r="K12" i="3"/>
  <c r="L12" i="3"/>
  <c r="D13" i="3"/>
  <c r="F13" i="3"/>
  <c r="G13" i="3"/>
  <c r="H13" i="3"/>
  <c r="I13" i="3"/>
  <c r="J13" i="3"/>
  <c r="K13" i="3"/>
  <c r="L13" i="3"/>
  <c r="D14" i="3"/>
  <c r="F14" i="3"/>
  <c r="G14" i="3"/>
  <c r="H14" i="3"/>
  <c r="I14" i="3"/>
  <c r="J14" i="3"/>
  <c r="K14" i="3"/>
  <c r="L14" i="3"/>
  <c r="D15" i="3"/>
  <c r="F15" i="3"/>
  <c r="G15" i="3"/>
  <c r="H15" i="3"/>
  <c r="I15" i="3"/>
  <c r="J15" i="3"/>
  <c r="K15" i="3"/>
  <c r="L15" i="3"/>
  <c r="D16" i="3"/>
  <c r="F16" i="3"/>
  <c r="G16" i="3"/>
  <c r="H16" i="3"/>
  <c r="I16" i="3"/>
  <c r="J16" i="3"/>
  <c r="K16" i="3"/>
  <c r="L16" i="3"/>
  <c r="D17" i="3"/>
  <c r="F17" i="3"/>
  <c r="G17" i="3"/>
  <c r="H17" i="3"/>
  <c r="I17" i="3"/>
  <c r="J17" i="3"/>
  <c r="K17" i="3"/>
  <c r="L17" i="3"/>
  <c r="D18" i="3"/>
  <c r="F18" i="3"/>
  <c r="G18" i="3"/>
  <c r="H18" i="3"/>
  <c r="I18" i="3"/>
  <c r="J18" i="3"/>
  <c r="K18" i="3"/>
  <c r="L18" i="3"/>
  <c r="D19" i="3"/>
  <c r="F19" i="3"/>
  <c r="G19" i="3"/>
  <c r="H19" i="3"/>
  <c r="I19" i="3"/>
  <c r="J19" i="3"/>
  <c r="K19" i="3"/>
  <c r="L19" i="3"/>
  <c r="D20" i="3"/>
  <c r="F20" i="3"/>
  <c r="G20" i="3"/>
  <c r="H20" i="3"/>
  <c r="I20" i="3"/>
  <c r="J20" i="3"/>
  <c r="K20" i="3"/>
  <c r="L20" i="3"/>
  <c r="A55" i="3"/>
  <c r="A56" i="3"/>
  <c r="A57" i="3"/>
  <c r="A58" i="3" s="1"/>
  <c r="A59" i="3" s="1"/>
  <c r="A60" i="3" s="1"/>
  <c r="A61" i="3" s="1"/>
  <c r="A62" i="3" s="1"/>
  <c r="A65" i="3" s="1"/>
  <c r="A66" i="3" s="1"/>
  <c r="A67" i="3" s="1"/>
  <c r="A68" i="3" s="1"/>
  <c r="A69" i="3" s="1"/>
  <c r="A70" i="3" s="1"/>
  <c r="A71" i="3" s="1"/>
  <c r="A72" i="3" s="1"/>
  <c r="A73" i="3" s="1"/>
  <c r="A74" i="3" s="1"/>
  <c r="A75" i="3" s="1"/>
  <c r="A76" i="3" s="1"/>
  <c r="A77" i="3" s="1"/>
  <c r="A78" i="3" s="1"/>
  <c r="A79" i="3" s="1"/>
  <c r="A80" i="3" s="1"/>
  <c r="A81" i="3" s="1"/>
  <c r="P14" i="128" l="1"/>
  <c r="R14" i="128" s="1"/>
  <c r="N37" i="134"/>
  <c r="N33" i="134"/>
  <c r="D172" i="154"/>
  <c r="D259" i="154"/>
  <c r="L260" i="154"/>
  <c r="D189" i="154"/>
  <c r="D193" i="154" s="1"/>
  <c r="D183" i="154"/>
  <c r="L11" i="134"/>
  <c r="L22" i="3"/>
  <c r="N41" i="134"/>
  <c r="J15" i="134"/>
  <c r="H19" i="134"/>
  <c r="H15" i="134"/>
  <c r="H11" i="134"/>
  <c r="F19" i="134"/>
  <c r="N34" i="134"/>
  <c r="D21" i="134"/>
  <c r="D20" i="134"/>
  <c r="D19" i="134"/>
  <c r="P22" i="128"/>
  <c r="R22" i="128" s="1"/>
  <c r="R43" i="128"/>
  <c r="R49" i="128"/>
  <c r="R41" i="128"/>
  <c r="P20" i="128"/>
  <c r="R20" i="128" s="1"/>
  <c r="I282" i="154"/>
  <c r="I283" i="154" s="1"/>
  <c r="I285" i="154"/>
  <c r="D14" i="154" s="1"/>
  <c r="M99" i="154"/>
  <c r="N18" i="127"/>
  <c r="M104" i="154"/>
  <c r="L20" i="134"/>
  <c r="L68" i="134"/>
  <c r="N54" i="134"/>
  <c r="J10" i="134"/>
  <c r="N59" i="134"/>
  <c r="N64" i="134"/>
  <c r="N60" i="134"/>
  <c r="N56" i="134"/>
  <c r="N55" i="134"/>
  <c r="N66" i="134"/>
  <c r="N62" i="134"/>
  <c r="N58" i="134"/>
  <c r="N63" i="134"/>
  <c r="D16" i="134"/>
  <c r="D174" i="154"/>
  <c r="M175" i="154"/>
  <c r="J20" i="138"/>
  <c r="N30" i="128"/>
  <c r="D113" i="154"/>
  <c r="D249" i="154"/>
  <c r="G249" i="154" s="1"/>
  <c r="J31" i="131"/>
  <c r="D250" i="154"/>
  <c r="M271" i="154"/>
  <c r="L271" i="154"/>
  <c r="J13" i="132"/>
  <c r="J28" i="132" s="1"/>
  <c r="D12" i="130"/>
  <c r="A14" i="130"/>
  <c r="A19" i="130" s="1"/>
  <c r="A20" i="130" s="1"/>
  <c r="L125" i="154"/>
  <c r="D125" i="154" s="1"/>
  <c r="D14" i="130"/>
  <c r="H42" i="37"/>
  <c r="H46" i="37" s="1"/>
  <c r="M158" i="154" s="1"/>
  <c r="J18" i="131"/>
  <c r="F42" i="37"/>
  <c r="F46" i="37" s="1"/>
  <c r="L158" i="154" s="1"/>
  <c r="F22" i="131"/>
  <c r="L240" i="154" s="1"/>
  <c r="H22" i="149"/>
  <c r="H26" i="149" s="1"/>
  <c r="D17" i="149"/>
  <c r="H17" i="149" s="1"/>
  <c r="H30" i="149" s="1"/>
  <c r="H15" i="149"/>
  <c r="H25" i="137"/>
  <c r="I29" i="154" s="1"/>
  <c r="J14" i="136"/>
  <c r="I269" i="154"/>
  <c r="I270" i="154"/>
  <c r="J21" i="132"/>
  <c r="F32" i="132" s="1"/>
  <c r="D257" i="154"/>
  <c r="D258" i="154"/>
  <c r="J39" i="131"/>
  <c r="D182" i="154"/>
  <c r="L186" i="154"/>
  <c r="D185" i="154"/>
  <c r="D184" i="154"/>
  <c r="M186" i="154"/>
  <c r="J23" i="84"/>
  <c r="D180" i="154"/>
  <c r="H87" i="37"/>
  <c r="M163" i="154" s="1"/>
  <c r="J69" i="37"/>
  <c r="J85" i="37" s="1"/>
  <c r="J87" i="37" s="1"/>
  <c r="F85" i="37"/>
  <c r="F87" i="37" s="1"/>
  <c r="L163" i="154" s="1"/>
  <c r="J40" i="37"/>
  <c r="H22" i="131"/>
  <c r="M240" i="154" s="1"/>
  <c r="J50" i="37"/>
  <c r="J27" i="37"/>
  <c r="F50" i="37"/>
  <c r="L159" i="154" s="1"/>
  <c r="J19" i="131"/>
  <c r="F12" i="130"/>
  <c r="F26" i="130"/>
  <c r="L126" i="154" s="1"/>
  <c r="F38" i="130"/>
  <c r="M126" i="154" s="1"/>
  <c r="F46" i="130"/>
  <c r="F47" i="130" s="1"/>
  <c r="D23" i="129"/>
  <c r="P23" i="128"/>
  <c r="R23" i="128" s="1"/>
  <c r="R21" i="128"/>
  <c r="R46" i="128"/>
  <c r="P19" i="128"/>
  <c r="R19" i="128" s="1"/>
  <c r="P17" i="128"/>
  <c r="R17" i="128" s="1"/>
  <c r="P15" i="128"/>
  <c r="R15" i="128" s="1"/>
  <c r="R38" i="128"/>
  <c r="H19" i="157"/>
  <c r="P37" i="128"/>
  <c r="R80" i="128"/>
  <c r="R27" i="128"/>
  <c r="R28" i="128"/>
  <c r="D26" i="128"/>
  <c r="D114" i="154"/>
  <c r="R13" i="128"/>
  <c r="J26" i="128"/>
  <c r="J30" i="128" s="1"/>
  <c r="F26" i="128"/>
  <c r="F30" i="128" s="1"/>
  <c r="H26" i="128"/>
  <c r="H30" i="128" s="1"/>
  <c r="I59" i="133"/>
  <c r="L109" i="154" s="1"/>
  <c r="I81" i="133"/>
  <c r="M109" i="154" s="1"/>
  <c r="E37" i="133"/>
  <c r="L22" i="134"/>
  <c r="L18" i="134"/>
  <c r="D22" i="134"/>
  <c r="D14" i="134"/>
  <c r="N19" i="127"/>
  <c r="N43" i="134"/>
  <c r="N20" i="127"/>
  <c r="N17" i="127"/>
  <c r="N15" i="127"/>
  <c r="N13" i="127"/>
  <c r="N11" i="127"/>
  <c r="N9" i="127"/>
  <c r="L46" i="134"/>
  <c r="L16" i="134"/>
  <c r="L12" i="134"/>
  <c r="J20" i="134"/>
  <c r="J16" i="134"/>
  <c r="J12" i="134"/>
  <c r="H20" i="134"/>
  <c r="H16" i="134"/>
  <c r="H12" i="134"/>
  <c r="F20" i="134"/>
  <c r="F16" i="134"/>
  <c r="F12" i="134"/>
  <c r="L14" i="134"/>
  <c r="D18" i="134"/>
  <c r="N18" i="134" s="1"/>
  <c r="J22" i="127"/>
  <c r="N16" i="127"/>
  <c r="N14" i="127"/>
  <c r="N12" i="127"/>
  <c r="N10" i="127"/>
  <c r="L21" i="134"/>
  <c r="N8" i="127"/>
  <c r="J46" i="134"/>
  <c r="L22" i="127"/>
  <c r="N43" i="127"/>
  <c r="N22" i="127" s="1"/>
  <c r="F22" i="127"/>
  <c r="D22" i="127"/>
  <c r="F68" i="134"/>
  <c r="D10" i="134"/>
  <c r="N17" i="3"/>
  <c r="N62" i="3"/>
  <c r="N68" i="134" s="1"/>
  <c r="D22" i="3"/>
  <c r="J68" i="134"/>
  <c r="D68" i="134"/>
  <c r="H10" i="134"/>
  <c r="F10" i="134"/>
  <c r="N17" i="134"/>
  <c r="N35" i="134"/>
  <c r="N13" i="134"/>
  <c r="N13" i="3"/>
  <c r="N11" i="3"/>
  <c r="N42" i="134"/>
  <c r="N42" i="3"/>
  <c r="F22" i="3"/>
  <c r="N20" i="3"/>
  <c r="N19" i="3"/>
  <c r="N14" i="3"/>
  <c r="N12" i="3"/>
  <c r="N18" i="3"/>
  <c r="N9" i="3"/>
  <c r="N16" i="3"/>
  <c r="N15" i="3"/>
  <c r="N10" i="3"/>
  <c r="F46" i="134"/>
  <c r="N32" i="134"/>
  <c r="J22" i="3"/>
  <c r="H22" i="3"/>
  <c r="H46" i="134"/>
  <c r="H24" i="134" s="1"/>
  <c r="D46" i="134"/>
  <c r="D24" i="134" s="1"/>
  <c r="N8" i="3"/>
  <c r="L99" i="154"/>
  <c r="I268" i="154"/>
  <c r="L105" i="154"/>
  <c r="L104" i="154"/>
  <c r="D112" i="154"/>
  <c r="L175" i="154"/>
  <c r="D171" i="154"/>
  <c r="D197" i="154"/>
  <c r="M102" i="154"/>
  <c r="M103" i="154"/>
  <c r="D115" i="154"/>
  <c r="D161" i="154"/>
  <c r="M253" i="154"/>
  <c r="D170" i="154"/>
  <c r="I35" i="133"/>
  <c r="I32" i="133"/>
  <c r="I30" i="133"/>
  <c r="I28" i="133"/>
  <c r="I26" i="133"/>
  <c r="I24" i="133"/>
  <c r="L25" i="137"/>
  <c r="L55" i="128"/>
  <c r="D30" i="128"/>
  <c r="L24" i="128"/>
  <c r="R24" i="128" s="1"/>
  <c r="F30" i="132"/>
  <c r="L91" i="154"/>
  <c r="H50" i="37"/>
  <c r="D90" i="154"/>
  <c r="L106" i="154"/>
  <c r="D87" i="154"/>
  <c r="L103" i="154"/>
  <c r="A27" i="136"/>
  <c r="A26" i="136"/>
  <c r="I263" i="154"/>
  <c r="D95" i="154"/>
  <c r="D162" i="154"/>
  <c r="D164" i="154"/>
  <c r="D96" i="154"/>
  <c r="D160" i="154"/>
  <c r="M119" i="154"/>
  <c r="D121" i="154"/>
  <c r="D97" i="154"/>
  <c r="M91" i="154"/>
  <c r="D89" i="154"/>
  <c r="D88" i="154"/>
  <c r="D86" i="154"/>
  <c r="D273" i="154"/>
  <c r="L253" i="154"/>
  <c r="D252" i="154"/>
  <c r="D173" i="154"/>
  <c r="D94" i="154"/>
  <c r="D98" i="154"/>
  <c r="L102" i="154"/>
  <c r="N46" i="134" l="1"/>
  <c r="N24" i="134" s="1"/>
  <c r="N14" i="134"/>
  <c r="L24" i="134"/>
  <c r="N11" i="134"/>
  <c r="N15" i="134"/>
  <c r="J24" i="134"/>
  <c r="N19" i="134"/>
  <c r="N20" i="134"/>
  <c r="N21" i="134"/>
  <c r="D105" i="154"/>
  <c r="N22" i="134"/>
  <c r="N12" i="134"/>
  <c r="N22" i="3"/>
  <c r="D260" i="154"/>
  <c r="G258" i="154" s="1"/>
  <c r="G273" i="154"/>
  <c r="A22" i="130"/>
  <c r="A24" i="130" s="1"/>
  <c r="A26" i="130" s="1"/>
  <c r="A31" i="130" s="1"/>
  <c r="A32" i="130" s="1"/>
  <c r="A34" i="130" s="1"/>
  <c r="A36" i="130" s="1"/>
  <c r="A38" i="130" s="1"/>
  <c r="A41" i="130" s="1"/>
  <c r="A42" i="130" s="1"/>
  <c r="A43" i="130" s="1"/>
  <c r="A45" i="130" s="1"/>
  <c r="A46" i="130" s="1"/>
  <c r="A47" i="130" s="1"/>
  <c r="A50" i="130" s="1"/>
  <c r="A51" i="130" s="1"/>
  <c r="A52" i="130" s="1"/>
  <c r="A54" i="130" s="1"/>
  <c r="A55" i="130" s="1"/>
  <c r="A56" i="130" s="1"/>
  <c r="L127" i="154"/>
  <c r="F91" i="37"/>
  <c r="D158" i="154"/>
  <c r="I239" i="154" s="1"/>
  <c r="J22" i="131"/>
  <c r="I240" i="154"/>
  <c r="N240" i="154" s="1"/>
  <c r="N242" i="154" s="1"/>
  <c r="N248" i="154" s="1"/>
  <c r="I37" i="154"/>
  <c r="I271" i="154"/>
  <c r="D275" i="154" s="1"/>
  <c r="D276" i="154" s="1"/>
  <c r="F34" i="132"/>
  <c r="H32" i="132" s="1"/>
  <c r="L32" i="132" s="1"/>
  <c r="D186" i="154"/>
  <c r="D163" i="154"/>
  <c r="H91" i="37"/>
  <c r="L167" i="154"/>
  <c r="J75" i="37"/>
  <c r="J80" i="37" s="1"/>
  <c r="J91" i="37" s="1"/>
  <c r="J42" i="37"/>
  <c r="J46" i="37" s="1"/>
  <c r="J54" i="37" s="1"/>
  <c r="F54" i="37"/>
  <c r="D126" i="154"/>
  <c r="M127" i="154"/>
  <c r="F14" i="130"/>
  <c r="D109" i="154"/>
  <c r="I37" i="133"/>
  <c r="N16" i="134"/>
  <c r="F24" i="134"/>
  <c r="N10" i="134"/>
  <c r="M107" i="154"/>
  <c r="D99" i="154"/>
  <c r="D175" i="154"/>
  <c r="L107" i="154"/>
  <c r="D104" i="154"/>
  <c r="D106" i="154"/>
  <c r="I23" i="154"/>
  <c r="C8" i="148"/>
  <c r="C10" i="148" s="1"/>
  <c r="C19" i="148" s="1"/>
  <c r="H28" i="149"/>
  <c r="H32" i="149" s="1"/>
  <c r="M159" i="154"/>
  <c r="H54" i="37"/>
  <c r="P51" i="128"/>
  <c r="R37" i="128"/>
  <c r="P12" i="128"/>
  <c r="D91" i="154"/>
  <c r="D102" i="154"/>
  <c r="I230" i="154"/>
  <c r="D103" i="154"/>
  <c r="G252" i="154"/>
  <c r="D253" i="154"/>
  <c r="L26" i="128"/>
  <c r="F93" i="37" l="1"/>
  <c r="H34" i="132"/>
  <c r="H30" i="132"/>
  <c r="L30" i="132" s="1"/>
  <c r="H28" i="132"/>
  <c r="L28" i="132" s="1"/>
  <c r="L34" i="132" s="1"/>
  <c r="H93" i="37"/>
  <c r="J93" i="37"/>
  <c r="M129" i="154"/>
  <c r="L30" i="128"/>
  <c r="R12" i="128"/>
  <c r="P26" i="128"/>
  <c r="P30" i="128" s="1"/>
  <c r="E273" i="154"/>
  <c r="I273" i="154" s="1"/>
  <c r="E275" i="154"/>
  <c r="I275" i="154" s="1"/>
  <c r="E274" i="154"/>
  <c r="I274" i="154" s="1"/>
  <c r="I241" i="154"/>
  <c r="I243" i="154" s="1"/>
  <c r="M167" i="154"/>
  <c r="D159" i="154"/>
  <c r="D107" i="154"/>
  <c r="P55" i="128"/>
  <c r="L117" i="154" s="1"/>
  <c r="R51" i="128"/>
  <c r="R55" i="128" s="1"/>
  <c r="I233" i="154"/>
  <c r="I235" i="154" s="1"/>
  <c r="D19" i="148"/>
  <c r="C20" i="148" s="1"/>
  <c r="R26" i="128" l="1"/>
  <c r="R30" i="128" s="1"/>
  <c r="D20" i="148"/>
  <c r="C21" i="148" s="1"/>
  <c r="D117" i="154"/>
  <c r="L119" i="154"/>
  <c r="L129" i="154" s="1"/>
  <c r="G118" i="154"/>
  <c r="I118" i="154" s="1"/>
  <c r="G172" i="154"/>
  <c r="I172" i="154" s="1"/>
  <c r="G14" i="154"/>
  <c r="I244" i="154"/>
  <c r="I245" i="154" s="1"/>
  <c r="G117" i="154"/>
  <c r="E250" i="154"/>
  <c r="G250" i="154" s="1"/>
  <c r="G253" i="154" s="1"/>
  <c r="I253" i="154" s="1"/>
  <c r="G87" i="154"/>
  <c r="G109" i="154"/>
  <c r="I109" i="154" s="1"/>
  <c r="G171" i="154"/>
  <c r="I171" i="154" s="1"/>
  <c r="I159" i="154"/>
  <c r="D167" i="154"/>
  <c r="D124" i="154" s="1"/>
  <c r="D127" i="154" s="1"/>
  <c r="I276" i="154"/>
  <c r="I87" i="154" l="1"/>
  <c r="G95" i="154"/>
  <c r="G15" i="154"/>
  <c r="I14" i="154"/>
  <c r="I117" i="154"/>
  <c r="D119" i="154"/>
  <c r="D129" i="154" s="1"/>
  <c r="D200" i="154" s="1"/>
  <c r="G89" i="154"/>
  <c r="I258" i="154"/>
  <c r="K258" i="154" s="1"/>
  <c r="G90" i="154" s="1"/>
  <c r="D21" i="148"/>
  <c r="C22" i="148" s="1"/>
  <c r="D190" i="154"/>
  <c r="G125" i="154"/>
  <c r="I125" i="154" s="1"/>
  <c r="G158" i="154"/>
  <c r="G19" i="162" l="1"/>
  <c r="G18" i="162"/>
  <c r="J18" i="164"/>
  <c r="G160" i="154"/>
  <c r="I160" i="154" s="1"/>
  <c r="I158" i="154"/>
  <c r="G164" i="154"/>
  <c r="I164" i="154" s="1"/>
  <c r="G97" i="154"/>
  <c r="I89" i="154"/>
  <c r="G16" i="154"/>
  <c r="D22" i="148"/>
  <c r="C23" i="148" s="1"/>
  <c r="I95" i="154"/>
  <c r="I103" i="154" s="1"/>
  <c r="G121" i="154"/>
  <c r="D196" i="154"/>
  <c r="D198" i="154" s="1"/>
  <c r="D203" i="154" s="1"/>
  <c r="I90" i="154"/>
  <c r="G98" i="154"/>
  <c r="G27" i="162" l="1"/>
  <c r="G23" i="162"/>
  <c r="G31" i="162"/>
  <c r="J38" i="164"/>
  <c r="J20" i="164"/>
  <c r="J42" i="164"/>
  <c r="J34" i="164"/>
  <c r="I121" i="154"/>
  <c r="G170" i="154"/>
  <c r="I170" i="154" s="1"/>
  <c r="G17" i="154"/>
  <c r="I17" i="154" s="1"/>
  <c r="I16" i="154"/>
  <c r="I91" i="154"/>
  <c r="G91" i="154" s="1"/>
  <c r="D23" i="148"/>
  <c r="C24" i="148" s="1"/>
  <c r="G165" i="154"/>
  <c r="I98" i="154"/>
  <c r="I106" i="154" s="1"/>
  <c r="G161" i="154"/>
  <c r="I97" i="154"/>
  <c r="I105" i="154" s="1"/>
  <c r="J44" i="164" l="1"/>
  <c r="L44" i="164"/>
  <c r="I72" i="164" s="1"/>
  <c r="J72" i="164" s="1"/>
  <c r="K72" i="164" s="1"/>
  <c r="L33" i="162"/>
  <c r="I107" i="154"/>
  <c r="G107" i="154" s="1"/>
  <c r="G113" i="154" s="1"/>
  <c r="D24" i="148"/>
  <c r="C25" i="148" s="1"/>
  <c r="I165" i="154"/>
  <c r="G174" i="154"/>
  <c r="I174" i="154" s="1"/>
  <c r="G182" i="154"/>
  <c r="G126" i="154"/>
  <c r="I126" i="154" s="1"/>
  <c r="I99" i="154"/>
  <c r="I161" i="154"/>
  <c r="G162" i="154"/>
  <c r="G173" i="154"/>
  <c r="F81" i="162" l="1"/>
  <c r="G81" i="162" s="1"/>
  <c r="F73" i="162"/>
  <c r="G73" i="162" s="1"/>
  <c r="F82" i="162"/>
  <c r="G82" i="162" s="1"/>
  <c r="F74" i="162"/>
  <c r="G74" i="162" s="1"/>
  <c r="F87" i="162"/>
  <c r="G87" i="162" s="1"/>
  <c r="F79" i="162"/>
  <c r="G79" i="162" s="1"/>
  <c r="F88" i="162"/>
  <c r="G88" i="162" s="1"/>
  <c r="F80" i="162"/>
  <c r="G80" i="162" s="1"/>
  <c r="F85" i="162"/>
  <c r="G85" i="162" s="1"/>
  <c r="F77" i="162"/>
  <c r="G77" i="162" s="1"/>
  <c r="F86" i="162"/>
  <c r="G86" i="162" s="1"/>
  <c r="F78" i="162"/>
  <c r="G78" i="162" s="1"/>
  <c r="F83" i="162"/>
  <c r="G83" i="162" s="1"/>
  <c r="F75" i="162"/>
  <c r="G75" i="162" s="1"/>
  <c r="F84" i="162"/>
  <c r="G84" i="162" s="1"/>
  <c r="F76" i="162"/>
  <c r="G76" i="162" s="1"/>
  <c r="G197" i="154"/>
  <c r="I197" i="154" s="1"/>
  <c r="D25" i="148"/>
  <c r="C26" i="148" s="1"/>
  <c r="D26" i="148" s="1"/>
  <c r="D27" i="148" s="1"/>
  <c r="C14" i="148" s="1"/>
  <c r="I24" i="154" s="1"/>
  <c r="G163" i="154"/>
  <c r="I163" i="154" s="1"/>
  <c r="I162" i="154"/>
  <c r="G179" i="154"/>
  <c r="I173" i="154"/>
  <c r="I175" i="154" s="1"/>
  <c r="I182" i="154"/>
  <c r="G185" i="154"/>
  <c r="I185" i="154" s="1"/>
  <c r="G184" i="154"/>
  <c r="I184" i="154" s="1"/>
  <c r="G114" i="154"/>
  <c r="I113" i="154"/>
  <c r="I167" i="154" l="1"/>
  <c r="I124" i="154" s="1"/>
  <c r="I127" i="154" s="1"/>
  <c r="G115" i="154"/>
  <c r="I115" i="154" s="1"/>
  <c r="G116" i="154"/>
  <c r="I116" i="154" s="1"/>
  <c r="I114" i="154"/>
  <c r="I179" i="154"/>
  <c r="G180" i="154"/>
  <c r="I180" i="154" s="1"/>
  <c r="I119" i="154" l="1"/>
  <c r="I129" i="154" s="1"/>
  <c r="I200" i="154" s="1"/>
  <c r="I186" i="154"/>
  <c r="G40" i="162" l="1"/>
  <c r="G41" i="162" s="1"/>
  <c r="J51" i="164"/>
  <c r="J52" i="164" s="1"/>
  <c r="I196" i="154"/>
  <c r="I198" i="154" s="1"/>
  <c r="G36" i="162" l="1"/>
  <c r="G37" i="162" s="1"/>
  <c r="L43" i="162" s="1"/>
  <c r="J47" i="164"/>
  <c r="J48" i="164" s="1"/>
  <c r="L54" i="164" s="1"/>
  <c r="M72" i="164" s="1"/>
  <c r="N72" i="164" s="1"/>
  <c r="P72" i="164" s="1"/>
  <c r="I203" i="154"/>
  <c r="P92" i="164" l="1"/>
  <c r="P94" i="164" s="1"/>
  <c r="F33" i="136" s="1"/>
  <c r="L211" i="154" s="1"/>
  <c r="D211" i="154" s="1"/>
  <c r="I211" i="154" s="1"/>
  <c r="R72" i="164"/>
  <c r="R92" i="164" s="1"/>
  <c r="H38" i="159" s="1"/>
  <c r="I74" i="162"/>
  <c r="J74" i="162" s="1"/>
  <c r="L74" i="162" s="1"/>
  <c r="N74" i="162" s="1"/>
  <c r="I81" i="162"/>
  <c r="J81" i="162" s="1"/>
  <c r="L81" i="162" s="1"/>
  <c r="N81" i="162" s="1"/>
  <c r="I73" i="162"/>
  <c r="J73" i="162" s="1"/>
  <c r="I76" i="162"/>
  <c r="J76" i="162" s="1"/>
  <c r="L76" i="162" s="1"/>
  <c r="N76" i="162" s="1"/>
  <c r="I86" i="162"/>
  <c r="J86" i="162" s="1"/>
  <c r="L86" i="162" s="1"/>
  <c r="N86" i="162" s="1"/>
  <c r="I87" i="162"/>
  <c r="J87" i="162" s="1"/>
  <c r="L87" i="162" s="1"/>
  <c r="N87" i="162" s="1"/>
  <c r="I79" i="162"/>
  <c r="J79" i="162" s="1"/>
  <c r="L79" i="162" s="1"/>
  <c r="N79" i="162" s="1"/>
  <c r="I88" i="162"/>
  <c r="J88" i="162" s="1"/>
  <c r="L88" i="162" s="1"/>
  <c r="N88" i="162" s="1"/>
  <c r="I84" i="162"/>
  <c r="J84" i="162" s="1"/>
  <c r="L84" i="162" s="1"/>
  <c r="N84" i="162" s="1"/>
  <c r="I85" i="162"/>
  <c r="J85" i="162" s="1"/>
  <c r="L85" i="162" s="1"/>
  <c r="N85" i="162" s="1"/>
  <c r="I77" i="162"/>
  <c r="J77" i="162" s="1"/>
  <c r="L77" i="162" s="1"/>
  <c r="N77" i="162" s="1"/>
  <c r="I82" i="162"/>
  <c r="J82" i="162" s="1"/>
  <c r="L82" i="162" s="1"/>
  <c r="N82" i="162" s="1"/>
  <c r="I78" i="162"/>
  <c r="J78" i="162" s="1"/>
  <c r="L78" i="162" s="1"/>
  <c r="N78" i="162" s="1"/>
  <c r="I83" i="162"/>
  <c r="J83" i="162" s="1"/>
  <c r="L83" i="162" s="1"/>
  <c r="N83" i="162" s="1"/>
  <c r="I75" i="162"/>
  <c r="J75" i="162" s="1"/>
  <c r="L75" i="162" s="1"/>
  <c r="N75" i="162" s="1"/>
  <c r="I80" i="162"/>
  <c r="J80" i="162" s="1"/>
  <c r="L80" i="162" s="1"/>
  <c r="N80" i="162" s="1"/>
  <c r="L73" i="162" l="1"/>
  <c r="L93" i="162" s="1"/>
  <c r="L95" i="162" s="1"/>
  <c r="F30" i="136" s="1"/>
  <c r="L207" i="154" s="1"/>
  <c r="D207" i="154" s="1"/>
  <c r="F26" i="136"/>
  <c r="D38" i="159"/>
  <c r="D47" i="159" s="1"/>
  <c r="N73" i="162" l="1"/>
  <c r="N93" i="162" s="1"/>
  <c r="H37" i="159" s="1"/>
  <c r="I207" i="154"/>
  <c r="D212" i="154"/>
  <c r="F41" i="136"/>
  <c r="J26" i="136"/>
  <c r="L291" i="154"/>
  <c r="I291" i="154" s="1"/>
  <c r="D37" i="159" l="1"/>
  <c r="H44" i="159"/>
  <c r="F25" i="136"/>
  <c r="L290" i="154" s="1"/>
  <c r="I290" i="154" s="1"/>
  <c r="I212" i="154"/>
  <c r="I11" i="154" s="1"/>
  <c r="J25" i="136"/>
  <c r="J27" i="136" s="1"/>
  <c r="D46" i="159"/>
  <c r="D44" i="159"/>
  <c r="D52" i="159" s="1"/>
  <c r="F40" i="136" l="1"/>
  <c r="F27" i="136"/>
  <c r="I288" i="154"/>
  <c r="I292" i="154" s="1"/>
  <c r="D15" i="154" s="1"/>
  <c r="I15" i="154" s="1"/>
  <c r="I18" i="154" s="1"/>
  <c r="F38" i="136"/>
  <c r="F45" i="136" s="1"/>
  <c r="I26" i="154" l="1"/>
  <c r="R32" i="154" s="1"/>
  <c r="R34" i="154" l="1"/>
  <c r="R33" i="154" s="1"/>
  <c r="O34" i="154"/>
  <c r="D38" i="154"/>
  <c r="O32" i="154"/>
  <c r="D10" i="160"/>
  <c r="H10" i="160" s="1"/>
  <c r="H28" i="160" s="1"/>
  <c r="D17" i="160"/>
  <c r="H17" i="160" s="1"/>
  <c r="H30" i="160" s="1"/>
  <c r="I44" i="154" l="1"/>
  <c r="D42" i="154"/>
  <c r="D43" i="154"/>
  <c r="I43" i="154"/>
  <c r="O33" i="154"/>
  <c r="I42" i="154"/>
  <c r="D44" i="154"/>
  <c r="D39" i="154"/>
  <c r="H32" i="160"/>
</calcChain>
</file>

<file path=xl/comments1.xml><?xml version="1.0" encoding="utf-8"?>
<comments xmlns="http://schemas.openxmlformats.org/spreadsheetml/2006/main">
  <authors>
    <author>Thomas Kramer</author>
  </authors>
  <commentList>
    <comment ref="D46" authorId="0">
      <text>
        <r>
          <rPr>
            <b/>
            <sz val="8"/>
            <color indexed="81"/>
            <rFont val="Tahoma"/>
            <family val="2"/>
          </rPr>
          <t>Thomas Kramer:</t>
        </r>
        <r>
          <rPr>
            <sz val="8"/>
            <color indexed="81"/>
            <rFont val="Tahoma"/>
            <family val="2"/>
          </rPr>
          <t xml:space="preserve">
Excludes ARO</t>
        </r>
      </text>
    </comment>
    <comment ref="H46" authorId="0">
      <text>
        <r>
          <rPr>
            <b/>
            <sz val="8"/>
            <color indexed="81"/>
            <rFont val="Tahoma"/>
            <family val="2"/>
          </rPr>
          <t>Thomas Kramer:</t>
        </r>
        <r>
          <rPr>
            <sz val="8"/>
            <color indexed="81"/>
            <rFont val="Tahoma"/>
            <family val="2"/>
          </rPr>
          <t xml:space="preserve">
Excludes ARO
</t>
        </r>
      </text>
    </comment>
  </commentList>
</comments>
</file>

<file path=xl/comments2.xml><?xml version="1.0" encoding="utf-8"?>
<comments xmlns="http://schemas.openxmlformats.org/spreadsheetml/2006/main">
  <authors>
    <author>Thomas Kramer</author>
  </authors>
  <commentList>
    <comment ref="D48" authorId="0">
      <text>
        <r>
          <rPr>
            <b/>
            <sz val="8"/>
            <color indexed="81"/>
            <rFont val="Tahoma"/>
            <family val="2"/>
          </rPr>
          <t>Thomas Kramer:</t>
        </r>
        <r>
          <rPr>
            <sz val="8"/>
            <color indexed="81"/>
            <rFont val="Tahoma"/>
            <family val="2"/>
          </rPr>
          <t xml:space="preserve">
Excludes ARC balances</t>
        </r>
      </text>
    </comment>
    <comment ref="H48" authorId="0">
      <text>
        <r>
          <rPr>
            <b/>
            <sz val="8"/>
            <color indexed="81"/>
            <rFont val="Tahoma"/>
            <family val="2"/>
          </rPr>
          <t>Thomas Kramer:</t>
        </r>
        <r>
          <rPr>
            <sz val="8"/>
            <color indexed="81"/>
            <rFont val="Tahoma"/>
            <family val="2"/>
          </rPr>
          <t xml:space="preserve">
Excludes ARC balances</t>
        </r>
      </text>
    </comment>
  </commentList>
</comments>
</file>

<file path=xl/comments3.xml><?xml version="1.0" encoding="utf-8"?>
<comments xmlns="http://schemas.openxmlformats.org/spreadsheetml/2006/main">
  <authors>
    <author>Thomas Kramer</author>
  </authors>
  <commentList>
    <comment ref="L8" authorId="0">
      <text>
        <r>
          <rPr>
            <b/>
            <sz val="8"/>
            <color indexed="81"/>
            <rFont val="Tahoma"/>
            <family val="2"/>
          </rPr>
          <t>Thomas Kramer:</t>
        </r>
        <r>
          <rPr>
            <sz val="8"/>
            <color indexed="81"/>
            <rFont val="Tahoma"/>
            <family val="2"/>
          </rPr>
          <t xml:space="preserve">
Not Applicable to NSP </t>
        </r>
      </text>
    </comment>
    <comment ref="P37" authorId="0">
      <text>
        <r>
          <rPr>
            <b/>
            <sz val="8"/>
            <color indexed="81"/>
            <rFont val="Tahoma"/>
            <family val="2"/>
          </rPr>
          <t>Thomas Kramer:</t>
        </r>
        <r>
          <rPr>
            <sz val="8"/>
            <color indexed="81"/>
            <rFont val="Tahoma"/>
            <family val="2"/>
          </rPr>
          <t xml:space="preserve">
Amounts should be nagative values</t>
        </r>
      </text>
    </comment>
  </commentList>
</comments>
</file>

<file path=xl/comments4.xml><?xml version="1.0" encoding="utf-8"?>
<comments xmlns="http://schemas.openxmlformats.org/spreadsheetml/2006/main">
  <authors>
    <author>Teekay</author>
  </authors>
  <commentList>
    <comment ref="H45" authorId="0">
      <text>
        <r>
          <rPr>
            <b/>
            <sz val="9"/>
            <color indexed="81"/>
            <rFont val="Tahoma"/>
            <family val="2"/>
          </rPr>
          <t>Teekay:</t>
        </r>
        <r>
          <rPr>
            <sz val="9"/>
            <color indexed="81"/>
            <rFont val="Tahoma"/>
            <family val="2"/>
          </rPr>
          <t xml:space="preserve">
Interchange agreement &amp; Theoretical Reserve Deferral</t>
        </r>
      </text>
    </comment>
  </commentList>
</comments>
</file>

<file path=xl/comments5.xml><?xml version="1.0" encoding="utf-8"?>
<comments xmlns="http://schemas.openxmlformats.org/spreadsheetml/2006/main">
  <authors>
    <author>Thomas Kramer</author>
  </authors>
  <commentList>
    <comment ref="A4" authorId="0">
      <text>
        <r>
          <rPr>
            <b/>
            <sz val="8"/>
            <color indexed="81"/>
            <rFont val="Tahoma"/>
            <family val="2"/>
          </rPr>
          <t>Thomas Kramer:</t>
        </r>
        <r>
          <rPr>
            <sz val="8"/>
            <color indexed="81"/>
            <rFont val="Tahoma"/>
            <family val="2"/>
          </rPr>
          <t xml:space="preserve">
No change in this information. Same a was calculated in 2014 TY Attachment O</t>
        </r>
      </text>
    </comment>
  </commentList>
</comments>
</file>

<file path=xl/comments6.xml><?xml version="1.0" encoding="utf-8"?>
<comments xmlns="http://schemas.openxmlformats.org/spreadsheetml/2006/main">
  <authors>
    <author>Thomas Kramer</author>
  </authors>
  <commentList>
    <comment ref="A4" authorId="0">
      <text>
        <r>
          <rPr>
            <b/>
            <sz val="8"/>
            <color indexed="81"/>
            <rFont val="Tahoma"/>
            <family val="2"/>
          </rPr>
          <t>Thomas Kramer:</t>
        </r>
        <r>
          <rPr>
            <sz val="8"/>
            <color indexed="81"/>
            <rFont val="Tahoma"/>
            <family val="2"/>
          </rPr>
          <t xml:space="preserve">
No change in this information. Same a was calculated in 2014 TY Attachment O</t>
        </r>
      </text>
    </comment>
  </commentList>
</comments>
</file>

<file path=xl/sharedStrings.xml><?xml version="1.0" encoding="utf-8"?>
<sst xmlns="http://schemas.openxmlformats.org/spreadsheetml/2006/main" count="2883" uniqueCount="1195">
  <si>
    <t>Calculate using 13 month average balances for plant related and average of beginning of year and end of year for non-plant related adjustments to rate base, reconciling</t>
  </si>
  <si>
    <t>to FERC Form No. 1 by page, line and column as shown in Column 2.</t>
  </si>
  <si>
    <t>Z</t>
  </si>
  <si>
    <t>Calculation of Prior Year Divisor True-Up:</t>
  </si>
  <si>
    <t>Pg 1, Line 15</t>
  </si>
  <si>
    <t>Pg 1, Line 16</t>
  </si>
  <si>
    <t>AA</t>
  </si>
  <si>
    <t>BB</t>
  </si>
  <si>
    <t>CC</t>
  </si>
  <si>
    <t>DD</t>
  </si>
  <si>
    <t>EE</t>
  </si>
  <si>
    <t>Plant in Service, Accumulated Depreciation, and Depreciation Expense amounts exclude Asset Retirement Obligation amounts unless authorized by FERC.</t>
  </si>
  <si>
    <t>FF</t>
  </si>
  <si>
    <t>Less Prefunded on CWIP</t>
  </si>
  <si>
    <t>Prefunded included in Attachment O</t>
  </si>
  <si>
    <t>The CWIP cost information included in the Attachment is based upon expenditures and</t>
  </si>
  <si>
    <t xml:space="preserve">Total Amount Booked </t>
  </si>
  <si>
    <t xml:space="preserve">is not included in the Adjustment to Rate Base. </t>
  </si>
  <si>
    <t>Structures</t>
  </si>
  <si>
    <t>Preferred Stock</t>
  </si>
  <si>
    <t>Common Equity</t>
  </si>
  <si>
    <t>Overhead Lines</t>
  </si>
  <si>
    <t>Rents</t>
  </si>
  <si>
    <t>Underground Lines</t>
  </si>
  <si>
    <t>Working Capital</t>
  </si>
  <si>
    <t xml:space="preserve">     TRANSMISSION EXPENSES</t>
  </si>
  <si>
    <t>Plant Related</t>
  </si>
  <si>
    <t>Northern States Power Company</t>
  </si>
  <si>
    <t>Total Northern States Power Company</t>
  </si>
  <si>
    <t>Common</t>
  </si>
  <si>
    <t>Northern States Power Company-MN</t>
  </si>
  <si>
    <t>Northern States Power Company - WI</t>
  </si>
  <si>
    <t>Accumulated Depreciation and Amorization</t>
  </si>
  <si>
    <t>Accumulated</t>
  </si>
  <si>
    <t>Adjustments to Rate Base</t>
  </si>
  <si>
    <t>Accumulated Deferred Income Taxes</t>
  </si>
  <si>
    <t>Other Rate Base Adjustments</t>
  </si>
  <si>
    <t>to Rate Base</t>
  </si>
  <si>
    <t>Unamortized</t>
  </si>
  <si>
    <t>Abandon Plant</t>
  </si>
  <si>
    <t>Account 253</t>
  </si>
  <si>
    <t>Pre-Funded AFUDC</t>
  </si>
  <si>
    <t>Land Held for Future Use - Transmission Only</t>
  </si>
  <si>
    <t>Materials &amp;</t>
  </si>
  <si>
    <t>Supplies</t>
  </si>
  <si>
    <t>Account 165</t>
  </si>
  <si>
    <t>Less:  SFAS 106 Deferred Taxes</t>
  </si>
  <si>
    <t>Less:  SFAS 109 Deferred Taxes</t>
  </si>
  <si>
    <t>NSP-MN</t>
  </si>
  <si>
    <t>NSP-WI</t>
  </si>
  <si>
    <t>NSP</t>
  </si>
  <si>
    <t>561.0</t>
  </si>
  <si>
    <t>561.1</t>
  </si>
  <si>
    <t>561.2</t>
  </si>
  <si>
    <t>561.3</t>
  </si>
  <si>
    <t>561.5</t>
  </si>
  <si>
    <t>561.6</t>
  </si>
  <si>
    <t>561.8</t>
  </si>
  <si>
    <t>Load Dispatching - Reliability</t>
  </si>
  <si>
    <t>Load Dispatching - Monitor &amp; Operate Transmission System</t>
  </si>
  <si>
    <t>Load Dispatching - Transmission Service &amp; Scheduling</t>
  </si>
  <si>
    <t>Scheduling, System Control &amp; Dispatch Services</t>
  </si>
  <si>
    <t>561.4</t>
  </si>
  <si>
    <t>Reliability, Planning and Standards Development</t>
  </si>
  <si>
    <t>Transmission Service Studies</t>
  </si>
  <si>
    <t>Generation Interconnection Studies</t>
  </si>
  <si>
    <t>Reliability, Planning &amp; Standards Development Services</t>
  </si>
  <si>
    <t>564</t>
  </si>
  <si>
    <t>Underground Lines Expense</t>
  </si>
  <si>
    <t>569.1</t>
  </si>
  <si>
    <t>Computer Hardware</t>
  </si>
  <si>
    <t>569.2</t>
  </si>
  <si>
    <t>569.3</t>
  </si>
  <si>
    <t>569.4</t>
  </si>
  <si>
    <t>Miscellaneous Regional Transmission Plant</t>
  </si>
  <si>
    <t>Less:  Account 565 - Transmission of Electricity by Others</t>
  </si>
  <si>
    <t xml:space="preserve">          TOTAL NET TRANSMISSION EXPENSE</t>
  </si>
  <si>
    <t>Regulatory Commission Expenses -  Retail Related</t>
  </si>
  <si>
    <t>Regulatory Commission Expenses -  Transmission Related</t>
  </si>
  <si>
    <t>General Advertising Expenses</t>
  </si>
  <si>
    <t>Miscellaneous General Expense - Other</t>
  </si>
  <si>
    <t xml:space="preserve">          NET ADMINISTRATIVE AND GENERAL EXPENSE</t>
  </si>
  <si>
    <t xml:space="preserve">         TOTAL O&amp;M EXPENSE</t>
  </si>
  <si>
    <t>Payroll Taxes</t>
  </si>
  <si>
    <t>Highway and Vehicle</t>
  </si>
  <si>
    <t>Property Taxes</t>
  </si>
  <si>
    <t>Gross Receipts</t>
  </si>
  <si>
    <t>Payments in Lieu of Taxes</t>
  </si>
  <si>
    <t>Taxes Other Than Income Taxes and Investment Tax Credit</t>
  </si>
  <si>
    <t>Investment Tax Credit Amortized</t>
  </si>
  <si>
    <t>Supporting Calculations for Allocation Factors</t>
  </si>
  <si>
    <t>Transmission Plant Included in OATT Ancillary Services</t>
  </si>
  <si>
    <t>Transmission Plant Excluded from ISO Rates</t>
  </si>
  <si>
    <t>Transmission Plant Allocation Factor (TP)</t>
  </si>
  <si>
    <t>Transmission Expenses included in OATT Ancillary Services</t>
  </si>
  <si>
    <t xml:space="preserve">     Account 561.1 - Load Dispatch-Reliability</t>
  </si>
  <si>
    <t xml:space="preserve">     Account 561.2 - Load Dispatch-Monitor &amp; Operate Transmission System</t>
  </si>
  <si>
    <t xml:space="preserve">     Account 561.3 - Load Dispatch-Transmission Service &amp; Scheduling</t>
  </si>
  <si>
    <t>Total Transmission Expenses included in OATT Ancillary Services</t>
  </si>
  <si>
    <t>Transmission Expense Allocation Factor (TE)</t>
  </si>
  <si>
    <t>Wages &amp; Salaries Allocation Factor (W/S)</t>
  </si>
  <si>
    <t>Total Wages &amp; Salaries</t>
  </si>
  <si>
    <t>Common Plant Allocation Factor (CE)</t>
  </si>
  <si>
    <t>Water</t>
  </si>
  <si>
    <t>Total Plant</t>
  </si>
  <si>
    <t>Long-Term Debt</t>
  </si>
  <si>
    <t>Long-Term Debt Balance</t>
  </si>
  <si>
    <t>Long-Term Debt Interest</t>
  </si>
  <si>
    <t>Cost of Long-Term Debt</t>
  </si>
  <si>
    <t>Proprietary Capital</t>
  </si>
  <si>
    <t>Less:  Preferred Stock</t>
  </si>
  <si>
    <t>Less:  Account 216.1 - Unappropriated Undistribution Subs Earnings</t>
  </si>
  <si>
    <t>Total Common Stock</t>
  </si>
  <si>
    <t>Capital Structure</t>
  </si>
  <si>
    <t>Common Stock</t>
  </si>
  <si>
    <t>TOTAL</t>
  </si>
  <si>
    <t>Gas</t>
  </si>
  <si>
    <t>Computer Software</t>
  </si>
  <si>
    <t>Miscellaneous Transmission Expenses</t>
  </si>
  <si>
    <t>Miscellaneous Transmission Plant</t>
  </si>
  <si>
    <t>Operation and Maintenance Expenses</t>
  </si>
  <si>
    <t>Property Insurance</t>
  </si>
  <si>
    <t>Communication Equipment</t>
  </si>
  <si>
    <t>Production</t>
  </si>
  <si>
    <t xml:space="preserve"> </t>
  </si>
  <si>
    <t>Depreciation &amp;</t>
  </si>
  <si>
    <t>Amortization</t>
  </si>
  <si>
    <t>Electric</t>
  </si>
  <si>
    <t>Total Taxes Other Than Income</t>
  </si>
  <si>
    <t>Load Dispatching</t>
  </si>
  <si>
    <t>Station Expenses</t>
  </si>
  <si>
    <t>Overhead Line Expenses</t>
  </si>
  <si>
    <t xml:space="preserve">     Total Operation</t>
  </si>
  <si>
    <t>MAINTENANCE</t>
  </si>
  <si>
    <t xml:space="preserve">     Total Maintenance</t>
  </si>
  <si>
    <t>Percentage</t>
  </si>
  <si>
    <t>Administration and General Salaries</t>
  </si>
  <si>
    <t>Office Supplies and Expense</t>
  </si>
  <si>
    <t>Administrative Expense Transferred</t>
  </si>
  <si>
    <t>Outside Service Employed</t>
  </si>
  <si>
    <t>May</t>
  </si>
  <si>
    <t>No.</t>
  </si>
  <si>
    <t>Total</t>
  </si>
  <si>
    <t>Transmission</t>
  </si>
  <si>
    <t>Distribution</t>
  </si>
  <si>
    <t>1</t>
  </si>
  <si>
    <t>Gross Plant in Service</t>
  </si>
  <si>
    <t>13 Month Average</t>
  </si>
  <si>
    <t>Total Average</t>
  </si>
  <si>
    <t xml:space="preserve">Plant in </t>
  </si>
  <si>
    <t>Service</t>
  </si>
  <si>
    <t>Description</t>
  </si>
  <si>
    <t xml:space="preserve">     ADMINISTRATION AND GENERAL</t>
  </si>
  <si>
    <t>Station Equipment</t>
  </si>
  <si>
    <t>Total Depreciation and Amortization Expense</t>
  </si>
  <si>
    <t>FERC Annual Charges</t>
  </si>
  <si>
    <t>Weighted</t>
  </si>
  <si>
    <t>Cost</t>
  </si>
  <si>
    <t>Supervision and Engineering</t>
  </si>
  <si>
    <t>Labor Related</t>
  </si>
  <si>
    <t>Adjustments</t>
  </si>
  <si>
    <t xml:space="preserve">  </t>
  </si>
  <si>
    <t>OPERATION</t>
  </si>
  <si>
    <t>Other</t>
  </si>
  <si>
    <t>Prepayments</t>
  </si>
  <si>
    <t>Line</t>
  </si>
  <si>
    <t>February</t>
  </si>
  <si>
    <t>March</t>
  </si>
  <si>
    <t>April</t>
  </si>
  <si>
    <t>June</t>
  </si>
  <si>
    <t>July</t>
  </si>
  <si>
    <t>August</t>
  </si>
  <si>
    <t>September</t>
  </si>
  <si>
    <t>October</t>
  </si>
  <si>
    <t>November</t>
  </si>
  <si>
    <t>Account</t>
  </si>
  <si>
    <t>Intangible</t>
  </si>
  <si>
    <t>Injury and Damages</t>
  </si>
  <si>
    <t>Employee Pensions and Benefits</t>
  </si>
  <si>
    <t>Duplicate Charges</t>
  </si>
  <si>
    <t>Maintenance General Plant</t>
  </si>
  <si>
    <t>See individual items identified above for explanation of individual impact.</t>
  </si>
  <si>
    <t xml:space="preserve">          TOTAL ADMINISTRATIVE AND GENERAL</t>
  </si>
  <si>
    <t>Transmission of Electricity by Others</t>
  </si>
  <si>
    <t>Depreciation and Amortization Expense</t>
  </si>
  <si>
    <t xml:space="preserve">Account </t>
  </si>
  <si>
    <t>Balance</t>
  </si>
  <si>
    <t>Taxes Other Than Income Taxes</t>
  </si>
  <si>
    <t>Construction Work in Progress</t>
  </si>
  <si>
    <t>CapX 2020</t>
  </si>
  <si>
    <t>Key Assumptions:</t>
  </si>
  <si>
    <t>For each project, where CWIP is to be recovered in rate base, CWIP will be estimated and the totals reported below.</t>
  </si>
  <si>
    <t>AFUDC will be capitalized for projects where CWIP is included in rate base and will be reported in the FERC Form No. 1.</t>
  </si>
  <si>
    <t>Pre-Funded AFUDC will be recorded and included in the formula as an offset to rate base for those projects recovered in rate base, to ensure no double recovery.</t>
  </si>
  <si>
    <t>State Commission Approved Certificate of Need Date</t>
  </si>
  <si>
    <t>Estimated In-Service Date</t>
  </si>
  <si>
    <t>Construction Work in Progress Balances in Formula</t>
  </si>
  <si>
    <t>CWIP</t>
  </si>
  <si>
    <t>SubTotal</t>
  </si>
  <si>
    <t>General &amp;</t>
  </si>
  <si>
    <t xml:space="preserve">General &amp; </t>
  </si>
  <si>
    <t>BOY/EOY Average</t>
  </si>
  <si>
    <t>Net BOY/EOY Average</t>
  </si>
  <si>
    <t>Net Plant</t>
  </si>
  <si>
    <t>Revenue Credits</t>
  </si>
  <si>
    <t>a.</t>
  </si>
  <si>
    <t>Bundled Non-RQ Sales for Resale</t>
  </si>
  <si>
    <t>b.</t>
  </si>
  <si>
    <t>Bundled Sales for Resale included in the Divisor</t>
  </si>
  <si>
    <t>Total Account 447</t>
  </si>
  <si>
    <t>Account 454 - Rent From Electric Property</t>
  </si>
  <si>
    <t>Transmission charges for all transmission transactions</t>
  </si>
  <si>
    <t>Total Account 456</t>
  </si>
  <si>
    <t>Divisor (kW)</t>
  </si>
  <si>
    <t>Plus:</t>
  </si>
  <si>
    <t>System Peak</t>
  </si>
  <si>
    <t>Network</t>
  </si>
  <si>
    <t>Load</t>
  </si>
  <si>
    <t>Divisor</t>
  </si>
  <si>
    <t>12 Month Average</t>
  </si>
  <si>
    <t>Abandon Plant Amortization</t>
  </si>
  <si>
    <t xml:space="preserve">     Account 561.0 - Load Dispatching</t>
  </si>
  <si>
    <t>Accum Def ITC</t>
  </si>
  <si>
    <t xml:space="preserve">Less: </t>
  </si>
  <si>
    <t>Account 447 - Sales for Resale (Note Q)</t>
  </si>
  <si>
    <t>Note Q:</t>
  </si>
  <si>
    <t>c.</t>
  </si>
  <si>
    <t>Transmission charges associated with Schedule 26</t>
  </si>
  <si>
    <t>The State Commission Approved Certificate of Need Date will be the first month that the CWIP project will be included in the formula and used to calculate the 13 mo average.</t>
  </si>
  <si>
    <t>May 2009</t>
  </si>
  <si>
    <t xml:space="preserve">Allocated to Transmission based on </t>
  </si>
  <si>
    <t>NSP-MN Net Plant in Service</t>
  </si>
  <si>
    <t>NSP-Wi Net Plant in Service</t>
  </si>
  <si>
    <t>FERC Form 1 Pg 200, ln 15-c</t>
  </si>
  <si>
    <t>FERC Form 1 Pg 201, ln 15-d</t>
  </si>
  <si>
    <t>GRE Load</t>
  </si>
  <si>
    <t>Pg 400 (e)</t>
  </si>
  <si>
    <t>Footnote for (e)</t>
  </si>
  <si>
    <t>RQ Load</t>
  </si>
  <si>
    <t>Pg 400 (f)</t>
  </si>
  <si>
    <t>Northern States Power Companies</t>
  </si>
  <si>
    <t xml:space="preserve">Plus Transmission Related Reg. Comm.  Exp. </t>
  </si>
  <si>
    <t>*</t>
  </si>
  <si>
    <t>Transmission Prefunded Amortization FERC 405 (*)</t>
  </si>
  <si>
    <t>Pre-Funded AFUDC (*)</t>
  </si>
  <si>
    <t>(*) Un-jurisdictionalized Pre-funded data for total company reported in NSP Mn figures.</t>
  </si>
  <si>
    <t>(*) Un-jurisdictionalized Prefunded Amortization for total company reported in NSP Mn only.</t>
  </si>
  <si>
    <t>Calculation and True-Up Procedures</t>
  </si>
  <si>
    <t>NET REVENUE REQUIREMENT</t>
  </si>
  <si>
    <t xml:space="preserve">  Average of 12 coincident system peaks for requirements (RQ) service       </t>
  </si>
  <si>
    <t xml:space="preserve">  Plus 12 CP of Network Load not in line 8</t>
  </si>
  <si>
    <t xml:space="preserve">  Plus Contract Demand of firm P-T-P over one year</t>
  </si>
  <si>
    <t>Divisor (sum lines 8-14)</t>
  </si>
  <si>
    <t>Annual Cost ($/kW/Yr)</t>
  </si>
  <si>
    <t>Historic Year Actual Divisor</t>
  </si>
  <si>
    <t>Projected Year Divisor</t>
  </si>
  <si>
    <t>Difference between Historic &amp; Projected Year Divisor</t>
  </si>
  <si>
    <t>Prior Year Projected Annual Cost ($ per kw per yr.)</t>
  </si>
  <si>
    <t>Projected Year Divisor True-up (Difference * Prior Year Projected Annual Cost)</t>
  </si>
  <si>
    <t>Total True Level</t>
  </si>
  <si>
    <t>Proof (Annual Cost Difference x Actual Volumes)</t>
  </si>
  <si>
    <t>Immaterial diff</t>
  </si>
  <si>
    <t>To Attachment O line items 6a, 6b, 6c and 6d</t>
  </si>
  <si>
    <t>Net Revenue Requirement Over Recovery</t>
  </si>
  <si>
    <t>Net Volume Change Under Recovery</t>
  </si>
  <si>
    <t>Interest Calculation With Quarterly Compounding</t>
  </si>
  <si>
    <t>Principal</t>
  </si>
  <si>
    <t>Interest</t>
  </si>
  <si>
    <t>Cumulative Interest</t>
  </si>
  <si>
    <t>Done</t>
  </si>
  <si>
    <t xml:space="preserve">          TOTAL TRANSMISSION EXPENSE</t>
  </si>
  <si>
    <t xml:space="preserve">February </t>
  </si>
  <si>
    <t xml:space="preserve">March </t>
  </si>
  <si>
    <t xml:space="preserve">May </t>
  </si>
  <si>
    <t xml:space="preserve">June </t>
  </si>
  <si>
    <t xml:space="preserve">August </t>
  </si>
  <si>
    <t xml:space="preserve">September </t>
  </si>
  <si>
    <t xml:space="preserve">October </t>
  </si>
  <si>
    <t xml:space="preserve">November </t>
  </si>
  <si>
    <t>Feb</t>
  </si>
  <si>
    <t>Mar</t>
  </si>
  <si>
    <t>Apr</t>
  </si>
  <si>
    <t>Jun</t>
  </si>
  <si>
    <t>Jul</t>
  </si>
  <si>
    <t>Aug</t>
  </si>
  <si>
    <t>Sep</t>
  </si>
  <si>
    <t>Oct</t>
  </si>
  <si>
    <t>Nov</t>
  </si>
  <si>
    <t xml:space="preserve">          EOM Balance</t>
  </si>
  <si>
    <t>Dec</t>
  </si>
  <si>
    <t>Cum Expend  Only</t>
  </si>
  <si>
    <t>Report Amouts</t>
  </si>
  <si>
    <t>CAPX2020- Brookings - Subs</t>
  </si>
  <si>
    <t>CAPX2020 - Brookings - Lines</t>
  </si>
  <si>
    <t>CAPX2020 - Brookings - Land</t>
  </si>
  <si>
    <t>Total Brookings</t>
  </si>
  <si>
    <t>CON:5/22/2009</t>
  </si>
  <si>
    <t>CON: 5/22/2009</t>
  </si>
  <si>
    <t>CAPX2020- Fargo - Subs</t>
  </si>
  <si>
    <t>CAPX2020 - Fargo - Lines</t>
  </si>
  <si>
    <t>CAPX2020 - Fargo - Land</t>
  </si>
  <si>
    <t>Total Fargo</t>
  </si>
  <si>
    <t>Mn Combined CAPX2020</t>
  </si>
  <si>
    <t>CAPX2020 - Lacrosse - Lines Wis Portion</t>
  </si>
  <si>
    <t>Prior Year True Up Calculation</t>
  </si>
  <si>
    <t>Prior Year True Up Interest Calculation</t>
  </si>
  <si>
    <t xml:space="preserve">   Included in the Divisor </t>
  </si>
  <si>
    <t>Attachment GG Revenue Requirement</t>
  </si>
  <si>
    <t>Attachment MM Revenue Requirement</t>
  </si>
  <si>
    <t>Line 33 must equal zero since all short-term power sales must be unbundled and the transmission component reflected</t>
  </si>
  <si>
    <t>in Account No. 456.1 and all other uses are to be included in the divisor.</t>
  </si>
  <si>
    <t>Transmission charges associated with Schedule 26a</t>
  </si>
  <si>
    <t>CAPX2020 - Lacrosse - Land Wis Portion</t>
  </si>
  <si>
    <t>CAPX2020 - Lacrosse - Subs Wis Portion</t>
  </si>
  <si>
    <t>CAPX2020 - Lacrosse - Total Lax Wis Portion</t>
  </si>
  <si>
    <t>Less: FERC Annual Charges</t>
  </si>
  <si>
    <t xml:space="preserve">Less: EPRI Dues Charged to A&amp;G </t>
  </si>
  <si>
    <t>Less: Regulatory Commission Expense (excluding FERC Annual)</t>
  </si>
  <si>
    <t>Less: Non-Safety Advertising Expense</t>
  </si>
  <si>
    <t xml:space="preserve">         Account 561.4 - Scheduling, system Control &amp; Dispatch</t>
  </si>
  <si>
    <t xml:space="preserve">         Account 561.8 - Reliability, Planning &amp; Standards Dev</t>
  </si>
  <si>
    <t>Less: Load Serving Entity Expenses Incl. In Transmission O&amp;M</t>
  </si>
  <si>
    <t xml:space="preserve">         InterChange</t>
  </si>
  <si>
    <t>Acct</t>
  </si>
  <si>
    <t xml:space="preserve">   A</t>
  </si>
  <si>
    <t>Sum A</t>
  </si>
  <si>
    <t>Various</t>
  </si>
  <si>
    <t>December 2013</t>
  </si>
  <si>
    <t>Dec 2013</t>
  </si>
  <si>
    <t>December 2013 Per FERC Form 1</t>
  </si>
  <si>
    <t>December 2013 Attachment O</t>
  </si>
  <si>
    <t>Northern States Power Company-WI</t>
  </si>
  <si>
    <t>Less ARO Per FERC Form 1</t>
  </si>
  <si>
    <t>Less ARC</t>
  </si>
  <si>
    <t>Transmission-Related Rent (JDE 814998.517910)</t>
  </si>
  <si>
    <t>Attachment GG Actual Revenue Requirement 2013</t>
  </si>
  <si>
    <t>Attachment MM Actual Revenue Requirement 2013</t>
  </si>
  <si>
    <t>Check</t>
  </si>
  <si>
    <t>.35-(.35x+x)</t>
  </si>
  <si>
    <t>=</t>
  </si>
  <si>
    <t>.35+.65x</t>
  </si>
  <si>
    <t>-.35+.35+.65x</t>
  </si>
  <si>
    <t>0.65x</t>
  </si>
  <si>
    <t>0.65x/.65</t>
  </si>
  <si>
    <t>x</t>
  </si>
  <si>
    <t>SIT Composite</t>
  </si>
  <si>
    <t>To footnote K</t>
  </si>
  <si>
    <t>COMPOSITE TAX RATE RECAP</t>
  </si>
  <si>
    <t>Fed Rate</t>
  </si>
  <si>
    <t>Transmission (336.7b)</t>
  </si>
  <si>
    <t>General &amp; Intangible (336.10f &amp; 336.1f)</t>
  </si>
  <si>
    <t>Total Common (336.11b &amp; d)</t>
  </si>
  <si>
    <t>Federal &amp; State Composite Rate</t>
  </si>
  <si>
    <t xml:space="preserve">Wi Cum Expend  Only </t>
  </si>
  <si>
    <t>Item II.E. Number</t>
  </si>
  <si>
    <t>Information Required by Tariff Protocol</t>
  </si>
  <si>
    <t>Compliance Information or Reference</t>
  </si>
  <si>
    <t>1.</t>
  </si>
  <si>
    <t>2.</t>
  </si>
  <si>
    <t xml:space="preserve">Be based on NSP Companies’ FERC Form No. 1 reports for the prior calendar year; </t>
  </si>
  <si>
    <t>3.</t>
  </si>
  <si>
    <t>4.</t>
  </si>
  <si>
    <t>Provide sufficient information to enable Interested Parties (as that term is defined in Section II.G of these protocols) to replicate the calculation of the Annual True-Up results from the FERC Form No. 1 reports;</t>
  </si>
  <si>
    <t>5.</t>
  </si>
  <si>
    <t>Identify any changes in the formula references (page and line numbers) to the FERC Form No. 1 reports;</t>
  </si>
  <si>
    <t>6.</t>
  </si>
  <si>
    <t>Identify all material adjustments made to the FERC Form No. 1 report data in determining formula inputs, including relevant footnotes to the FERC Form No. 1 reports and any adjustments not shown in the FERC Form No. 1 reports;</t>
  </si>
  <si>
    <t>7.</t>
  </si>
  <si>
    <t>Provide underlying data for formula rate inputs that provide greater granularity than is required for the FERC Form No. 1 reports;</t>
  </si>
  <si>
    <t>8.</t>
  </si>
  <si>
    <t>With respect to any change in accounting that affects inputs to the formula rate or the resulting charges billed under the formula rate (“Accounting Change”):</t>
  </si>
  <si>
    <t>8. a.</t>
  </si>
  <si>
    <t>Identify any Accounting Changes, including</t>
  </si>
  <si>
    <t>8. a. i.</t>
  </si>
  <si>
    <t>The initial implementation of an accounting standard or policy;</t>
  </si>
  <si>
    <t>8. a. ii.</t>
  </si>
  <si>
    <t>the initial implementation of accounting practices for unusual or unconventional items where FERC has not provided specific accounting direction;</t>
  </si>
  <si>
    <t>8. a. iii.</t>
  </si>
  <si>
    <t>correction of errors and prior period adjustments that impact the True-Up Adjustment calculation;</t>
  </si>
  <si>
    <t>8. a. iv.</t>
  </si>
  <si>
    <t>the implementation of new estimation methods or policies that change prior estimates; and</t>
  </si>
  <si>
    <t>changes to income tax elections;</t>
  </si>
  <si>
    <t>8. b.</t>
  </si>
  <si>
    <t>Identify items included in the Annual True-Up at an amount other than on a historic cost basis (e.g., fair value adjustments);</t>
  </si>
  <si>
    <t>8. c.</t>
  </si>
  <si>
    <t>Identify any reorganization or merger transaction during the previous year and explain the effect of the accounting for such transaction(s) on inputs to the Annual True-Up;</t>
  </si>
  <si>
    <t>8. d.</t>
  </si>
  <si>
    <t>Provide, for each item identified pursuant to items II.E.8.a - II.E.8.c of these protocols, a narrative explanation of the individual impact of such changes on the True-Up Adjustment.</t>
  </si>
  <si>
    <t>Page 1 of 5</t>
  </si>
  <si>
    <t xml:space="preserve">Formula Rate - Non-Levelized </t>
  </si>
  <si>
    <t xml:space="preserve">     Rate Formula Template</t>
  </si>
  <si>
    <t xml:space="preserve"> Utilizing FERC Form 1 Data</t>
  </si>
  <si>
    <t>Allocated</t>
  </si>
  <si>
    <t>Amount</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</si>
  <si>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</si>
  <si>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</si>
  <si>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</si>
  <si>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</si>
  <si>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</si>
  <si>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</si>
  <si>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</si>
  <si>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</si>
  <si>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</si>
  <si>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</si>
  <si>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</si>
  <si>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</si>
  <si>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Control Area</t>
  </si>
  <si>
    <t>Gross Plant</t>
  </si>
  <si>
    <t>6a</t>
  </si>
  <si>
    <t>Historic Year Actual ATRR</t>
  </si>
  <si>
    <t>GRE-NSP</t>
  </si>
  <si>
    <t>6b</t>
  </si>
  <si>
    <t>Projected ATRR from Prior Year</t>
  </si>
  <si>
    <t>Input from Prior Year</t>
  </si>
  <si>
    <t>NSP-NSP</t>
  </si>
  <si>
    <t>6c</t>
  </si>
  <si>
    <t>Prior Year ATRR True-Up</t>
  </si>
  <si>
    <t>(line 6a - line 6b)</t>
  </si>
  <si>
    <t>6d</t>
  </si>
  <si>
    <t>Prior Year Divisor True-Up</t>
  </si>
  <si>
    <t>(Note Z)</t>
  </si>
  <si>
    <t>6e</t>
  </si>
  <si>
    <t>Interest on Prior Year True-Up</t>
  </si>
  <si>
    <t>(line 1 - line 6 + line 6c through 6e)</t>
  </si>
  <si>
    <t xml:space="preserve">DIVISOR </t>
  </si>
  <si>
    <t xml:space="preserve">  Average of 12 coincident system peaks for requirements (RQ) service</t>
  </si>
  <si>
    <t>(Note A)</t>
  </si>
  <si>
    <t>Net plant in GRE</t>
  </si>
  <si>
    <t>gross plant in GRE</t>
  </si>
  <si>
    <t xml:space="preserve">  Plus 12 CP of firm bundled sales over one year not in line 8</t>
  </si>
  <si>
    <t>(Note B)</t>
  </si>
  <si>
    <t>% of gross plant in GRE</t>
  </si>
  <si>
    <t>(Note C)</t>
  </si>
  <si>
    <t>GRE load in Divisor</t>
  </si>
  <si>
    <t xml:space="preserve">  Less 12 CP of firm P-T-P over one year (enter negative)</t>
  </si>
  <si>
    <t>(Note D)</t>
  </si>
  <si>
    <t>RR</t>
  </si>
  <si>
    <t xml:space="preserve">  Less Contract Demand from Grandfathered Interzonal Transactions over one year (enter negative)  (Note S)</t>
  </si>
  <si>
    <t xml:space="preserve">  Less Contract Demands from service over one year provided by ISO at a discount (enter negative)</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</si>
  <si>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</si>
  <si>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</si>
  <si>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</si>
  <si>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</si>
  <si>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</si>
  <si>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</si>
  <si>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</si>
  <si>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</si>
  <si>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</si>
  <si>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</si>
  <si>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</si>
  <si>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</si>
  <si>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</si>
  <si>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</si>
  <si>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 xml:space="preserve"> and daily rates</t>
  </si>
  <si>
    <t>FERC Annual Charge ($/MWh)</t>
  </si>
  <si>
    <t>(Note E)</t>
  </si>
  <si>
    <t>Short Term</t>
  </si>
  <si>
    <t>Long Term</t>
  </si>
  <si>
    <t>Page 2 of 5</t>
  </si>
  <si>
    <t>(1)</t>
  </si>
  <si>
    <t>(2)</t>
  </si>
  <si>
    <t>(3)</t>
  </si>
  <si>
    <t>(4)</t>
  </si>
  <si>
    <t>(5)</t>
  </si>
  <si>
    <t>Form No. 1</t>
  </si>
  <si>
    <t>Minnesota</t>
  </si>
  <si>
    <t>Wisconsin</t>
  </si>
  <si>
    <t>Page, Line, Col.</t>
  </si>
  <si>
    <t>Company Total</t>
  </si>
  <si>
    <t xml:space="preserve">                  Allocator</t>
  </si>
  <si>
    <t>(Col 3 times Col 4)</t>
  </si>
  <si>
    <t>RATE BASE:</t>
  </si>
  <si>
    <t>GROSS PLANT IN SERVICE  (Note X, Note EE)</t>
  </si>
  <si>
    <t xml:space="preserve">  Production</t>
  </si>
  <si>
    <t>205.46.g</t>
  </si>
  <si>
    <t>NA</t>
  </si>
  <si>
    <t xml:space="preserve">  Transmission</t>
  </si>
  <si>
    <t>207.58.g</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</si>
  <si>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</si>
  <si>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</si>
  <si>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</si>
  <si>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</si>
  <si>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</si>
  <si>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</si>
  <si>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</si>
  <si>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</si>
  <si>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</si>
  <si>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</si>
  <si>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X, Note EE)</t>
  </si>
  <si>
    <t>219.20-24.c</t>
  </si>
  <si>
    <t>219.25.c</t>
  </si>
  <si>
    <t>219.26.c</t>
  </si>
  <si>
    <t>219.28.c &amp; 200.21.c</t>
  </si>
  <si>
    <t>TOTAL ACCUM. DEPRECIATION  (sum lines 7-11)</t>
  </si>
  <si>
    <t>NET PLANT IN SERVICE  (Note X)</t>
  </si>
  <si>
    <t>(line 1- line 7)</t>
  </si>
  <si>
    <t>(line 2 - line 8)</t>
  </si>
  <si>
    <t>(line 3 - line 9)</t>
  </si>
  <si>
    <t>(line 4 - line 10)</t>
  </si>
  <si>
    <t>(line 5 - line 11)</t>
  </si>
  <si>
    <t>TOTAL NET PLANT  (sum lines 13-17)</t>
  </si>
  <si>
    <t>NP=</t>
  </si>
  <si>
    <t>18a</t>
  </si>
  <si>
    <t>CWIP for Certificate of Need Projects   (Note X)</t>
  </si>
  <si>
    <t>216.b</t>
  </si>
  <si>
    <t xml:space="preserve">ADJUSTMENTS TO RATE BASE       </t>
  </si>
  <si>
    <t xml:space="preserve">  Account No. 281 (enter negative)  (Note F,  Note Y)</t>
  </si>
  <si>
    <t>273.8.k</t>
  </si>
  <si>
    <t>zero</t>
  </si>
  <si>
    <t xml:space="preserve">  Account No. 282 (enter negative)  (Note F,  Note Y)</t>
  </si>
  <si>
    <t>275.2.k</t>
  </si>
  <si>
    <t>NP</t>
  </si>
  <si>
    <t xml:space="preserve">  Account No. 283 (enter negative)  (Note F,  Note Y)</t>
  </si>
  <si>
    <t>277.9.k</t>
  </si>
  <si>
    <t xml:space="preserve">  Account No. 190                            (Note F,  Note Y) </t>
  </si>
  <si>
    <t>234.8.c</t>
  </si>
  <si>
    <t xml:space="preserve">  Account No. 255 (enter negative)  (Note F,  Note Y)</t>
  </si>
  <si>
    <t>267.8.h</t>
  </si>
  <si>
    <t>23a</t>
  </si>
  <si>
    <t xml:space="preserve">  Net Prefunded AFUDC on CWIP Included in Rate Base</t>
  </si>
  <si>
    <t>(Note W, Note X)</t>
  </si>
  <si>
    <t>23b</t>
  </si>
  <si>
    <t xml:space="preserve">  Unamortized Balance of Abandoned Plant</t>
  </si>
  <si>
    <t>TOTAL ADJUSTMENTS  (sum lines 19- 23b)</t>
  </si>
  <si>
    <t xml:space="preserve">LAND HELD FOR FUTURE USE  (Note Y)         </t>
  </si>
  <si>
    <t>214.x.d  (Note G)</t>
  </si>
  <si>
    <t>does not include AFUDC or Prefunded AFUDC. Therefor the CWIP related Pre-funded AFUDC</t>
  </si>
  <si>
    <t>None</t>
  </si>
  <si>
    <t>8. a.v.</t>
  </si>
  <si>
    <t>No items in the Annual True-up were included at an amount other than on a historic cost basis.</t>
  </si>
  <si>
    <t>Include a workable data-populated Formula Rate Template and underlying work papers in native format with all formulas and links intact;</t>
  </si>
  <si>
    <t>Provide the formula rate calculations and all inputs thereto, as well as supporting documentation and work papers for data that are used in the Annual True-Up that are not otherwise available in the FERC Form No. 1 reports;</t>
  </si>
  <si>
    <t>See Items Identified below.</t>
  </si>
  <si>
    <t>Account 456 - Other Electric Revenue (1)</t>
  </si>
  <si>
    <t>Balance per above</t>
  </si>
  <si>
    <t xml:space="preserve">     Total as reported on Form 1 Page 330</t>
  </si>
  <si>
    <t>Prefunded Balance</t>
  </si>
  <si>
    <t>NSP Companies MISO Attachment O - NSP</t>
  </si>
  <si>
    <t>Annual True-up</t>
  </si>
  <si>
    <t>11</t>
  </si>
  <si>
    <t>12</t>
  </si>
  <si>
    <t>13</t>
  </si>
  <si>
    <t>14</t>
  </si>
  <si>
    <t>13 Mo Ave</t>
  </si>
  <si>
    <t>Construction Work In Progress Detail</t>
  </si>
  <si>
    <t>Less:  Att GG 2013 True Up Revenue Requirement</t>
  </si>
  <si>
    <t>Less:  Att MM 2013 True Up Revenue Requirement</t>
  </si>
  <si>
    <t>WORKING CAPITAL  (Note H)</t>
  </si>
  <si>
    <t xml:space="preserve">  CWC  </t>
  </si>
  <si>
    <t>calculated</t>
  </si>
  <si>
    <t xml:space="preserve">  Materials &amp; Supplies  (Note G, Note Y)               </t>
  </si>
  <si>
    <t>227.8.c &amp; .16.c</t>
  </si>
  <si>
    <t>TE</t>
  </si>
  <si>
    <t xml:space="preserve">  Prepayments  (Account 165, Note Y)                  </t>
  </si>
  <si>
    <t>111.57.c</t>
  </si>
  <si>
    <t>GP</t>
  </si>
  <si>
    <t>TOTAL WORKING CAPITAL  (sum lines 26 - 28)</t>
  </si>
  <si>
    <t>RATE BASE  (sum lines 18, 18a, 24, 25, &amp; 29)</t>
  </si>
  <si>
    <t>Page 3 of 5</t>
  </si>
  <si>
    <t>O&amp;M  (Note FF)</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</si>
  <si>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</si>
  <si>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</si>
  <si>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</si>
  <si>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</si>
  <si>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</si>
  <si>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</si>
  <si>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</si>
  <si>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</si>
  <si>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</si>
  <si>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</si>
  <si>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</si>
  <si>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</si>
  <si>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</si>
  <si>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</si>
  <si>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 (Note EE)</t>
  </si>
  <si>
    <t>336.7.b</t>
  </si>
  <si>
    <t>9a</t>
  </si>
  <si>
    <t xml:space="preserve">  Prefunded AFUDC Amortization</t>
  </si>
  <si>
    <t>(Note W)</t>
  </si>
  <si>
    <t>9b</t>
  </si>
  <si>
    <t xml:space="preserve">  Abandoned Plant Amortization</t>
  </si>
  <si>
    <t>336.10.f &amp; 336.1.f</t>
  </si>
  <si>
    <t xml:space="preserve">  Common &amp; Intangible</t>
  </si>
  <si>
    <t>336.11.b &amp; 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</si>
  <si>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</si>
  <si>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</si>
  <si>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</si>
  <si>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</si>
  <si>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</si>
  <si>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</si>
  <si>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</si>
  <si>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</si>
  <si>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</si>
  <si>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</si>
  <si>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</si>
  <si>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</si>
  <si>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</si>
  <si>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</si>
  <si>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</si>
  <si>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</si>
  <si>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</si>
  <si>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</si>
  <si>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</si>
  <si>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</si>
  <si>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</si>
  <si>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</si>
  <si>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</si>
  <si>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</si>
  <si>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</si>
  <si>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</si>
  <si>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</si>
  <si>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AA)</t>
  </si>
  <si>
    <t xml:space="preserve">[revenue requirement for facilities included on page 2, line 2, and also included </t>
  </si>
  <si>
    <t>in Attachment GG]</t>
  </si>
  <si>
    <t>30a</t>
  </si>
  <si>
    <t>LESS ATTACHMENT MM ADJUSTMENT [Attachment MM, page 2, line 3, column 10]  (Note CC)</t>
  </si>
  <si>
    <t>in Attachment MM]</t>
  </si>
  <si>
    <t>REV. REQUIREMENT TO BE COLLECTED UNDER ATTACHMENT O</t>
  </si>
  <si>
    <t>(line 29 - line 30 - line 30a)</t>
  </si>
  <si>
    <t>Page 4 of 5</t>
  </si>
  <si>
    <t xml:space="preserve">                SUPPORTING CALCULATIONS AND NOTES</t>
  </si>
  <si>
    <t>TRANSMISSION PLANT INCLUDED IN ISO RATES</t>
  </si>
  <si>
    <t>Total transmission plant  (page 2, line 2 -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</si>
  <si>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</si>
  <si>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</si>
  <si>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</si>
  <si>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</si>
  <si>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</si>
  <si>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</si>
  <si>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Schedule 1 Recoverable Expenses</t>
  </si>
  <si>
    <t>Total transmission expenses  (page 3, line 1, column 3)</t>
  </si>
  <si>
    <t>Less transmission expenses included in OATT Ancillary Services  (Note L)</t>
  </si>
  <si>
    <t>Acct 561 included in Line 7</t>
  </si>
  <si>
    <t>Included transmission expenses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</si>
  <si>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</si>
  <si>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</si>
  <si>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</si>
  <si>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</si>
  <si>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</si>
  <si>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</si>
  <si>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</si>
  <si>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</si>
  <si>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</si>
  <si>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</si>
  <si>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</si>
  <si>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</si>
  <si>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</si>
  <si>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</si>
  <si>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</si>
  <si>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Net Schedule 1 Expenses (Acct 561 minus Credits)</t>
  </si>
  <si>
    <t>354.20.b</t>
  </si>
  <si>
    <t>354.21.b</t>
  </si>
  <si>
    <t>354.23.b</t>
  </si>
  <si>
    <t>W&amp;S Allocator</t>
  </si>
  <si>
    <t xml:space="preserve">  Other</t>
  </si>
  <si>
    <t>354.24, 25, 26.b</t>
  </si>
  <si>
    <t>($ / Allocation)</t>
  </si>
  <si>
    <t xml:space="preserve">  Total  (sum lines 12-15)</t>
  </si>
  <si>
    <t>=WS</t>
  </si>
  <si>
    <t>COMMON PLANT ALLOCATOR  (CE)  (Note O)</t>
  </si>
  <si>
    <t>% Electric</t>
  </si>
  <si>
    <t xml:space="preserve">  Electric</t>
  </si>
  <si>
    <t>200.3.c</t>
  </si>
  <si>
    <t>(line 17 / line 20)</t>
  </si>
  <si>
    <t>(line 16)</t>
  </si>
  <si>
    <t xml:space="preserve">  Gas</t>
  </si>
  <si>
    <t>201.3.d</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</si>
  <si>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</si>
  <si>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</si>
  <si>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</si>
  <si>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</si>
  <si>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</si>
  <si>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</si>
  <si>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</si>
  <si>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Proprietary Capital  (112.16.c)</t>
  </si>
  <si>
    <t xml:space="preserve">Less Preferred Stock (line 28) </t>
  </si>
  <si>
    <t>Less Account 216.1 (112.12.c)  (enter negative)</t>
  </si>
  <si>
    <t>(sum lines 23-25)</t>
  </si>
  <si>
    <t>%</t>
  </si>
  <si>
    <t>(Note P)</t>
  </si>
  <si>
    <t xml:space="preserve">  Long Term Debt  (112, sum of  18.c through 21.c)</t>
  </si>
  <si>
    <t>=WCLTD</t>
  </si>
  <si>
    <t xml:space="preserve">  Preferred Stock  (112.3.c)</t>
  </si>
  <si>
    <t xml:space="preserve">  Common Stock  (line 26)</t>
  </si>
  <si>
    <t>Total  (sum lines 27-29)</t>
  </si>
  <si>
    <t>=R</t>
  </si>
  <si>
    <t>REVENUE CREDITS</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</si>
  <si>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</si>
  <si>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</si>
  <si>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</si>
  <si>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</si>
  <si>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</si>
  <si>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</si>
  <si>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</si>
  <si>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</si>
  <si>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</si>
  <si>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</si>
  <si>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</si>
  <si>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</si>
  <si>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36b</t>
  </si>
  <si>
    <t>Total of (a)-(b)-(c)-(d)</t>
  </si>
  <si>
    <t>Page 5 of 5</t>
  </si>
  <si>
    <t>For the 12 months ended 12/31/__</t>
  </si>
  <si>
    <t>General Note:  References to pages in this formulary rate are indicated as:  (page#, line#, col.#)</t>
  </si>
  <si>
    <t>References to data from FERC Form 1 are indicated as:   #.y.x  (page, line, column)</t>
  </si>
  <si>
    <t>Note</t>
  </si>
  <si>
    <t>Letter</t>
  </si>
  <si>
    <t>A</t>
  </si>
  <si>
    <t>As reported on page 400, column e of Form 1.</t>
  </si>
  <si>
    <t>B</t>
  </si>
  <si>
    <t>Labeled LF, LU, IF, IU on pages 310-311 of Form 1.</t>
  </si>
  <si>
    <t>C</t>
  </si>
  <si>
    <t>As reported on page 400, column f of Form 1.</t>
  </si>
  <si>
    <t>D</t>
  </si>
  <si>
    <t>Labeled LF on page 328 of Form 1.</t>
  </si>
  <si>
    <t>E</t>
  </si>
  <si>
    <t xml:space="preserve">The FERC's annual charges for the year assessed the Transmission Owner for service under this tariff. </t>
  </si>
  <si>
    <t>F</t>
  </si>
  <si>
    <t xml:space="preserve">The balances in Accounts 190, 281, 282 and 283, as adjusted by any amounts in contra accounts identified as regulatory assets or liabilities related to FASB 106 or 109.  </t>
  </si>
  <si>
    <t xml:space="preserve">Balance of Account 255 is reduced by prior flow throughs and excluded if the utility chose to utilize amortization of tax credits against taxable income as discussed in Note K. </t>
  </si>
  <si>
    <t>Account 281 is not allocated.</t>
  </si>
  <si>
    <t>G</t>
  </si>
  <si>
    <t>Identified in Form 1 as being only transmission related.</t>
  </si>
  <si>
    <t>H</t>
  </si>
  <si>
    <t xml:space="preserve">Cash Working Capital assigned to transmission is one-eighth of O&amp;M allocated to transmission at page 3, line 8, column 5.  Prepayments are the electric related </t>
  </si>
  <si>
    <t>prepayments booked to Account No. 165 and reported on Page 111, line 57 in the Form 1.</t>
  </si>
  <si>
    <t>I</t>
  </si>
  <si>
    <t>No material adjustments were made to the FERC Form No. 1 report data.</t>
  </si>
  <si>
    <t>Att GG Col 10</t>
  </si>
  <si>
    <t>Att MM Col 14</t>
  </si>
  <si>
    <t xml:space="preserve">Line 5 - EPRI Annual Membership Dues listed in Form 1 at 353.f, all Regulatory Commission Expenses itemized at 351.h, and non-safety related advertising included in </t>
  </si>
  <si>
    <t xml:space="preserve">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</si>
  <si>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</si>
  <si>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t>
  </si>
  <si>
    <t>receipts taxes are not included in transmission revenue requirement in the Rate Formula Template, since they are recovered elsewhere.</t>
  </si>
  <si>
    <t>K</t>
  </si>
  <si>
    <t xml:space="preserve">The currently effective income tax rate,  where FIT is the Federal income tax rate; SIT is the State income tax rate, and p = "the percentage of federal income tax </t>
  </si>
  <si>
    <t xml:space="preserve">deductible for state income taxes".  If the utility is taxed in more than one state it must attach a work paper showing the name of each state and how the blended or </t>
  </si>
  <si>
    <t xml:space="preserve">composite SIT was developed.  Furthermore, a utility that elected to utilize amortization of tax credits against taxable income, rather than book tax credits to Account No. 255 </t>
  </si>
  <si>
    <t>and reduce rate base, must reduce its income tax expense by the amount of the Amortized Investment Tax Credit (Form 1, 266.8.f) multiplied by (1/1-T) (page 3, line 26).</t>
  </si>
  <si>
    <t xml:space="preserve">         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</si>
  <si>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</si>
  <si>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</si>
  <si>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</si>
  <si>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</si>
  <si>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</si>
  <si>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</si>
  <si>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</si>
  <si>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</si>
  <si>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t>
  </si>
  <si>
    <t>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</si>
  <si>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</si>
  <si>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t>
    </r>
  </si>
  <si>
    <t xml:space="preserve">in OATT ancillary services.  For these purposes, generation step-up facilities are those facilities at a generator substation on which there is no through-flow when the </t>
  </si>
  <si>
    <t>generator is shut down.</t>
  </si>
  <si>
    <t>O</t>
  </si>
  <si>
    <t>Enter dollar amounts</t>
  </si>
  <si>
    <t>P</t>
  </si>
  <si>
    <t xml:space="preserve">Debt cost rate = long-term interest (line 21) / long term debt (line 27).  Preferred cost rate = preferred dividends (line 22) / preferred outstanding (line 28).  ROE will </t>
  </si>
  <si>
    <t>be supported in the original filing and no change in ROE may be made absent a filing with FERC.</t>
  </si>
  <si>
    <t>Q</t>
  </si>
  <si>
    <t>Line 33 must equal zero since all short-term power sales must be unbundled and the transmission component reflected in Account No. 456.1 and all other uses are to be</t>
  </si>
  <si>
    <t>included in the divisor.</t>
  </si>
  <si>
    <t>R</t>
  </si>
  <si>
    <t>Includes income related only to transmission facilities, such as pole attachments, rentals and special use.</t>
  </si>
  <si>
    <t>S</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</si>
  <si>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t>
    </r>
  </si>
  <si>
    <r>
      <t xml:space="preserve">in line 13, page 1.  Grandfathered agreements whose rates have </t>
    </r>
    <r>
      <rPr>
        <u/>
        <sz val="12"/>
        <rFont val="Times New Roman"/>
        <family val="1"/>
      </rPr>
      <t>not</t>
    </r>
    <r>
      <rPr>
        <sz val="12"/>
        <rFont val="Times New Roman"/>
        <family val="1"/>
      </rPr>
      <t xml:space="preserve"> been changed to eliminate or mitigate pancaking - the revenues are not included in line 4, page 1 nor</t>
    </r>
  </si>
  <si>
    <t>are the loads included in line 13, page 1.</t>
  </si>
  <si>
    <t>T</t>
  </si>
  <si>
    <r>
      <t>The revenues credited on page 1</t>
    </r>
    <r>
      <rPr>
        <sz val="12"/>
        <color indexed="10"/>
        <rFont val="Times New Roman"/>
        <family val="1"/>
      </rPr>
      <t>,</t>
    </r>
    <r>
      <rPr>
        <sz val="12"/>
        <rFont val="Times New Roman"/>
        <family val="1"/>
      </rPr>
      <t xml:space="preserve"> lines 2-5 shall include only the amounts received directly (in the case of grandfathered agreements) or from the ISO (for service </t>
    </r>
  </si>
  <si>
    <t>under this tariff) reflecting the Transmission Owner's integrated transmission facilities.  They do not include revenues associated with FERC annual charges, gross receipts</t>
  </si>
  <si>
    <t>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</si>
  <si>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</si>
  <si>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</si>
  <si>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</si>
  <si>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Account Nos. 561.4 and 561.8 consist of RTO expenses billed to load-serving entities and are not included in Transmission Owner revenue requirements.</t>
  </si>
  <si>
    <t>W</t>
  </si>
  <si>
    <t>Page 2, Line 23a includes the net pre-funded AFUDC amount associated with the CWIP projects included in rate base. The net pre-funded AFUDC amount is a total</t>
  </si>
  <si>
    <t xml:space="preserve">NSP System number (not jurisdictionalized), and is a reduction to rate base.  Page 3, line 9a includes that annual ammortization of the pre-funded AFUDC amounts for  </t>
  </si>
  <si>
    <t>the total NSP System (also not jurisdictionalized) and is a reduction to standard depreciation.</t>
  </si>
  <si>
    <t>Page 2, line 23b incudes any unamortized balances related to the recovery of abandoned plant costs approved by FERC under a separate docket.</t>
  </si>
  <si>
    <t>Page 3, line 9b includes the amoritization expense of abandonment costs included in transmission depreciation expense.</t>
  </si>
  <si>
    <t>These amounts are shown in the workpapers required pursuant to the Annual Rate Calculation and True-Up Procedures.</t>
  </si>
  <si>
    <t>X</t>
  </si>
  <si>
    <t>Calculate using 13 month average balance, reconciling to FERC Form No. 1 by page, line and column as shown in Column 2.</t>
  </si>
  <si>
    <t>Y</t>
  </si>
  <si>
    <t xml:space="preserve">Comparison of 2014 Actuals to 2014 Budget </t>
  </si>
  <si>
    <t>For the 12 months ended 12/31/14</t>
  </si>
  <si>
    <t>2014 Actual Workpaper</t>
  </si>
  <si>
    <t>Actual 12 Months Ended December 31, 2014</t>
  </si>
  <si>
    <t>January 2014</t>
  </si>
  <si>
    <t>December 2014</t>
  </si>
  <si>
    <t>December 2014 Per FERC Form 1</t>
  </si>
  <si>
    <t>December 2014 Attachment O</t>
  </si>
  <si>
    <t>historic 2014 FF1 Net Plant</t>
  </si>
  <si>
    <t>Plus: Actual Att GG Revenues Booked in 2014</t>
  </si>
  <si>
    <t>Plus: Actual Att MM Revenues Booked in 2014</t>
  </si>
  <si>
    <t>Actual 2012</t>
  </si>
  <si>
    <t>Budget 2012</t>
  </si>
  <si>
    <t>Interest form Jan 1, 2012 the Dec 31, 2013</t>
  </si>
  <si>
    <t>4th Qtr 2012</t>
  </si>
  <si>
    <t>3rd Qtr 2012</t>
  </si>
  <si>
    <t>2nd Qtr 2012</t>
  </si>
  <si>
    <t>1st Qtr 2012</t>
  </si>
  <si>
    <t>1st Qtr 2013</t>
  </si>
  <si>
    <t>2nd Qtr 2013</t>
  </si>
  <si>
    <t>3rd Qtr 2013</t>
  </si>
  <si>
    <t>4th Qtr 2013</t>
  </si>
  <si>
    <t>NSP Companies 2014 True-Up Compliance Matrix</t>
  </si>
  <si>
    <t>Interest Rate (@ FERC Refund Rate)</t>
  </si>
  <si>
    <t>FERC Rate</t>
  </si>
  <si>
    <t>Average Rate for 19 months</t>
  </si>
  <si>
    <t xml:space="preserve">See Tabs: "2014 Attachment O" and tabs beginning with "WP" </t>
  </si>
  <si>
    <t xml:space="preserve">NSPM and NSPW FERC Form No. 1 reports were used for the calendar year 2014 </t>
  </si>
  <si>
    <t xml:space="preserve">See Tabs: "2014 True Up Calculation"; "2014 Attachment O" and tabs beginning with "WP" </t>
  </si>
  <si>
    <t>No Changes for the 2014 Actual Costs formula template</t>
  </si>
  <si>
    <t>Balance by Project</t>
  </si>
  <si>
    <t>CAPX 2020 Brookings</t>
  </si>
  <si>
    <t>CAPX 2020-Bemidji</t>
  </si>
  <si>
    <t>CAPX 2020 Fargo</t>
  </si>
  <si>
    <t>CAPX 2020 La Crosse</t>
  </si>
  <si>
    <t>Chisago Apple River</t>
  </si>
  <si>
    <t>BRIGO</t>
  </si>
  <si>
    <t>In Service</t>
  </si>
  <si>
    <t>Dec 2014 Balance</t>
  </si>
  <si>
    <t>FERC fee</t>
  </si>
  <si>
    <t>Jan 2014</t>
  </si>
  <si>
    <t>Dec 2014</t>
  </si>
  <si>
    <t>0.408144-.35</t>
  </si>
  <si>
    <t>0.058144/.65</t>
  </si>
  <si>
    <t>=(1-0.0894523)*0.35+0.0894523</t>
  </si>
  <si>
    <t>NSP Revenue Credits for FERC Account 456</t>
  </si>
  <si>
    <t>JDE Account</t>
  </si>
  <si>
    <t>Revenue for Load in Divisor</t>
  </si>
  <si>
    <t xml:space="preserve"> Revenue for Load not in Divisor</t>
  </si>
  <si>
    <t>Sch 26 *</t>
  </si>
  <si>
    <t xml:space="preserve">        PTP Firm - Tsmn RTO</t>
  </si>
  <si>
    <t xml:space="preserve">        Grandfathered TM1</t>
  </si>
  <si>
    <t xml:space="preserve">        PTP Non-Frim - Tsmn RT</t>
  </si>
  <si>
    <t xml:space="preserve">        Network - Tsmn - OATT</t>
  </si>
  <si>
    <t xml:space="preserve">        Network - Tsmn RTO</t>
  </si>
  <si>
    <t xml:space="preserve">        Network - Whls</t>
  </si>
  <si>
    <t xml:space="preserve">        Network - GFA</t>
  </si>
  <si>
    <t xml:space="preserve">        Joint Pricing Zone - G</t>
  </si>
  <si>
    <t xml:space="preserve">        Joint Pricing Zone - S</t>
  </si>
  <si>
    <t xml:space="preserve">        Contracts-SD State Pen</t>
  </si>
  <si>
    <t xml:space="preserve">        Contracts-WPPI Meter S</t>
  </si>
  <si>
    <t xml:space="preserve">        Contracts-UPA</t>
  </si>
  <si>
    <t xml:space="preserve">        Contracts-UND</t>
  </si>
  <si>
    <t xml:space="preserve">        Contracts-Granite Fall</t>
  </si>
  <si>
    <t xml:space="preserve">        Contracts-E Grand Fork</t>
  </si>
  <si>
    <t xml:space="preserve">        Contracts - Miscellane</t>
  </si>
  <si>
    <t xml:space="preserve">        Sch 1 - Tsmn OATT</t>
  </si>
  <si>
    <t xml:space="preserve">        Sch 1. - Tsmn RTO</t>
  </si>
  <si>
    <t xml:space="preserve">        Sch 1. - Tsmn RTO Firm</t>
  </si>
  <si>
    <t xml:space="preserve">        Sch 1. - Tsmn RTO Non-Firm</t>
  </si>
  <si>
    <t xml:space="preserve">        Sch 1-Sch,Sys Ctrl&amp;Disp</t>
  </si>
  <si>
    <t xml:space="preserve">        Sch 1-Sch, Sys Ctrl Int</t>
  </si>
  <si>
    <t xml:space="preserve">        Sch 2 - Tsmn-OATT</t>
  </si>
  <si>
    <t xml:space="preserve">        Sch 2 - Tsmn-RTO</t>
  </si>
  <si>
    <t xml:space="preserve">        Sch 2-PTP</t>
  </si>
  <si>
    <t xml:space="preserve">        Sch 2-Rctve Supp</t>
  </si>
  <si>
    <t xml:space="preserve">        Sch 2-Reactive Supply -</t>
  </si>
  <si>
    <t xml:space="preserve">        Sch 3 - Tsmn-OATT</t>
  </si>
  <si>
    <t xml:space="preserve">        Sch 5 - Tsmn-OATT</t>
  </si>
  <si>
    <t xml:space="preserve">        Sch 6 - Tsmn-OATT</t>
  </si>
  <si>
    <t xml:space="preserve">       Sch 24 - Bal Auth</t>
  </si>
  <si>
    <t xml:space="preserve">       Other RTO GFA Revenue</t>
  </si>
  <si>
    <t xml:space="preserve">        Sch 14 Reg Thru &amp; Out-</t>
  </si>
  <si>
    <t xml:space="preserve">        Sch 26 Sub-Reg Rate Ad</t>
  </si>
  <si>
    <t xml:space="preserve">        Sch 26a-MVP NSP 1203</t>
  </si>
  <si>
    <t xml:space="preserve">        Sch 37 Trans Exp Plan</t>
  </si>
  <si>
    <t xml:space="preserve">        Sch 38 Trans Exp Plan</t>
  </si>
  <si>
    <t xml:space="preserve">        Trans Expansion Plan - Whls</t>
  </si>
  <si>
    <t xml:space="preserve">       FERC Assmt Passthrough</t>
  </si>
  <si>
    <t xml:space="preserve">        RTO-Passthrough Rev -</t>
  </si>
  <si>
    <t>Totals</t>
  </si>
  <si>
    <t>Less GG True Up Revenues</t>
  </si>
  <si>
    <t>Less MM True Up Revenues</t>
  </si>
  <si>
    <t>Actual Att GG Revenues</t>
  </si>
  <si>
    <t>Actual Att MM Revenues</t>
  </si>
  <si>
    <t>Form 1 Page 330</t>
  </si>
  <si>
    <t xml:space="preserve">* These revenues are not credited back as the costs associated with them is not included in the Revenue Requirement calculation. </t>
  </si>
  <si>
    <t>Attachment O-NSP</t>
  </si>
  <si>
    <t xml:space="preserve">  c. Transmission charges from Schedules associated with Attachment GG (Note BB)</t>
  </si>
  <si>
    <t xml:space="preserve">  d. Transmission charges from Schedules associated with Attachment MM  (Note DD)</t>
  </si>
  <si>
    <t>Pursuant to Attachment GG of the Midwest ISO Tariff, removes dollar amount of revenue requirements calculated pursuant to Attachment GG.</t>
  </si>
  <si>
    <t xml:space="preserve">Removes from revenue credits revenues that are distributed pursuant to Schedules associated with Attachment GG of the Midwest ISO Tariff, since the </t>
  </si>
  <si>
    <t>Transmission Owner's Attachment O revenue requirements have already been reduced by the Attachment GG revenue requirements.</t>
  </si>
  <si>
    <t>Pursuant to Attachment MM of the Midwest ISO Tariff, removes dollar amount of revenue requirements calculated pursuant to Attachment MM.</t>
  </si>
  <si>
    <t xml:space="preserve">Removes from revenue credits revenues that are distributed pursuant to Schedules associated with Attachment MM of the Midwest ISO Tariff, since the </t>
  </si>
  <si>
    <t>Transmission Owner's Attachment O revenue requirements have already been reduced by the Attachment MM revenue requirements.</t>
  </si>
  <si>
    <t>Schedule 10-FERC charges should not be included in O&amp;M recovered under this Attachment O.</t>
  </si>
  <si>
    <t>Actual 2014</t>
  </si>
  <si>
    <t>Budget 2014</t>
  </si>
  <si>
    <t>Based off historic</t>
  </si>
  <si>
    <t>LESS ATTACHMENT MM ADJUSTMENT [Attachment MM, page 2, line 3, column 14]  (Note CC)</t>
  </si>
  <si>
    <t>NOT USED ANYWHERE</t>
  </si>
  <si>
    <t>DAVE GROVER # USED ON PAGE 1</t>
  </si>
  <si>
    <t xml:space="preserve">  c. Transmission charges associated with Attachment GG  (Note BB)</t>
  </si>
  <si>
    <t xml:space="preserve">  d. Transmission charges associated with Attachment MM (Note DD)</t>
  </si>
  <si>
    <t xml:space="preserve">Removes from revenue credits revenues that are distributed pursuant to Schedules associated with Attachment GG of the Midwest ISO Tariff, since the Transmission Owner's Attachment O </t>
  </si>
  <si>
    <t>revenue requirements have already been reduced by the Attachment GG revenue requirements.</t>
  </si>
  <si>
    <t xml:space="preserve">Removes from revenue credits revenues that are distributed pursuant to Schedules associated with Attachment MM of the Midwest ISO Tariff, since the Transmission Owner's Attachment O </t>
  </si>
  <si>
    <t>revenue requirements have already been reduced by the Attachment MM revenue requirements.</t>
  </si>
  <si>
    <t>Schedule 10-FERC charges shoul dnot be included in O&amp;M recovered under this Attachment O.</t>
  </si>
  <si>
    <t>2014 Act Rev Req incl TU</t>
  </si>
  <si>
    <t>The decrease in the weighted cost of capital for 2014 of (0.27%) [8.64% actual compared to the budget level of 8.91%] was primarily associated with of a lower overall cost of debt (4.41% actual compared to 4.97% budget). The 2014 actual equity percentage decreased slightly compared to the budgeted level (53.11% actual compared to 53.18% budget).</t>
  </si>
  <si>
    <t xml:space="preserve">The unfavorable deviation in the actual transmission usage 226,250 is due primarily to  lower RQ service volumes 270k which were partially offset by and slightly higher than planned Network loads of 44k.   </t>
  </si>
  <si>
    <t>2014 Workpapers Pursuant to the Annual Rate</t>
  </si>
  <si>
    <t>Prepayments per FERC Form 1 Page 111 line 57</t>
  </si>
  <si>
    <t>2013</t>
  </si>
  <si>
    <t>2014</t>
  </si>
  <si>
    <t>Less Income Tax Prepayment</t>
  </si>
  <si>
    <t>NSP MN</t>
  </si>
  <si>
    <t>NSP WI</t>
  </si>
  <si>
    <t>Net Prepayment</t>
  </si>
  <si>
    <t xml:space="preserve">Net Prepayment </t>
  </si>
  <si>
    <t>None for the period.</t>
  </si>
  <si>
    <r>
      <t>a.</t>
    </r>
    <r>
      <rPr>
        <sz val="10"/>
        <rFont val="Arial"/>
        <family val="2"/>
      </rPr>
      <t xml:space="preserve">       </t>
    </r>
    <r>
      <rPr>
        <b/>
        <i/>
        <sz val="10"/>
        <rFont val="Arial"/>
        <family val="2"/>
      </rPr>
      <t xml:space="preserve">Facility Attachment Revenue </t>
    </r>
    <r>
      <rPr>
        <sz val="10"/>
        <rFont val="Arial"/>
        <family val="2"/>
      </rPr>
      <t xml:space="preserve">— Effective January 2014, NSPM and NSPW changed its accounting for facility pole attachments.  Previously the facility attachments were credited to revenues when billed although the lease term may extend several months.  The process was revised to charge the billed amounts to a deferred revenue account in FERC account 253 Other Deferred Credits and then amortize the billed amounts to other electric revenues over the lease term. There was no impact on the formula rate as the deferred revenues were fully amortized as of Dec. 31, 2014.  </t>
    </r>
  </si>
  <si>
    <r>
      <t>b.</t>
    </r>
    <r>
      <rPr>
        <b/>
        <sz val="10"/>
        <rFont val="Arial"/>
        <family val="2"/>
      </rPr>
      <t xml:space="preserve">       </t>
    </r>
    <r>
      <rPr>
        <b/>
        <i/>
        <sz val="10"/>
        <rFont val="Arial"/>
        <family val="2"/>
      </rPr>
      <t>Provision for Rate Refund</t>
    </r>
    <r>
      <rPr>
        <sz val="10"/>
        <rFont val="Arial"/>
        <family val="2"/>
      </rPr>
      <t xml:space="preserve"> — In November 2013, a group of customers filed a complaint at the FERC against MISO transmission owners, including NSPM and NSPW.  The complaint argued for a reduction in the ROE applicable to transmission formula rates in the MISO region.  The FERC has set the complaint for hearing and has established a refund effective date of Nov. 12, 2013.  NSPM recorded a liability representing the current best estimate of a refund obligation associated with the new ROE as of Dec. 31, 2014.  The refund obligation was recorded in FERC account 449.1 Provision for Rate Refunds.  </t>
    </r>
  </si>
  <si>
    <t>The lower operating costs of approximately ($17.0) was associated with lower actual depreciation costs of  ($8.5M), lower net A&amp;G costs ($3.4M), lower transmission operating costs ($2.8M), lower taxes other than income ($4.6M), which were partially offset by higher income taxes of $2.3M.</t>
  </si>
  <si>
    <t xml:space="preserve">The lower overall return requirement of ($1.3M) is the combination of higher actual rate base and a decrease in the overall weighted cost of capital. The higher actual rate base of $50.6M increased the return requirement approximately $4.4M while the decrease in the weighted cost of capital for 2014 (discussed below) lowered the return requirement by ($5.7M).  </t>
  </si>
  <si>
    <t xml:space="preserve">The increase in rate base of $50.6M was due to higher net plant (gross plant less reserve) of approximately $8.0M, higher CWIP associated with the CapX2020 projects 16.6M. lower level of adjustment to rate base (a deduction to rate base) associated with deferred taxes of $26.6M, partially offset by a decrease in working capital of $0.6M. </t>
  </si>
  <si>
    <r>
      <t xml:space="preserve">a.       </t>
    </r>
    <r>
      <rPr>
        <b/>
        <i/>
        <sz val="10"/>
        <rFont val="Arial"/>
        <family val="2"/>
      </rPr>
      <t>Common Administrative and General Allocator</t>
    </r>
    <r>
      <rPr>
        <sz val="10"/>
        <rFont val="Arial"/>
        <family val="2"/>
      </rPr>
      <t xml:space="preserve"> — In 2014 the formula used to calculate the three factor allocator to apportion common administrative and general costs (exclusive of accounts 925 and 926) was updated.  Prior to 2014, the formula added the gross operating revenue, utility plant in service, and supervised operating expenses for each utility (electric and gas) and then compared those amounts to total gross operating revenue, total utility plant in service, and total supervised operating expenses.  In 2014, the formula was revised to first calculate the percentage of each utility to total gross operating revenue, total utility plant in service, and total supervised operating expenses.  The three resulting percentages for the electric utility and the three resulting percentages for the gas utility were then averaged to determine the common administrative and general allocator.  Overall, the revision to the formula resulted in a lower allocation of common costs to the electric utility and included in the formula rate.  </t>
    </r>
  </si>
  <si>
    <r>
      <t xml:space="preserve">b.       </t>
    </r>
    <r>
      <rPr>
        <b/>
        <i/>
        <sz val="10"/>
        <rFont val="Arial"/>
        <family val="2"/>
      </rPr>
      <t>Prior Period Adjustments and Subsequent Events</t>
    </r>
    <r>
      <rPr>
        <sz val="10"/>
        <rFont val="Arial"/>
        <family val="2"/>
      </rPr>
      <t xml:space="preserve"> — As part of its normal reconciliation, reporting and audit processes, NSPM and NSPW may identify reconciling items and subsequent events following the completion of the annual close process. In aggregate, NSPM and NSPW are not aware of any transactions that had a material impact on the formula rate.  </t>
    </r>
  </si>
  <si>
    <t>No reorganization or merger transaction took place during the previous year that would have an impact on the formula rate calculations.</t>
  </si>
  <si>
    <t>Attachment MM - Supporting Data for Network Upgrade Charge Calculation - Forward Looking Rate Transmission Owner</t>
  </si>
  <si>
    <t xml:space="preserve">Rate Year </t>
  </si>
  <si>
    <t>Reporting Company</t>
  </si>
  <si>
    <t>Reliability</t>
  </si>
  <si>
    <t>MTEP Project ID</t>
  </si>
  <si>
    <t>1203</t>
  </si>
  <si>
    <t>GIP</t>
  </si>
  <si>
    <t>Pricing Zone</t>
  </si>
  <si>
    <t>Allocation Type Per Attachment FF</t>
  </si>
  <si>
    <t>Column (3)</t>
  </si>
  <si>
    <t>Depreciation</t>
  </si>
  <si>
    <t>Column (4)</t>
  </si>
  <si>
    <t>Column (10)</t>
  </si>
  <si>
    <t>Depreciation Expense</t>
  </si>
  <si>
    <t>Project Depreciation Expense</t>
  </si>
  <si>
    <t>Column (13)</t>
  </si>
  <si>
    <t>Project Amortization Expense</t>
  </si>
  <si>
    <t>Depreciation Expense Total</t>
  </si>
  <si>
    <t>Attachment MM - Generic Company</t>
  </si>
  <si>
    <t>Formula Rate calculation</t>
  </si>
  <si>
    <t>For  the 12 months ended 12/31/2014</t>
  </si>
  <si>
    <t xml:space="preserve"> Utilizing Attachment O Data</t>
  </si>
  <si>
    <t>Page 1 of 2</t>
  </si>
  <si>
    <t>To be completed in conjunction with Attachment O.</t>
  </si>
  <si>
    <t>(inputs from Attachment O are rounded to whole dollars)</t>
  </si>
  <si>
    <t>Attachment O</t>
  </si>
  <si>
    <t>Gross Transmission Plant - Total</t>
  </si>
  <si>
    <t>Attach O, p 2, line 2 col 5 (Note A)</t>
  </si>
  <si>
    <t>Transmission Accumulated Depreciation</t>
  </si>
  <si>
    <t>Attach O, p 2, line 8 col 5</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</si>
  <si>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</si>
  <si>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</si>
  <si>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</si>
  <si>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</si>
  <si>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</si>
  <si>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</si>
  <si>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</si>
  <si>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</si>
  <si>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</si>
  <si>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</si>
  <si>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</si>
  <si>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</si>
  <si>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</si>
  <si>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</si>
  <si>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</si>
  <si>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</si>
  <si>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</si>
  <si>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</si>
  <si>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</si>
  <si>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</si>
  <si>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</si>
  <si>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</si>
  <si>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</si>
  <si>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</si>
  <si>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</si>
  <si>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</si>
  <si>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</si>
  <si>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</si>
  <si>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</si>
  <si>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</si>
  <si>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</si>
  <si>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</si>
  <si>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</si>
  <si>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</si>
  <si>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</si>
  <si>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</si>
  <si>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</si>
  <si>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</si>
  <si>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</si>
  <si>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</si>
  <si>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</si>
  <si>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</si>
  <si>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</si>
  <si>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</si>
  <si>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</si>
  <si>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Attach O, p 3, line 27 col 5</t>
  </si>
  <si>
    <t>Annual Allocation Factor for Income Taxes</t>
  </si>
  <si>
    <t>(line 10 divided by line 2 col 3)</t>
  </si>
  <si>
    <t>Return on Rate Base</t>
  </si>
  <si>
    <t>Attach O, p 3, line 28 col 5</t>
  </si>
  <si>
    <t>Annual Allocation Factor for Return on Rate Base</t>
  </si>
  <si>
    <t>(line 12 divided by line 2 col 3)</t>
  </si>
  <si>
    <t>Annual Allocation Factor for Return</t>
  </si>
  <si>
    <t>Sum of line 11 and 13</t>
  </si>
  <si>
    <t>Page 2 of 2</t>
  </si>
  <si>
    <t>Multi-Value Project (MVP) Revenue Requirement Calculation</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</si>
  <si>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</si>
  <si>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</si>
  <si>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</si>
  <si>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</si>
  <si>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</si>
  <si>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</si>
  <si>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</si>
  <si>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</si>
  <si>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</si>
  <si>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</si>
  <si>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</si>
  <si>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</si>
  <si>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</si>
  <si>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</si>
  <si>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</si>
  <si>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</si>
  <si>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</si>
  <si>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</si>
  <si>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</si>
  <si>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</si>
  <si>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</si>
  <si>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</si>
  <si>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</si>
  <si>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Annual Revenue Requirement</t>
  </si>
  <si>
    <t>True-Up Adjustment</t>
  </si>
  <si>
    <t>MVP Annual Adjusted Revenue Requirement</t>
  </si>
  <si>
    <t>Page 1 line 4</t>
  </si>
  <si>
    <t>(Col 4 * Col 5)</t>
  </si>
  <si>
    <t>Page 1 line 9</t>
  </si>
  <si>
    <t>(Col 3 * Col 7)</t>
  </si>
  <si>
    <t>(Col 6 + Col 8)</t>
  </si>
  <si>
    <t>(Col 3 - Col 4)</t>
  </si>
  <si>
    <t>(Page 1 line 14)</t>
  </si>
  <si>
    <t>(Col 10 * Col 11)</t>
  </si>
  <si>
    <t>(Sum Col. 9, 12 &amp; 13)</t>
  </si>
  <si>
    <t>(Note F)</t>
  </si>
  <si>
    <t>Sum Col. 14 &amp; 15
(Note G)</t>
  </si>
  <si>
    <t>Multi-Value Projects (MVP)</t>
  </si>
  <si>
    <t>Brookings</t>
  </si>
  <si>
    <t>2</t>
  </si>
  <si>
    <t>MVP Total Annual Revenue Requirements</t>
  </si>
  <si>
    <t>Rev. Req. Adj For Attachment O</t>
  </si>
  <si>
    <t>Gross Transmission Plant is that identified on page 2 line 2 of Attachment O and includes any sub lines 2a or 2b etc. and is inclusive of any CWIP included in rate base when authorized by FERC order less any prefunded AFUDC, if applicable.</t>
  </si>
  <si>
    <t>References to Attachment O "Column 5" throughout this template is an illustrative column designation intended to reference the appropriate right-most column in Attachment O which position may vary by company.</t>
  </si>
  <si>
    <r>
      <t>Net Transmission Plant is that identified on page 2 line 14 of Attachment O and includes any sub lines 14a or 14b etc. and is inclusive of any CWIP included in rate base when authorized by FERC order</t>
    </r>
    <r>
      <rPr>
        <sz val="12"/>
        <rFont val="Arial"/>
        <family val="2"/>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</si>
  <si>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</si>
  <si>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</si>
  <si>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</si>
  <si>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Project Depreciation Expense is the actual value booked for the project and included in the Depreciation Expense in Attachment O page 3 line 12.</t>
  </si>
  <si>
    <t>True-Up Adjustment is included pursuant to a FERC approved methodology, if applicable.</t>
  </si>
  <si>
    <t>The MVP Annual Revenue Requirement is the value to be used in Schedules 26-A and 39.</t>
  </si>
  <si>
    <t>The Total General and Common Depreciation Expense excludes any depreciation expense directly associated with a project and thereby included in page 2 column 13.</t>
  </si>
  <si>
    <t>Attachment GG - Supporting Data for Network Upgrade Charge Calculation - Forward Looking Rate Transmission Owner</t>
  </si>
  <si>
    <t>1366</t>
  </si>
  <si>
    <t>1456</t>
  </si>
  <si>
    <t>1457</t>
  </si>
  <si>
    <t>1953</t>
  </si>
  <si>
    <t>279</t>
  </si>
  <si>
    <t>286</t>
  </si>
  <si>
    <t>1024</t>
  </si>
  <si>
    <t>1458</t>
  </si>
  <si>
    <t>2765</t>
  </si>
  <si>
    <t>2109</t>
  </si>
  <si>
    <t>2119</t>
  </si>
  <si>
    <t>2178</t>
  </si>
  <si>
    <t>1285</t>
  </si>
  <si>
    <t>3104</t>
  </si>
  <si>
    <t>3312</t>
  </si>
  <si>
    <t>3317</t>
  </si>
  <si>
    <t>Column (6)</t>
  </si>
  <si>
    <t>Column (9)</t>
  </si>
  <si>
    <r>
      <t xml:space="preserve">Attachment GG - </t>
    </r>
    <r>
      <rPr>
        <sz val="12"/>
        <rFont val="Arial"/>
        <family val="2"/>
      </rPr>
      <t>Generic Company</t>
    </r>
  </si>
  <si>
    <t>Attach O, p 2, line 14 and 23b col 5 (Note B)</t>
  </si>
  <si>
    <t>O&amp;M EXPENSE</t>
  </si>
  <si>
    <t>Annual Allocation Factor for O&amp;M</t>
  </si>
  <si>
    <t>(line 3 divided by line 1 col 3)</t>
  </si>
  <si>
    <t>Annual Allocation Factor for Expense</t>
  </si>
  <si>
    <t>Sum of line 4, 6, and 8</t>
  </si>
  <si>
    <t xml:space="preserve">                           Network Upgrade Charge Calculation By Project</t>
  </si>
  <si>
    <t xml:space="preserve">Project Gross Plant </t>
  </si>
  <si>
    <t>Network Upgrade Charge</t>
  </si>
  <si>
    <t>(Page 1 line 9)</t>
  </si>
  <si>
    <t>(Col. 3 * Col. 4)</t>
  </si>
  <si>
    <t>(Col. 6 * Col. 7)</t>
  </si>
  <si>
    <t>(Sum Col. 5, 8 &amp; 9)</t>
  </si>
  <si>
    <t>Sum Col. 10 &amp; 11
(Note G)</t>
  </si>
  <si>
    <t>Yankee (Colvill) Gen Station</t>
  </si>
  <si>
    <t>1b</t>
  </si>
  <si>
    <t>Cannon Falls</t>
  </si>
  <si>
    <t>1c</t>
  </si>
  <si>
    <t>Nobles Gen Station</t>
  </si>
  <si>
    <t>1d</t>
  </si>
  <si>
    <t>St. Cloud / Sauk River</t>
  </si>
  <si>
    <t>1e</t>
  </si>
  <si>
    <t xml:space="preserve">Bemidji </t>
  </si>
  <si>
    <t>1f</t>
  </si>
  <si>
    <t xml:space="preserve">Twin Cities - Fargo </t>
  </si>
  <si>
    <t>1g</t>
  </si>
  <si>
    <t xml:space="preserve">Twin Cities - Rochester </t>
  </si>
  <si>
    <t>1h</t>
  </si>
  <si>
    <t>G349  37774-01 Upgrades for G349</t>
  </si>
  <si>
    <t>1i</t>
  </si>
  <si>
    <t>Ulik Wind Farm (G185)</t>
  </si>
  <si>
    <t>1j</t>
  </si>
  <si>
    <t>G809 Network Upgrades</t>
  </si>
  <si>
    <t>1k</t>
  </si>
  <si>
    <t>G417 Network Upgrades</t>
  </si>
  <si>
    <t>1l</t>
  </si>
  <si>
    <t>G362 Pleasant Valley - Byron</t>
  </si>
  <si>
    <t>1m</t>
  </si>
  <si>
    <t>Glenco - West Waconia</t>
  </si>
  <si>
    <t>1n</t>
  </si>
  <si>
    <t>Mn Valley Kerkhoven</t>
  </si>
  <si>
    <t>1o</t>
  </si>
  <si>
    <t>Kohlman Lake Goose Lake</t>
  </si>
  <si>
    <t>1p</t>
  </si>
  <si>
    <t>Wilmarth Sub</t>
  </si>
  <si>
    <t>Annual Totals</t>
  </si>
  <si>
    <r>
      <t>Gross Transmission Plant is that identified on page 2 line 2 of Attachment O and includes any sub lines 2a or 2b etc. and is inclusive of any CWIP included in rate base when authorized by FERC order</t>
    </r>
    <r>
      <rPr>
        <sz val="12"/>
        <rFont val="Arial"/>
        <family val="2"/>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</si>
  <si>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family val="2"/>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</si>
  <si>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</si>
  <si>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</si>
  <si>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r>
      <t>The Network Upgrade Charge is the value to be used in Schedule</t>
    </r>
    <r>
      <rPr>
        <sz val="12"/>
        <rFont val="Arial"/>
        <family val="2"/>
      </rPr>
      <t>s 26, 37 and 38.</t>
    </r>
  </si>
  <si>
    <t>The Total General and Common Depreciation Expense excludes any depreciation expense directly associated with a project and thereby included in page 2 column 9.</t>
  </si>
  <si>
    <t>2014 Year True Up Calculation</t>
  </si>
  <si>
    <t xml:space="preserve">Revenue </t>
  </si>
  <si>
    <t>In-Service</t>
  </si>
  <si>
    <t xml:space="preserve">Requirement </t>
  </si>
  <si>
    <t>Attach GG/MM</t>
  </si>
  <si>
    <t>Attach O</t>
  </si>
  <si>
    <t>% of net plant in GRE</t>
  </si>
  <si>
    <t>Attachment GG Projects</t>
  </si>
  <si>
    <t>Total Project Cost</t>
  </si>
  <si>
    <t>50% NSP Pricing Zone Share</t>
  </si>
  <si>
    <t>Shared Cost</t>
  </si>
  <si>
    <t>286 *</t>
  </si>
  <si>
    <t>1024 *</t>
  </si>
  <si>
    <t>PIS Only</t>
  </si>
  <si>
    <t>CWIP Only</t>
  </si>
  <si>
    <t>Attachment MM Projects</t>
  </si>
  <si>
    <t>*  Includes 13-Mo Avg CWIP is provided for these projects.</t>
  </si>
  <si>
    <t>Total GG &amp; MM PIS</t>
  </si>
  <si>
    <t xml:space="preserve">Add Back Prefunded </t>
  </si>
  <si>
    <t>Gross GG &amp; MM PIS</t>
  </si>
  <si>
    <t>CAPX 2020 La Crosse Local</t>
  </si>
  <si>
    <t>Total Lacrosse MN (MISO &amp; Local)</t>
  </si>
  <si>
    <t>CAPX2020- Lacrosse - Subs MISO</t>
  </si>
  <si>
    <t>CAPX2020 - Lacrosse - Lines MISO</t>
  </si>
  <si>
    <t>CAPX2020 - Lacrosse - Land MISO</t>
  </si>
  <si>
    <t>Total Lacrosse MN MISO</t>
  </si>
  <si>
    <t>CAPX2020- Lacrosse - Subs Local</t>
  </si>
  <si>
    <t>CAPX2020 - Lacrosse - Lines Local</t>
  </si>
  <si>
    <t>CAPX2020 - Lacrosse - Land Local</t>
  </si>
  <si>
    <t>Date</t>
  </si>
  <si>
    <t>Version</t>
  </si>
  <si>
    <t>Explanation</t>
  </si>
  <si>
    <t>Revision 1</t>
  </si>
  <si>
    <t>Updated Tabs:</t>
  </si>
  <si>
    <t xml:space="preserve">     Comparison-Rev1</t>
  </si>
  <si>
    <t xml:space="preserve">     WP Revenue Credits-Rev 1</t>
  </si>
  <si>
    <t>6-12-15</t>
  </si>
  <si>
    <t>This Revision 1 replaces the original submitted file titled "NSP Attachment O - 2014 Actual Costs and Work Papers and 2014 True-Up Notice" posted on May 29, 2015.</t>
  </si>
  <si>
    <t xml:space="preserve">Initial calculations of project cost information for Attachement GG and Attachment MM projects inadvertently excluded certain labor related costs which resulted in an understatement of the Attachment GG and MM deductions from Attachment O, Page 3 Lines 30 and 30a. In addition a minor correction was made to the Prefunded rate base deductions calculation which updated the amount reported on Attachment O, Page 2 Line 23a.  </t>
  </si>
  <si>
    <t xml:space="preserve">     2014 True Up Calculation-Rev 1</t>
  </si>
  <si>
    <t xml:space="preserve">     2014 Attachment O-Rev 1</t>
  </si>
  <si>
    <t xml:space="preserve">     WP CWIP Detail Rev 1</t>
  </si>
  <si>
    <t xml:space="preserve">     WP Adj to Rate Base Rev 1</t>
  </si>
  <si>
    <t xml:space="preserve">     WP Prefunded AFUDC Rev 1</t>
  </si>
  <si>
    <t xml:space="preserve">     WP FERC 456 Rev 1</t>
  </si>
  <si>
    <t xml:space="preserve">     WP Att GG 2014 Actuals Rev 1</t>
  </si>
  <si>
    <t xml:space="preserve">     WP Att GG Support Rev 1</t>
  </si>
  <si>
    <t xml:space="preserve">     WP Att MM 2014 Actuals Rev 1</t>
  </si>
  <si>
    <t xml:space="preserve">     WP Att MM Support Rev 1</t>
  </si>
  <si>
    <t xml:space="preserve">     WP GG and MM Projects Rev 1</t>
  </si>
  <si>
    <t>2014 Workpapers</t>
  </si>
  <si>
    <t xml:space="preserve">     WP Cover Rev 1</t>
  </si>
  <si>
    <t>June 12, 2015 Rev 1</t>
  </si>
  <si>
    <t>The actual Annual Cost ($/kw/yr) was $42.772 which was ($1.254), or 2.85% lower than the budgeted cost of $44.026. The lower actual cost was driven by lower net revenue requirements of $18.9M partially offset by lower actual system transmission usage (actual demands were 226,250 KW lower than budget).</t>
  </si>
  <si>
    <t xml:space="preserve">The lower net revenue requirements were a function of lower gross revenue requirements of ($16.0M) and actual revenue credits being higher than budget by ($2.9M).  </t>
  </si>
  <si>
    <t>The lower gross revenue requirement was due to overall lower operating costs of approximately ($17.0M), and lower return requirement ($1.3M), partially offset by lower Attachment GG and MM revenue requirements which are a deduction in the Attachment O calculation of $2.3M.</t>
  </si>
  <si>
    <t xml:space="preserve">The impact of these updates is an increase of the original estimated Attachment O annual true-up from $3.4M to $8.9M. All effected work papers/tabs have been updated accordingly in this submission and are identified with a "Rev1" suffix.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</si>
</sst>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0.0000%"/>
    <numFmt numFmtId="170" formatCode="_(* #,##0_);_(* \(#,##0\);_(* &quot;-&quot;??_);_(@_)"/>
    <numFmt numFmtId="171" formatCode="0.0000"/>
    <numFmt numFmtId="172" formatCode="mmmm\ d\ yyyy"/>
    <numFmt numFmtId="173" formatCode="0.000%"/>
    <numFmt numFmtId="174" formatCode="#,##0.000_);\(#,##0.000\)"/>
    <numFmt numFmtId="175" formatCode="_(&quot;$&quot;* #,##0_);_(&quot;$&quot;* \(#,##0\);_(&quot;$&quot;* &quot;-&quot;??_);_(@_)"/>
    <numFmt numFmtId="176" formatCode="_(&quot;$&quot;* #,##0.00_);_(&quot;$&quot;* \(#,##0.00\);_(&quot;$&quot;* &quot;-&quot;_);_(@_)"/>
    <numFmt numFmtId="177" formatCode="#,##0.0"/>
    <numFmt numFmtId="178" formatCode="#,##0.000"/>
    <numFmt numFmtId="179" formatCode="_(&quot;$&quot;* #,##0.000_);_(&quot;$&quot;* \(#,##0.000\);_(&quot;$&quot;* &quot;-&quot;_);_(@_)"/>
    <numFmt numFmtId="180" formatCode="0.000000"/>
    <numFmt numFmtId="181" formatCode="0.00000"/>
    <numFmt numFmtId="182" formatCode="0.00000%"/>
    <numFmt numFmtId="183" formatCode="&quot;$&quot;#,##0.00"/>
    <numFmt numFmtId="184" formatCode="&quot;$&quot;#,##0"/>
    <numFmt numFmtId="185" formatCode="&quot;$&quot;#,##0.000"/>
    <numFmt numFmtId="186" formatCode="#,##0.00000"/>
    <numFmt numFmtId="187" formatCode="#,##0.0000"/>
    <numFmt numFmtId="188" formatCode="_(* #,##0.000_);_(* \(#,##0.000\);_(* &quot;-&quot;??_);_(@_)"/>
    <numFmt numFmtId="189" formatCode="0.000000%"/>
    <numFmt numFmtId="190" formatCode="0_);\(0\)"/>
  </numFmts>
  <fonts count="74">
    <font>
      <sz val="12"/>
      <name val="Arial"/>
    </font>
    <font>
      <sz val="12"/>
      <name val="Arial"/>
      <family val="2"/>
    </font>
    <font>
      <b/>
      <sz val="10"/>
      <name val="Arial"/>
      <family val="2"/>
    </font>
    <font>
      <sz val="11"/>
      <name val="??"/>
      <family val="3"/>
      <charset val="129"/>
    </font>
    <font>
      <sz val="10"/>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10"/>
      <color indexed="12"/>
      <name val="MS Sans Serif"/>
      <family val="2"/>
    </font>
    <font>
      <b/>
      <sz val="10"/>
      <color indexed="12"/>
      <name val="MS Sans Serif"/>
      <family val="2"/>
    </font>
    <font>
      <sz val="8"/>
      <name val="Arial"/>
      <family val="2"/>
    </font>
    <font>
      <sz val="8"/>
      <color indexed="12"/>
      <name val="Arial"/>
      <family val="2"/>
    </font>
    <font>
      <b/>
      <sz val="12"/>
      <name val="Arial"/>
      <family val="2"/>
    </font>
    <font>
      <sz val="12"/>
      <name val="Garamond"/>
      <family val="1"/>
    </font>
    <font>
      <b/>
      <sz val="10"/>
      <color indexed="8"/>
      <name val="Arial"/>
      <family val="2"/>
    </font>
    <font>
      <sz val="10"/>
      <color indexed="8"/>
      <name val="Arial"/>
      <family val="2"/>
    </font>
    <font>
      <b/>
      <sz val="10"/>
      <name val="Arial"/>
      <family val="2"/>
    </font>
    <font>
      <sz val="10"/>
      <name val="Arial"/>
      <family val="2"/>
    </font>
    <font>
      <b/>
      <sz val="18"/>
      <name val="Arial"/>
      <family val="2"/>
    </font>
    <font>
      <sz val="12"/>
      <name val="Times New Roman"/>
      <family val="1"/>
    </font>
    <font>
      <sz val="8"/>
      <color indexed="81"/>
      <name val="Tahoma"/>
      <family val="2"/>
    </font>
    <font>
      <b/>
      <sz val="8"/>
      <color indexed="81"/>
      <name val="Tahoma"/>
      <family val="2"/>
    </font>
    <font>
      <b/>
      <sz val="9"/>
      <name val="Arial"/>
      <family val="2"/>
    </font>
    <font>
      <b/>
      <sz val="12"/>
      <name val="Times New Roman"/>
      <family val="1"/>
    </font>
    <font>
      <sz val="10"/>
      <name val="Times New Roman"/>
      <family val="1"/>
    </font>
    <font>
      <sz val="12"/>
      <color indexed="9"/>
      <name val="Times New Roman"/>
      <family val="1"/>
    </font>
    <font>
      <sz val="18"/>
      <name val="Arial"/>
      <family val="2"/>
    </font>
    <font>
      <sz val="12"/>
      <name val="Arial"/>
      <family val="2"/>
    </font>
    <font>
      <b/>
      <i/>
      <sz val="10"/>
      <name val="Arial"/>
      <family val="2"/>
    </font>
    <font>
      <i/>
      <sz val="10"/>
      <name val="Arial"/>
      <family val="2"/>
    </font>
    <font>
      <b/>
      <u/>
      <sz val="10"/>
      <name val="Arial"/>
      <family val="2"/>
    </font>
    <font>
      <b/>
      <i/>
      <sz val="10"/>
      <color indexed="8"/>
      <name val="Arial"/>
      <family val="2"/>
    </font>
    <font>
      <sz val="11"/>
      <name val="Times New Roman"/>
      <family val="1"/>
    </font>
    <font>
      <b/>
      <sz val="8"/>
      <name val="Arial"/>
      <family val="2"/>
    </font>
    <font>
      <b/>
      <i/>
      <u/>
      <sz val="10"/>
      <name val="Arial"/>
      <family val="2"/>
    </font>
    <font>
      <b/>
      <sz val="12"/>
      <color indexed="10"/>
      <name val="Times New Roman"/>
      <family val="1"/>
    </font>
    <font>
      <sz val="12"/>
      <color indexed="12"/>
      <name val="Times New Roman"/>
      <family val="1"/>
    </font>
    <font>
      <strike/>
      <sz val="12"/>
      <color indexed="10"/>
      <name val="Times New Roman"/>
      <family val="1"/>
    </font>
    <font>
      <sz val="12"/>
      <color indexed="17"/>
      <name val="Times New Roman"/>
      <family val="1"/>
    </font>
    <font>
      <strike/>
      <sz val="12"/>
      <name val="Times New Roman"/>
      <family val="1"/>
    </font>
    <font>
      <sz val="12"/>
      <color indexed="10"/>
      <name val="Times New Roman"/>
      <family val="1"/>
    </font>
    <font>
      <sz val="12"/>
      <color indexed="8"/>
      <name val="Times New Roman"/>
      <family val="1"/>
    </font>
    <font>
      <u/>
      <sz val="12"/>
      <name val="Times New Roman"/>
      <family val="1"/>
    </font>
    <font>
      <u/>
      <sz val="10"/>
      <color indexed="8"/>
      <name val="Arial"/>
      <family val="2"/>
    </font>
    <font>
      <b/>
      <sz val="12"/>
      <color indexed="9"/>
      <name val="Times New Roman"/>
      <family val="1"/>
    </font>
    <font>
      <u/>
      <sz val="10"/>
      <name val="Arial"/>
      <family val="2"/>
    </font>
    <font>
      <sz val="14"/>
      <color indexed="8"/>
      <name val="Arial"/>
      <family val="2"/>
    </font>
    <font>
      <sz val="12"/>
      <color indexed="10"/>
      <name val="Arial"/>
      <family val="2"/>
    </font>
    <font>
      <sz val="12"/>
      <color indexed="10"/>
      <name val="Arial"/>
      <family val="2"/>
    </font>
    <font>
      <b/>
      <i/>
      <sz val="12"/>
      <color rgb="FFFF0000"/>
      <name val="Times New Roman"/>
      <family val="1"/>
    </font>
    <font>
      <sz val="9"/>
      <name val="Arial"/>
      <family val="2"/>
    </font>
    <font>
      <sz val="9"/>
      <color indexed="81"/>
      <name val="Tahoma"/>
      <family val="2"/>
    </font>
    <font>
      <b/>
      <sz val="9"/>
      <color indexed="81"/>
      <name val="Tahoma"/>
      <family val="2"/>
    </font>
    <font>
      <sz val="12"/>
      <color indexed="12"/>
      <name val="Arial MT"/>
    </font>
    <font>
      <sz val="10"/>
      <name val="Arial Narrow"/>
      <family val="2"/>
    </font>
    <font>
      <b/>
      <sz val="14"/>
      <name val="Arial"/>
      <family val="2"/>
    </font>
    <font>
      <sz val="14"/>
      <name val="Arial"/>
      <family val="2"/>
    </font>
    <font>
      <sz val="10"/>
      <color theme="4"/>
      <name val="Arial"/>
      <family val="2"/>
    </font>
    <font>
      <b/>
      <sz val="10"/>
      <color indexed="9"/>
      <name val="Arial"/>
      <family val="2"/>
    </font>
    <font>
      <sz val="12"/>
      <name val="Arial MT"/>
    </font>
    <font>
      <b/>
      <sz val="10"/>
      <color indexed="9"/>
      <name val="Arial MT"/>
    </font>
    <font>
      <sz val="10"/>
      <name val="Arial MT"/>
    </font>
    <font>
      <sz val="12"/>
      <color indexed="17"/>
      <name val="Arial MT"/>
    </font>
    <font>
      <b/>
      <sz val="12"/>
      <name val="Arial MT"/>
    </font>
    <font>
      <b/>
      <u/>
      <sz val="12"/>
      <name val="Arial MT"/>
    </font>
    <font>
      <u/>
      <sz val="12"/>
      <name val="Arial"/>
      <family val="2"/>
    </font>
    <font>
      <sz val="12"/>
      <color indexed="10"/>
      <name val="Arial MT"/>
    </font>
    <font>
      <i/>
      <sz val="12"/>
      <name val="Arial MT"/>
    </font>
    <font>
      <sz val="11"/>
      <name val="Arial"/>
      <family val="2"/>
    </font>
    <font>
      <u/>
      <sz val="12"/>
      <color indexed="17"/>
      <name val="Times New Roman"/>
      <family val="1"/>
    </font>
    <font>
      <b/>
      <sz val="9"/>
      <color indexed="8"/>
      <name val="Arial"/>
      <family val="2"/>
    </font>
  </fonts>
  <fills count="2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
      <patternFill patternType="solid">
        <fgColor rgb="FFFFFF8B"/>
        <bgColor indexed="64"/>
      </patternFill>
    </fill>
    <fill>
      <patternFill patternType="solid">
        <fgColor rgb="FFFFFF99"/>
        <bgColor indexed="64"/>
      </patternFill>
    </fill>
    <fill>
      <patternFill patternType="solid">
        <fgColor theme="0"/>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15"/>
        <bgColor indexed="64"/>
      </patternFill>
    </fill>
    <fill>
      <patternFill patternType="solid">
        <fgColor indexed="46"/>
        <bgColor indexed="64"/>
      </patternFill>
    </fill>
    <fill>
      <patternFill patternType="solid">
        <fgColor rgb="FF8BFFFF"/>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s>
  <borders count="3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8"/>
      </bottom>
      <diagonal/>
    </border>
    <border>
      <left/>
      <right/>
      <top/>
      <bottom style="double">
        <color indexed="8"/>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6">
    <xf numFmtId="0" fontId="0" fillId="0" borderId="0">
      <alignment vertical="top"/>
    </xf>
    <xf numFmtId="168" fontId="2" fillId="2" borderId="1">
      <alignment horizontal="center" vertical="center"/>
    </xf>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6" fontId="3" fillId="0" borderId="0">
      <protection locked="0"/>
    </xf>
    <xf numFmtId="167" fontId="4" fillId="0" borderId="0">
      <protection locked="0"/>
    </xf>
    <xf numFmtId="38" fontId="5" fillId="3" borderId="0" applyNumberFormat="0" applyBorder="0" applyAlignment="0" applyProtection="0"/>
    <xf numFmtId="0" fontId="6" fillId="0" borderId="0" applyNumberFormat="0" applyFill="0" applyBorder="0" applyAlignment="0" applyProtection="0"/>
    <xf numFmtId="166" fontId="4" fillId="0" borderId="0">
      <protection locked="0"/>
    </xf>
    <xf numFmtId="166" fontId="4" fillId="0" borderId="0">
      <protection locked="0"/>
    </xf>
    <xf numFmtId="0" fontId="7" fillId="0" borderId="2" applyNumberFormat="0" applyFill="0" applyAlignment="0" applyProtection="0"/>
    <xf numFmtId="10" fontId="5" fillId="4" borderId="3" applyNumberFormat="0" applyBorder="0" applyAlignment="0" applyProtection="0"/>
    <xf numFmtId="37" fontId="8" fillId="0" borderId="0"/>
    <xf numFmtId="165" fontId="9" fillId="0" borderId="0"/>
    <xf numFmtId="0" fontId="16" fillId="0" borderId="0"/>
    <xf numFmtId="38" fontId="10" fillId="0" borderId="0"/>
    <xf numFmtId="0" fontId="20" fillId="0" borderId="0"/>
    <xf numFmtId="38" fontId="10" fillId="0" borderId="0"/>
    <xf numFmtId="0" fontId="1" fillId="0" borderId="0"/>
    <xf numFmtId="38" fontId="10" fillId="0" borderId="0"/>
    <xf numFmtId="38" fontId="10" fillId="0" borderId="0"/>
    <xf numFmtId="0" fontId="4" fillId="0" borderId="0"/>
    <xf numFmtId="9" fontId="1" fillId="0" borderId="0" applyFont="0" applyFill="0" applyBorder="0" applyAlignment="0" applyProtection="0"/>
    <xf numFmtId="10" fontId="4" fillId="0" borderId="0" applyFont="0" applyFill="0" applyBorder="0" applyAlignment="0" applyProtection="0"/>
    <xf numFmtId="0" fontId="11" fillId="0" borderId="4"/>
    <xf numFmtId="0" fontId="12" fillId="0" borderId="5"/>
    <xf numFmtId="0" fontId="4" fillId="0" borderId="0"/>
    <xf numFmtId="166" fontId="4" fillId="0" borderId="6">
      <protection locked="0"/>
    </xf>
    <xf numFmtId="37" fontId="5" fillId="5" borderId="0" applyNumberFormat="0" applyBorder="0" applyAlignment="0" applyProtection="0"/>
    <xf numFmtId="37" fontId="13" fillId="0" borderId="0"/>
    <xf numFmtId="3" fontId="14" fillId="0" borderId="2" applyProtection="0"/>
    <xf numFmtId="0" fontId="57" fillId="0" borderId="0">
      <alignment vertical="top"/>
    </xf>
    <xf numFmtId="0" fontId="57" fillId="0" borderId="0">
      <alignment vertical="top"/>
    </xf>
    <xf numFmtId="0" fontId="4" fillId="0" borderId="0"/>
    <xf numFmtId="183" fontId="62" fillId="0" borderId="0" applyProtection="0"/>
  </cellStyleXfs>
  <cellXfs count="893">
    <xf numFmtId="0" fontId="0" fillId="0" borderId="0" xfId="0" applyAlignment="1"/>
    <xf numFmtId="0" fontId="20" fillId="0" borderId="0" xfId="0" applyFont="1" applyAlignment="1"/>
    <xf numFmtId="0" fontId="15" fillId="0" borderId="0" xfId="0" applyFont="1" applyAlignment="1">
      <alignment horizontal="center"/>
    </xf>
    <xf numFmtId="170" fontId="22" fillId="0" borderId="0" xfId="2" applyNumberFormat="1" applyFont="1"/>
    <xf numFmtId="38" fontId="20" fillId="0" borderId="0" xfId="20" applyFont="1" applyFill="1"/>
    <xf numFmtId="0" fontId="27" fillId="0" borderId="0" xfId="0" applyNumberFormat="1" applyFont="1" applyFill="1" applyAlignment="1"/>
    <xf numFmtId="0" fontId="27" fillId="0" borderId="0" xfId="0" applyNumberFormat="1" applyFont="1" applyFill="1" applyAlignment="1">
      <alignment horizontal="center"/>
    </xf>
    <xf numFmtId="0" fontId="20" fillId="0" borderId="0" xfId="0" applyFont="1" applyFill="1" applyAlignment="1"/>
    <xf numFmtId="0" fontId="19" fillId="0" borderId="0" xfId="0" applyFont="1" applyFill="1" applyAlignment="1"/>
    <xf numFmtId="5" fontId="20" fillId="0" borderId="0" xfId="15" applyNumberFormat="1" applyFont="1" applyFill="1" applyAlignment="1">
      <alignment horizontal="right"/>
    </xf>
    <xf numFmtId="0" fontId="20" fillId="0" borderId="0" xfId="0" applyNumberFormat="1" applyFont="1" applyFill="1" applyAlignment="1"/>
    <xf numFmtId="3" fontId="20" fillId="0" borderId="0" xfId="0" applyNumberFormat="1" applyFont="1" applyFill="1" applyAlignment="1"/>
    <xf numFmtId="170" fontId="20" fillId="0" borderId="0" xfId="2" applyNumberFormat="1" applyFont="1" applyFill="1"/>
    <xf numFmtId="3" fontId="20" fillId="0" borderId="0" xfId="0" applyNumberFormat="1" applyFont="1" applyFill="1" applyBorder="1" applyAlignment="1"/>
    <xf numFmtId="3" fontId="20" fillId="0" borderId="7" xfId="0" applyNumberFormat="1" applyFont="1" applyFill="1" applyBorder="1" applyAlignment="1"/>
    <xf numFmtId="170" fontId="20" fillId="0" borderId="7" xfId="2" applyNumberFormat="1" applyFont="1" applyFill="1" applyBorder="1"/>
    <xf numFmtId="42" fontId="20" fillId="0" borderId="0" xfId="0" applyNumberFormat="1" applyFont="1" applyFill="1" applyAlignment="1"/>
    <xf numFmtId="0" fontId="20" fillId="0" borderId="0" xfId="0" applyFont="1" applyFill="1" applyAlignment="1">
      <alignment horizontal="right"/>
    </xf>
    <xf numFmtId="37" fontId="20" fillId="0" borderId="0" xfId="20" applyNumberFormat="1" applyFont="1" applyFill="1" applyProtection="1"/>
    <xf numFmtId="37" fontId="20" fillId="0" borderId="0" xfId="15" applyNumberFormat="1" applyFont="1" applyFill="1"/>
    <xf numFmtId="37" fontId="20" fillId="0" borderId="0" xfId="15" applyNumberFormat="1" applyFont="1" applyFill="1" applyAlignment="1">
      <alignment horizontal="right"/>
    </xf>
    <xf numFmtId="5" fontId="20" fillId="0" borderId="0" xfId="15" applyNumberFormat="1" applyFont="1" applyFill="1"/>
    <xf numFmtId="37" fontId="20" fillId="0" borderId="8" xfId="15" applyNumberFormat="1" applyFont="1" applyFill="1" applyBorder="1" applyAlignment="1">
      <alignment horizontal="right"/>
    </xf>
    <xf numFmtId="10" fontId="20" fillId="0" borderId="0" xfId="23" applyNumberFormat="1" applyFont="1" applyFill="1"/>
    <xf numFmtId="5" fontId="20" fillId="0" borderId="0" xfId="15" applyNumberFormat="1" applyFont="1" applyFill="1" applyBorder="1" applyProtection="1"/>
    <xf numFmtId="5" fontId="20" fillId="0" borderId="0" xfId="20" applyNumberFormat="1" applyFont="1" applyFill="1" applyProtection="1"/>
    <xf numFmtId="38" fontId="20" fillId="0" borderId="0" xfId="20" applyFont="1" applyFill="1" applyBorder="1"/>
    <xf numFmtId="0" fontId="20" fillId="0" borderId="0" xfId="0" applyFont="1">
      <alignment vertical="top"/>
    </xf>
    <xf numFmtId="170" fontId="22" fillId="0" borderId="0" xfId="2" applyNumberFormat="1" applyFont="1" applyFill="1"/>
    <xf numFmtId="170" fontId="22" fillId="6" borderId="0" xfId="2" applyNumberFormat="1" applyFont="1" applyFill="1"/>
    <xf numFmtId="170" fontId="28" fillId="0" borderId="0" xfId="2" applyNumberFormat="1" applyFont="1" applyFill="1" applyAlignment="1">
      <alignment horizontal="right"/>
    </xf>
    <xf numFmtId="170" fontId="22" fillId="7" borderId="0" xfId="2" applyNumberFormat="1" applyFont="1" applyFill="1"/>
    <xf numFmtId="170" fontId="22" fillId="8" borderId="0" xfId="2" applyNumberFormat="1" applyFont="1" applyFill="1"/>
    <xf numFmtId="170" fontId="28" fillId="0" borderId="0" xfId="2" applyNumberFormat="1" applyFont="1" applyAlignment="1">
      <alignment horizontal="right"/>
    </xf>
    <xf numFmtId="37" fontId="20" fillId="0" borderId="10" xfId="20" applyNumberFormat="1" applyFont="1" applyFill="1" applyBorder="1" applyProtection="1"/>
    <xf numFmtId="38" fontId="20" fillId="0" borderId="10" xfId="20" applyFont="1" applyFill="1" applyBorder="1"/>
    <xf numFmtId="5" fontId="19" fillId="0" borderId="11" xfId="20" applyNumberFormat="1" applyFont="1" applyFill="1" applyBorder="1" applyProtection="1"/>
    <xf numFmtId="5" fontId="20" fillId="0" borderId="0" xfId="0" applyNumberFormat="1" applyFont="1" applyFill="1" applyAlignment="1"/>
    <xf numFmtId="37" fontId="20" fillId="0" borderId="0" xfId="20" applyNumberFormat="1" applyFont="1" applyFill="1" applyBorder="1"/>
    <xf numFmtId="0" fontId="19" fillId="0" borderId="8" xfId="0" applyFont="1" applyFill="1" applyBorder="1" applyAlignment="1">
      <alignment horizontal="center"/>
    </xf>
    <xf numFmtId="5" fontId="19" fillId="0" borderId="0" xfId="20" applyNumberFormat="1" applyFont="1" applyFill="1" applyBorder="1" applyProtection="1"/>
    <xf numFmtId="38" fontId="20" fillId="0" borderId="8" xfId="20" applyFont="1" applyFill="1" applyBorder="1"/>
    <xf numFmtId="37" fontId="20" fillId="0" borderId="8" xfId="20" applyNumberFormat="1" applyFont="1" applyFill="1" applyBorder="1"/>
    <xf numFmtId="7" fontId="19" fillId="0" borderId="0" xfId="20" applyNumberFormat="1" applyFont="1" applyFill="1" applyBorder="1" applyProtection="1"/>
    <xf numFmtId="7" fontId="20" fillId="0" borderId="0" xfId="0" applyNumberFormat="1" applyFont="1" applyFill="1" applyAlignment="1"/>
    <xf numFmtId="5" fontId="20" fillId="0" borderId="8" xfId="20" applyNumberFormat="1" applyFont="1" applyFill="1" applyBorder="1" applyProtection="1"/>
    <xf numFmtId="0" fontId="19" fillId="0" borderId="0" xfId="0" applyFont="1" applyFill="1" applyAlignment="1">
      <alignment horizontal="center"/>
    </xf>
    <xf numFmtId="171" fontId="20" fillId="0" borderId="0" xfId="0" applyNumberFormat="1" applyFont="1" applyFill="1" applyAlignment="1"/>
    <xf numFmtId="173" fontId="20" fillId="0" borderId="0" xfId="23" applyNumberFormat="1" applyFont="1" applyFill="1"/>
    <xf numFmtId="0" fontId="20" fillId="0" borderId="8" xfId="22" applyFont="1" applyFill="1" applyBorder="1"/>
    <xf numFmtId="0" fontId="20" fillId="0" borderId="0" xfId="22" applyFont="1" applyFill="1"/>
    <xf numFmtId="170" fontId="20" fillId="0" borderId="6" xfId="3" applyNumberFormat="1" applyFont="1" applyFill="1" applyBorder="1"/>
    <xf numFmtId="10" fontId="20" fillId="0" borderId="6" xfId="23" applyNumberFormat="1" applyFont="1" applyFill="1" applyBorder="1"/>
    <xf numFmtId="37" fontId="20" fillId="0" borderId="0" xfId="0" applyNumberFormat="1" applyFont="1" applyFill="1" applyAlignment="1"/>
    <xf numFmtId="37" fontId="20" fillId="0" borderId="8" xfId="0" applyNumberFormat="1" applyFont="1" applyFill="1" applyBorder="1" applyAlignment="1"/>
    <xf numFmtId="37" fontId="20" fillId="0" borderId="0" xfId="0" applyNumberFormat="1" applyFont="1" applyFill="1" applyBorder="1" applyAlignment="1"/>
    <xf numFmtId="0" fontId="19" fillId="0" borderId="0" xfId="19" applyFont="1" applyFill="1" applyAlignment="1">
      <alignment horizontal="left" vertical="center"/>
    </xf>
    <xf numFmtId="37" fontId="20" fillId="0" borderId="0" xfId="15" applyNumberFormat="1" applyFont="1" applyFill="1" applyAlignment="1" applyProtection="1">
      <alignment horizontal="right"/>
    </xf>
    <xf numFmtId="37" fontId="20" fillId="0" borderId="10" xfId="15" applyNumberFormat="1" applyFont="1" applyFill="1" applyBorder="1" applyAlignment="1">
      <alignment horizontal="right"/>
    </xf>
    <xf numFmtId="5" fontId="20" fillId="0" borderId="11" xfId="15" applyNumberFormat="1" applyFont="1" applyFill="1" applyBorder="1" applyAlignment="1">
      <alignment horizontal="right"/>
    </xf>
    <xf numFmtId="5" fontId="20" fillId="0" borderId="11" xfId="0" applyNumberFormat="1" applyFont="1" applyFill="1" applyBorder="1" applyAlignment="1"/>
    <xf numFmtId="0" fontId="19" fillId="0" borderId="8" xfId="0" applyFont="1" applyFill="1" applyBorder="1" applyAlignment="1"/>
    <xf numFmtId="9" fontId="20" fillId="0" borderId="0" xfId="0" applyNumberFormat="1" applyFont="1" applyFill="1" applyAlignment="1"/>
    <xf numFmtId="10" fontId="20" fillId="0" borderId="0" xfId="0" applyNumberFormat="1" applyFont="1" applyFill="1" applyAlignment="1"/>
    <xf numFmtId="169" fontId="20" fillId="0" borderId="0" xfId="0" applyNumberFormat="1" applyFont="1" applyFill="1" applyAlignment="1"/>
    <xf numFmtId="37" fontId="19" fillId="0" borderId="0" xfId="0" applyNumberFormat="1" applyFont="1" applyFill="1" applyAlignment="1">
      <alignment horizontal="center"/>
    </xf>
    <xf numFmtId="37" fontId="20" fillId="0" borderId="0" xfId="20" applyNumberFormat="1" applyFont="1" applyFill="1"/>
    <xf numFmtId="175" fontId="20" fillId="0" borderId="6" xfId="0" applyNumberFormat="1" applyFont="1" applyFill="1" applyBorder="1" applyAlignment="1"/>
    <xf numFmtId="0" fontId="20" fillId="0" borderId="0" xfId="0" applyFont="1" applyFill="1" applyAlignment="1">
      <alignment horizontal="center"/>
    </xf>
    <xf numFmtId="170" fontId="20" fillId="0" borderId="0" xfId="0" applyNumberFormat="1" applyFont="1" applyFill="1" applyAlignment="1"/>
    <xf numFmtId="42" fontId="20" fillId="0" borderId="11" xfId="0" applyNumberFormat="1" applyFont="1" applyFill="1" applyBorder="1" applyAlignment="1">
      <alignment horizontal="right"/>
    </xf>
    <xf numFmtId="164" fontId="19" fillId="0" borderId="0" xfId="20" applyNumberFormat="1" applyFont="1" applyFill="1" applyAlignment="1" applyProtection="1"/>
    <xf numFmtId="38" fontId="19" fillId="0" borderId="0" xfId="20" applyFont="1" applyFill="1"/>
    <xf numFmtId="164" fontId="19" fillId="0" borderId="0" xfId="20" applyNumberFormat="1" applyFont="1" applyFill="1" applyAlignment="1" applyProtection="1">
      <alignment horizontal="right"/>
      <protection locked="0"/>
    </xf>
    <xf numFmtId="38" fontId="20" fillId="0" borderId="0" xfId="20" applyFont="1" applyFill="1" applyAlignment="1"/>
    <xf numFmtId="38" fontId="20" fillId="0" borderId="0" xfId="21" applyFont="1" applyFill="1"/>
    <xf numFmtId="164" fontId="19" fillId="0" borderId="0" xfId="20" applyNumberFormat="1" applyFont="1" applyFill="1" applyAlignment="1" applyProtection="1">
      <alignment horizontal="center"/>
    </xf>
    <xf numFmtId="164" fontId="19" fillId="0" borderId="0" xfId="20" applyNumberFormat="1" applyFont="1" applyFill="1" applyBorder="1" applyAlignment="1" applyProtection="1">
      <alignment horizontal="center"/>
    </xf>
    <xf numFmtId="38" fontId="19" fillId="0" borderId="0" xfId="20" applyFont="1" applyFill="1" applyAlignment="1">
      <alignment horizontal="center"/>
    </xf>
    <xf numFmtId="38" fontId="20" fillId="0" borderId="12" xfId="20" applyFont="1" applyFill="1" applyBorder="1" applyAlignment="1"/>
    <xf numFmtId="38" fontId="20" fillId="0" borderId="0" xfId="20" quotePrefix="1" applyFont="1" applyFill="1" applyAlignment="1"/>
    <xf numFmtId="164" fontId="19" fillId="0" borderId="8" xfId="20" applyNumberFormat="1" applyFont="1" applyFill="1" applyBorder="1" applyAlignment="1" applyProtection="1">
      <alignment horizontal="left"/>
    </xf>
    <xf numFmtId="38" fontId="19" fillId="0" borderId="8" xfId="20" applyFont="1" applyFill="1" applyBorder="1"/>
    <xf numFmtId="38" fontId="20" fillId="0" borderId="0" xfId="20" quotePrefix="1" applyFont="1" applyFill="1" applyAlignment="1">
      <alignment horizontal="left"/>
    </xf>
    <xf numFmtId="49" fontId="20" fillId="0" borderId="0" xfId="20" applyNumberFormat="1" applyFont="1" applyFill="1" applyAlignment="1" applyProtection="1">
      <alignment horizontal="left"/>
    </xf>
    <xf numFmtId="164" fontId="19" fillId="0" borderId="0" xfId="20" applyNumberFormat="1" applyFont="1" applyFill="1" applyAlignment="1" applyProtection="1">
      <alignment horizontal="left"/>
    </xf>
    <xf numFmtId="37" fontId="19" fillId="0" borderId="0" xfId="20" applyNumberFormat="1" applyFont="1" applyFill="1" applyAlignment="1" applyProtection="1"/>
    <xf numFmtId="37" fontId="19" fillId="0" borderId="0" xfId="20" applyNumberFormat="1" applyFont="1" applyFill="1"/>
    <xf numFmtId="37" fontId="19" fillId="0" borderId="0" xfId="20" applyNumberFormat="1" applyFont="1" applyFill="1" applyAlignment="1" applyProtection="1">
      <alignment horizontal="right"/>
      <protection locked="0"/>
    </xf>
    <xf numFmtId="0" fontId="30" fillId="0" borderId="0" xfId="0" applyFont="1" applyFill="1" applyAlignment="1"/>
    <xf numFmtId="37" fontId="20" fillId="0" borderId="0" xfId="20" applyNumberFormat="1" applyFont="1" applyFill="1" applyAlignment="1"/>
    <xf numFmtId="37" fontId="20" fillId="0" borderId="0" xfId="21" applyNumberFormat="1" applyFont="1" applyFill="1"/>
    <xf numFmtId="37" fontId="19" fillId="0" borderId="0" xfId="20" applyNumberFormat="1" applyFont="1" applyFill="1" applyAlignment="1" applyProtection="1">
      <alignment horizontal="center"/>
    </xf>
    <xf numFmtId="37" fontId="19" fillId="0" borderId="0" xfId="20" applyNumberFormat="1" applyFont="1" applyFill="1" applyBorder="1" applyAlignment="1" applyProtection="1">
      <alignment horizontal="center"/>
    </xf>
    <xf numFmtId="37" fontId="19" fillId="0" borderId="0" xfId="20" applyNumberFormat="1" applyFont="1" applyFill="1" applyAlignment="1">
      <alignment horizontal="center"/>
    </xf>
    <xf numFmtId="37" fontId="20" fillId="0" borderId="12" xfId="20" applyNumberFormat="1" applyFont="1" applyFill="1" applyBorder="1" applyAlignment="1"/>
    <xf numFmtId="37" fontId="20" fillId="0" borderId="8" xfId="20" applyNumberFormat="1" applyFont="1" applyFill="1" applyBorder="1" applyAlignment="1">
      <alignment horizontal="center"/>
    </xf>
    <xf numFmtId="37" fontId="20" fillId="0" borderId="0" xfId="20" applyNumberFormat="1" applyFont="1" applyFill="1" applyAlignment="1">
      <alignment horizontal="center"/>
    </xf>
    <xf numFmtId="37" fontId="19" fillId="0" borderId="12" xfId="20" applyNumberFormat="1" applyFont="1" applyFill="1" applyBorder="1" applyAlignment="1" applyProtection="1">
      <alignment horizontal="center"/>
    </xf>
    <xf numFmtId="37" fontId="20" fillId="0" borderId="0" xfId="20" quotePrefix="1" applyNumberFormat="1" applyFont="1" applyFill="1" applyAlignment="1"/>
    <xf numFmtId="37" fontId="19" fillId="0" borderId="8" xfId="20" applyNumberFormat="1" applyFont="1" applyFill="1" applyBorder="1" applyAlignment="1" applyProtection="1">
      <alignment horizontal="left"/>
    </xf>
    <xf numFmtId="37" fontId="19" fillId="0" borderId="8" xfId="20" applyNumberFormat="1" applyFont="1" applyFill="1" applyBorder="1"/>
    <xf numFmtId="37" fontId="20" fillId="0" borderId="10" xfId="20" applyNumberFormat="1" applyFont="1" applyFill="1" applyBorder="1"/>
    <xf numFmtId="37" fontId="20" fillId="0" borderId="0" xfId="20" quotePrefix="1" applyNumberFormat="1" applyFont="1" applyFill="1" applyAlignment="1">
      <alignment horizontal="left"/>
    </xf>
    <xf numFmtId="37" fontId="20" fillId="0" borderId="0" xfId="20" applyNumberFormat="1" applyFont="1" applyFill="1" applyAlignment="1" applyProtection="1">
      <alignment horizontal="left"/>
    </xf>
    <xf numFmtId="37" fontId="20" fillId="0" borderId="0" xfId="20" applyNumberFormat="1" applyFont="1" applyFill="1" applyBorder="1" applyAlignment="1">
      <alignment horizontal="right"/>
    </xf>
    <xf numFmtId="37" fontId="19" fillId="0" borderId="0" xfId="20" quotePrefix="1" applyNumberFormat="1" applyFont="1" applyFill="1" applyAlignment="1" applyProtection="1">
      <alignment horizontal="left"/>
    </xf>
    <xf numFmtId="37" fontId="19" fillId="0" borderId="11" xfId="20" applyNumberFormat="1" applyFont="1" applyFill="1" applyBorder="1" applyProtection="1"/>
    <xf numFmtId="37" fontId="19" fillId="0" borderId="0" xfId="20" applyNumberFormat="1" applyFont="1" applyFill="1" applyBorder="1" applyAlignment="1">
      <alignment horizontal="right"/>
    </xf>
    <xf numFmtId="37" fontId="20" fillId="0" borderId="0" xfId="20" applyNumberFormat="1" applyFont="1" applyFill="1" applyAlignment="1">
      <alignment horizontal="right"/>
    </xf>
    <xf numFmtId="174" fontId="20" fillId="0" borderId="0" xfId="20" applyNumberFormat="1" applyFont="1" applyFill="1"/>
    <xf numFmtId="0" fontId="20" fillId="0" borderId="0" xfId="15" applyFont="1" applyFill="1"/>
    <xf numFmtId="0" fontId="20" fillId="0" borderId="0" xfId="15" applyFont="1" applyFill="1" applyAlignment="1">
      <alignment horizontal="right"/>
    </xf>
    <xf numFmtId="0" fontId="19" fillId="0" borderId="0" xfId="15" applyFont="1" applyFill="1" applyAlignment="1">
      <alignment horizontal="left"/>
    </xf>
    <xf numFmtId="0" fontId="19" fillId="0" borderId="0" xfId="15" applyFont="1" applyFill="1" applyAlignment="1">
      <alignment horizontal="right"/>
    </xf>
    <xf numFmtId="0" fontId="19" fillId="0" borderId="0" xfId="15" applyFont="1" applyFill="1" applyAlignment="1" applyProtection="1">
      <alignment horizontal="right"/>
      <protection locked="0"/>
    </xf>
    <xf numFmtId="0" fontId="20" fillId="0" borderId="0" xfId="15" applyFont="1" applyFill="1" applyAlignment="1">
      <alignment horizontal="left"/>
    </xf>
    <xf numFmtId="0" fontId="31" fillId="0" borderId="0" xfId="15" applyFont="1" applyFill="1"/>
    <xf numFmtId="0" fontId="19" fillId="0" borderId="0" xfId="15" applyFont="1" applyFill="1" applyAlignment="1">
      <alignment horizontal="center"/>
    </xf>
    <xf numFmtId="0" fontId="19" fillId="0" borderId="0" xfId="15" applyFont="1" applyFill="1" applyBorder="1" applyAlignment="1">
      <alignment horizontal="center"/>
    </xf>
    <xf numFmtId="0" fontId="19" fillId="0" borderId="12" xfId="15" applyFont="1" applyFill="1" applyBorder="1" applyAlignment="1">
      <alignment horizontal="left"/>
    </xf>
    <xf numFmtId="0" fontId="20" fillId="0" borderId="12" xfId="15" applyFont="1" applyFill="1" applyBorder="1"/>
    <xf numFmtId="0" fontId="19" fillId="0" borderId="12" xfId="15" applyFont="1" applyFill="1" applyBorder="1" applyAlignment="1">
      <alignment horizontal="center"/>
    </xf>
    <xf numFmtId="0" fontId="19" fillId="0" borderId="8" xfId="15" applyFont="1" applyFill="1" applyBorder="1" applyAlignment="1">
      <alignment horizontal="center"/>
    </xf>
    <xf numFmtId="0" fontId="20" fillId="0" borderId="10" xfId="15" applyFont="1" applyFill="1" applyBorder="1" applyAlignment="1">
      <alignment horizontal="right"/>
    </xf>
    <xf numFmtId="0" fontId="19" fillId="0" borderId="8" xfId="15" applyFont="1" applyFill="1" applyBorder="1"/>
    <xf numFmtId="0" fontId="20" fillId="0" borderId="8" xfId="15" applyFont="1" applyFill="1" applyBorder="1"/>
    <xf numFmtId="0" fontId="20" fillId="0" borderId="0" xfId="15" applyFont="1" applyFill="1" applyBorder="1" applyAlignment="1">
      <alignment horizontal="right"/>
    </xf>
    <xf numFmtId="38" fontId="20" fillId="0" borderId="0" xfId="16" applyFont="1" applyFill="1"/>
    <xf numFmtId="0" fontId="20" fillId="0" borderId="0" xfId="15" quotePrefix="1" applyFont="1" applyFill="1"/>
    <xf numFmtId="37" fontId="20" fillId="0" borderId="0" xfId="15" applyNumberFormat="1" applyFont="1" applyFill="1" applyBorder="1"/>
    <xf numFmtId="5" fontId="20" fillId="0" borderId="11" xfId="15" applyNumberFormat="1" applyFont="1" applyFill="1" applyBorder="1"/>
    <xf numFmtId="169" fontId="20" fillId="0" borderId="0" xfId="15" applyNumberFormat="1" applyFont="1" applyFill="1"/>
    <xf numFmtId="10" fontId="20" fillId="0" borderId="0" xfId="15" applyNumberFormat="1" applyFont="1" applyFill="1"/>
    <xf numFmtId="10" fontId="20" fillId="0" borderId="8" xfId="15" applyNumberFormat="1" applyFont="1" applyFill="1" applyBorder="1"/>
    <xf numFmtId="10" fontId="20" fillId="0" borderId="11" xfId="15" applyNumberFormat="1" applyFont="1" applyFill="1" applyBorder="1"/>
    <xf numFmtId="0" fontId="32" fillId="0" borderId="0" xfId="15" applyFont="1" applyFill="1" applyAlignment="1">
      <alignment horizontal="left"/>
    </xf>
    <xf numFmtId="0" fontId="19" fillId="0" borderId="0" xfId="15" applyFont="1" applyFill="1"/>
    <xf numFmtId="0" fontId="19" fillId="0" borderId="8" xfId="15" applyFont="1" applyFill="1" applyBorder="1" applyAlignment="1">
      <alignment horizontal="left"/>
    </xf>
    <xf numFmtId="0" fontId="32" fillId="0" borderId="0" xfId="15" applyFont="1" applyFill="1"/>
    <xf numFmtId="5" fontId="20" fillId="0" borderId="13" xfId="15" applyNumberFormat="1" applyFont="1" applyFill="1" applyBorder="1" applyAlignment="1" applyProtection="1">
      <alignment horizontal="right"/>
    </xf>
    <xf numFmtId="0" fontId="20" fillId="0" borderId="14" xfId="15" applyFont="1" applyFill="1" applyBorder="1" applyAlignment="1">
      <alignment horizontal="right"/>
    </xf>
    <xf numFmtId="0" fontId="19" fillId="0" borderId="0" xfId="15" applyFont="1" applyFill="1" applyBorder="1"/>
    <xf numFmtId="164" fontId="19" fillId="0" borderId="0" xfId="18" applyNumberFormat="1" applyFont="1" applyFill="1" applyAlignment="1" applyProtection="1">
      <alignment horizontal="left"/>
    </xf>
    <xf numFmtId="0" fontId="20" fillId="0" borderId="0" xfId="15" applyFont="1" applyFill="1" applyBorder="1"/>
    <xf numFmtId="0" fontId="19" fillId="0" borderId="0" xfId="15" applyFont="1" applyFill="1" applyAlignment="1" applyProtection="1">
      <alignment horizontal="left"/>
      <protection locked="0"/>
    </xf>
    <xf numFmtId="0" fontId="20" fillId="0" borderId="0" xfId="15" applyFont="1" applyFill="1" applyAlignment="1">
      <alignment horizontal="center"/>
    </xf>
    <xf numFmtId="0" fontId="20" fillId="0" borderId="0" xfId="15" applyFont="1" applyFill="1" applyBorder="1" applyAlignment="1">
      <alignment horizontal="center"/>
    </xf>
    <xf numFmtId="43" fontId="25" fillId="0" borderId="0" xfId="2" applyFont="1" applyFill="1" applyAlignment="1">
      <alignment horizontal="center"/>
    </xf>
    <xf numFmtId="0" fontId="33" fillId="0" borderId="0" xfId="15" applyFont="1" applyFill="1" applyAlignment="1">
      <alignment horizontal="left"/>
    </xf>
    <xf numFmtId="5" fontId="20" fillId="0" borderId="0" xfId="15" applyNumberFormat="1" applyFont="1" applyFill="1" applyProtection="1"/>
    <xf numFmtId="5" fontId="20" fillId="0" borderId="0" xfId="15" applyNumberFormat="1" applyFont="1" applyFill="1" applyBorder="1"/>
    <xf numFmtId="0" fontId="20" fillId="0" borderId="0" xfId="15" quotePrefix="1" applyFont="1" applyFill="1" applyAlignment="1">
      <alignment horizontal="left"/>
    </xf>
    <xf numFmtId="37" fontId="20" fillId="0" borderId="0" xfId="15" applyNumberFormat="1" applyFont="1" applyFill="1" applyProtection="1"/>
    <xf numFmtId="5" fontId="20" fillId="0" borderId="10" xfId="15" applyNumberFormat="1" applyFont="1" applyFill="1" applyBorder="1" applyProtection="1"/>
    <xf numFmtId="37" fontId="20" fillId="0" borderId="8" xfId="15" applyNumberFormat="1" applyFont="1" applyFill="1" applyBorder="1" applyProtection="1"/>
    <xf numFmtId="37" fontId="20" fillId="0" borderId="0" xfId="15" applyNumberFormat="1" applyFont="1" applyFill="1" applyBorder="1" applyProtection="1"/>
    <xf numFmtId="5" fontId="20" fillId="0" borderId="13" xfId="15" applyNumberFormat="1" applyFont="1" applyFill="1" applyBorder="1" applyProtection="1"/>
    <xf numFmtId="5" fontId="20" fillId="0" borderId="11" xfId="15" applyNumberFormat="1" applyFont="1" applyFill="1" applyBorder="1" applyProtection="1"/>
    <xf numFmtId="5" fontId="20" fillId="0" borderId="8" xfId="15" applyNumberFormat="1" applyFont="1" applyFill="1" applyBorder="1" applyProtection="1"/>
    <xf numFmtId="38" fontId="20" fillId="0" borderId="0" xfId="15" applyNumberFormat="1" applyFont="1" applyFill="1" applyProtection="1"/>
    <xf numFmtId="37" fontId="20" fillId="0" borderId="0" xfId="15" applyNumberFormat="1" applyFont="1" applyFill="1" applyAlignment="1">
      <alignment horizontal="left"/>
    </xf>
    <xf numFmtId="37" fontId="20" fillId="0" borderId="0" xfId="20" applyNumberFormat="1" applyFont="1" applyFill="1" applyBorder="1" applyProtection="1"/>
    <xf numFmtId="164" fontId="20" fillId="0" borderId="0" xfId="20" applyNumberFormat="1" applyFont="1" applyFill="1" applyAlignment="1" applyProtection="1">
      <alignment horizontal="left"/>
    </xf>
    <xf numFmtId="5" fontId="20" fillId="0" borderId="0" xfId="20" applyNumberFormat="1" applyFont="1" applyFill="1" applyBorder="1" applyProtection="1"/>
    <xf numFmtId="170" fontId="20" fillId="0" borderId="0" xfId="3" applyNumberFormat="1" applyFont="1" applyFill="1"/>
    <xf numFmtId="164" fontId="19" fillId="0" borderId="8" xfId="20" applyNumberFormat="1" applyFont="1" applyFill="1" applyBorder="1" applyAlignment="1" applyProtection="1">
      <alignment horizontal="center"/>
    </xf>
    <xf numFmtId="164" fontId="19" fillId="0" borderId="12" xfId="20" applyNumberFormat="1" applyFont="1" applyFill="1" applyBorder="1" applyAlignment="1" applyProtection="1">
      <alignment horizontal="center"/>
    </xf>
    <xf numFmtId="37" fontId="20" fillId="0" borderId="10" xfId="20" applyNumberFormat="1" applyFont="1" applyFill="1" applyBorder="1" applyAlignment="1">
      <alignment horizontal="right"/>
    </xf>
    <xf numFmtId="38" fontId="19" fillId="0" borderId="0" xfId="20" applyFont="1" applyFill="1" applyBorder="1"/>
    <xf numFmtId="37" fontId="19" fillId="0" borderId="0" xfId="20" applyNumberFormat="1" applyFont="1" applyFill="1" applyBorder="1" applyProtection="1"/>
    <xf numFmtId="37" fontId="19" fillId="0" borderId="0" xfId="20" applyNumberFormat="1" applyFont="1" applyFill="1" applyProtection="1"/>
    <xf numFmtId="5" fontId="20" fillId="0" borderId="0" xfId="20" applyNumberFormat="1" applyFont="1" applyFill="1"/>
    <xf numFmtId="5" fontId="19" fillId="0" borderId="0" xfId="20" applyNumberFormat="1" applyFont="1" applyFill="1"/>
    <xf numFmtId="5" fontId="19" fillId="0" borderId="0" xfId="20" applyNumberFormat="1" applyFont="1" applyFill="1" applyProtection="1"/>
    <xf numFmtId="5" fontId="19" fillId="0" borderId="0" xfId="20" applyNumberFormat="1" applyFont="1" applyFill="1" applyBorder="1" applyAlignment="1">
      <alignment horizontal="right"/>
    </xf>
    <xf numFmtId="164" fontId="19" fillId="0" borderId="0" xfId="20" quotePrefix="1" applyNumberFormat="1" applyFont="1" applyFill="1" applyAlignment="1" applyProtection="1">
      <alignment horizontal="left"/>
    </xf>
    <xf numFmtId="38" fontId="20" fillId="0" borderId="0" xfId="20" applyFont="1" applyFill="1" applyAlignment="1">
      <alignment horizontal="left"/>
    </xf>
    <xf numFmtId="38" fontId="19" fillId="0" borderId="8" xfId="21" applyFont="1" applyFill="1" applyBorder="1"/>
    <xf numFmtId="38" fontId="19" fillId="0" borderId="0" xfId="21" applyFont="1" applyFill="1" applyBorder="1"/>
    <xf numFmtId="0" fontId="20" fillId="0" borderId="0" xfId="20" applyNumberFormat="1" applyFont="1" applyFill="1" applyAlignment="1">
      <alignment horizontal="right"/>
    </xf>
    <xf numFmtId="17" fontId="20" fillId="0" borderId="0" xfId="20" quotePrefix="1" applyNumberFormat="1" applyFont="1" applyFill="1" applyAlignment="1">
      <alignment horizontal="right"/>
    </xf>
    <xf numFmtId="0" fontId="20" fillId="0" borderId="0" xfId="20" quotePrefix="1" applyNumberFormat="1" applyFont="1" applyFill="1" applyAlignment="1">
      <alignment horizontal="right"/>
    </xf>
    <xf numFmtId="164" fontId="20" fillId="0" borderId="0" xfId="20" applyNumberFormat="1" applyFont="1" applyFill="1" applyAlignment="1" applyProtection="1">
      <alignment horizontal="center"/>
    </xf>
    <xf numFmtId="0" fontId="25" fillId="0" borderId="0" xfId="0" applyFont="1" applyFill="1" applyAlignment="1"/>
    <xf numFmtId="0" fontId="18" fillId="0" borderId="0" xfId="15" applyFont="1" applyAlignment="1">
      <alignment horizontal="left"/>
    </xf>
    <xf numFmtId="0" fontId="17" fillId="0" borderId="8" xfId="15" applyFont="1" applyBorder="1"/>
    <xf numFmtId="0" fontId="18" fillId="0" borderId="8" xfId="15" applyFont="1" applyBorder="1"/>
    <xf numFmtId="0" fontId="18" fillId="0" borderId="0" xfId="15" applyFont="1"/>
    <xf numFmtId="0" fontId="18" fillId="0" borderId="0" xfId="15" applyFont="1" applyBorder="1" applyAlignment="1">
      <alignment horizontal="right"/>
    </xf>
    <xf numFmtId="0" fontId="20" fillId="0" borderId="0" xfId="15" applyFont="1"/>
    <xf numFmtId="0" fontId="20" fillId="0" borderId="0" xfId="15" applyFont="1" applyBorder="1"/>
    <xf numFmtId="37" fontId="20" fillId="0" borderId="0" xfId="15" applyNumberFormat="1" applyFont="1" applyBorder="1"/>
    <xf numFmtId="38" fontId="18" fillId="0" borderId="0" xfId="16" applyFont="1"/>
    <xf numFmtId="0" fontId="34" fillId="0" borderId="8" xfId="15" applyFont="1" applyBorder="1"/>
    <xf numFmtId="5" fontId="20" fillId="0" borderId="0" xfId="15" applyNumberFormat="1" applyFont="1" applyBorder="1"/>
    <xf numFmtId="0" fontId="20" fillId="0" borderId="0" xfId="0" applyFont="1" applyFill="1">
      <alignment vertical="top"/>
    </xf>
    <xf numFmtId="0" fontId="20" fillId="0" borderId="0" xfId="0" applyFont="1" applyBorder="1">
      <alignment vertical="top"/>
    </xf>
    <xf numFmtId="0" fontId="20" fillId="0" borderId="0" xfId="15" applyFont="1" applyAlignment="1">
      <alignment horizontal="right"/>
    </xf>
    <xf numFmtId="0" fontId="35" fillId="0" borderId="0" xfId="0" applyNumberFormat="1" applyFont="1" applyFill="1" applyAlignment="1">
      <alignment horizontal="right"/>
    </xf>
    <xf numFmtId="0" fontId="35" fillId="0" borderId="0" xfId="0" applyNumberFormat="1" applyFont="1" applyFill="1">
      <alignment vertical="top"/>
    </xf>
    <xf numFmtId="0" fontId="35" fillId="0" borderId="0" xfId="0" applyNumberFormat="1" applyFont="1" applyFill="1" applyAlignment="1">
      <alignment horizontal="center"/>
    </xf>
    <xf numFmtId="0" fontId="18" fillId="0" borderId="0" xfId="15" applyFont="1" applyAlignment="1">
      <alignment horizontal="right"/>
    </xf>
    <xf numFmtId="176" fontId="20" fillId="0" borderId="0" xfId="0" applyNumberFormat="1" applyFont="1" applyFill="1" applyAlignment="1"/>
    <xf numFmtId="4" fontId="20" fillId="0" borderId="0" xfId="0" applyNumberFormat="1" applyFont="1" applyFill="1" applyAlignment="1"/>
    <xf numFmtId="42" fontId="20" fillId="0" borderId="0" xfId="2" applyNumberFormat="1" applyFont="1" applyFill="1" applyAlignment="1"/>
    <xf numFmtId="42" fontId="20" fillId="0" borderId="8" xfId="2" applyNumberFormat="1" applyFont="1" applyFill="1" applyBorder="1" applyAlignment="1"/>
    <xf numFmtId="42" fontId="20" fillId="0" borderId="0" xfId="2" applyNumberFormat="1" applyFont="1" applyFill="1" applyBorder="1" applyAlignment="1"/>
    <xf numFmtId="42" fontId="20" fillId="0" borderId="11" xfId="4" applyNumberFormat="1" applyFont="1" applyFill="1" applyBorder="1" applyAlignment="1"/>
    <xf numFmtId="38" fontId="7" fillId="9" borderId="0" xfId="20" applyFont="1" applyFill="1" applyBorder="1"/>
    <xf numFmtId="38" fontId="19" fillId="0" borderId="8" xfId="20" applyFont="1" applyFill="1" applyBorder="1" applyAlignment="1">
      <alignment horizontal="center"/>
    </xf>
    <xf numFmtId="5" fontId="20" fillId="9" borderId="0" xfId="15" applyNumberFormat="1" applyFont="1" applyFill="1" applyBorder="1" applyProtection="1"/>
    <xf numFmtId="173" fontId="20" fillId="0" borderId="8" xfId="23" applyNumberFormat="1" applyFont="1" applyFill="1" applyBorder="1"/>
    <xf numFmtId="5" fontId="20" fillId="0" borderId="6" xfId="15" applyNumberFormat="1" applyFont="1" applyFill="1" applyBorder="1" applyAlignment="1">
      <alignment horizontal="right"/>
    </xf>
    <xf numFmtId="3" fontId="22" fillId="0" borderId="0" xfId="0" applyNumberFormat="1" applyFont="1" applyAlignment="1"/>
    <xf numFmtId="5" fontId="20" fillId="9" borderId="0" xfId="15" applyNumberFormat="1" applyFont="1" applyFill="1" applyAlignment="1">
      <alignment horizontal="right"/>
    </xf>
    <xf numFmtId="37" fontId="20" fillId="9" borderId="8" xfId="15" applyNumberFormat="1" applyFont="1" applyFill="1" applyBorder="1" applyAlignment="1">
      <alignment horizontal="right"/>
    </xf>
    <xf numFmtId="37" fontId="20" fillId="0" borderId="0" xfId="15" applyNumberFormat="1" applyFont="1" applyAlignment="1">
      <alignment horizontal="right"/>
    </xf>
    <xf numFmtId="5" fontId="20" fillId="0" borderId="0" xfId="15" applyNumberFormat="1" applyFont="1" applyAlignment="1" applyProtection="1">
      <alignment horizontal="right"/>
    </xf>
    <xf numFmtId="5" fontId="20" fillId="0" borderId="0" xfId="15" applyNumberFormat="1" applyFont="1" applyFill="1" applyAlignment="1" applyProtection="1">
      <alignment horizontal="right"/>
    </xf>
    <xf numFmtId="37" fontId="20" fillId="9" borderId="0" xfId="15" applyNumberFormat="1" applyFont="1" applyFill="1" applyBorder="1" applyAlignment="1">
      <alignment horizontal="right"/>
    </xf>
    <xf numFmtId="0" fontId="20" fillId="9" borderId="0" xfId="15" applyFont="1" applyFill="1"/>
    <xf numFmtId="5" fontId="20" fillId="0" borderId="7" xfId="15" applyNumberFormat="1" applyFont="1" applyBorder="1" applyAlignment="1" applyProtection="1">
      <alignment horizontal="right"/>
    </xf>
    <xf numFmtId="42" fontId="20" fillId="0" borderId="0" xfId="2" applyNumberFormat="1" applyFont="1" applyFill="1"/>
    <xf numFmtId="42" fontId="20" fillId="0" borderId="0" xfId="2" applyNumberFormat="1" applyFont="1" applyFill="1" applyBorder="1"/>
    <xf numFmtId="42" fontId="20" fillId="0" borderId="7" xfId="2" applyNumberFormat="1" applyFont="1" applyFill="1" applyBorder="1"/>
    <xf numFmtId="170" fontId="26" fillId="7" borderId="0" xfId="2" applyNumberFormat="1" applyFont="1" applyFill="1"/>
    <xf numFmtId="170" fontId="22" fillId="0" borderId="0" xfId="2" quotePrefix="1" applyNumberFormat="1" applyFont="1" applyFill="1" applyAlignment="1">
      <alignment horizontal="center"/>
    </xf>
    <xf numFmtId="38" fontId="20" fillId="0" borderId="0" xfId="20" applyFont="1" applyFill="1" applyAlignment="1">
      <alignment horizontal="center"/>
    </xf>
    <xf numFmtId="0" fontId="20" fillId="0" borderId="8" xfId="0" applyFont="1" applyFill="1" applyBorder="1" applyAlignment="1">
      <alignment horizontal="center"/>
    </xf>
    <xf numFmtId="178" fontId="20" fillId="0" borderId="0" xfId="0" applyNumberFormat="1" applyFont="1" applyFill="1" applyAlignment="1"/>
    <xf numFmtId="179" fontId="20" fillId="0" borderId="0" xfId="0" applyNumberFormat="1" applyFont="1" applyFill="1" applyAlignment="1"/>
    <xf numFmtId="37" fontId="20" fillId="0" borderId="0" xfId="0" applyNumberFormat="1" applyFont="1" applyAlignment="1"/>
    <xf numFmtId="37" fontId="20" fillId="0" borderId="0" xfId="15" applyNumberFormat="1" applyFont="1" applyFill="1" applyBorder="1" applyAlignment="1">
      <alignment horizontal="right"/>
    </xf>
    <xf numFmtId="170" fontId="22" fillId="0" borderId="0" xfId="2" applyNumberFormat="1" applyFont="1" applyFill="1" applyAlignment="1">
      <alignment horizontal="center"/>
    </xf>
    <xf numFmtId="38" fontId="20" fillId="0" borderId="0" xfId="20" applyNumberFormat="1" applyFont="1" applyFill="1"/>
    <xf numFmtId="37" fontId="20" fillId="0" borderId="7" xfId="0" applyNumberFormat="1" applyFont="1" applyBorder="1" applyAlignment="1"/>
    <xf numFmtId="38" fontId="10" fillId="0" borderId="0" xfId="18" applyAlignment="1">
      <alignment horizontal="left"/>
    </xf>
    <xf numFmtId="38" fontId="10" fillId="0" borderId="0" xfId="18"/>
    <xf numFmtId="38" fontId="10" fillId="0" borderId="0" xfId="18" applyAlignment="1">
      <alignment horizontal="right"/>
    </xf>
    <xf numFmtId="180" fontId="7" fillId="0" borderId="0" xfId="18" applyNumberFormat="1" applyFont="1" applyAlignment="1">
      <alignment horizontal="left"/>
    </xf>
    <xf numFmtId="38" fontId="7" fillId="0" borderId="0" xfId="18" quotePrefix="1" applyFont="1"/>
    <xf numFmtId="180" fontId="7" fillId="0" borderId="0" xfId="18" quotePrefix="1" applyNumberFormat="1" applyFont="1"/>
    <xf numFmtId="38" fontId="10" fillId="0" borderId="0" xfId="18" quotePrefix="1" applyAlignment="1">
      <alignment horizontal="right"/>
    </xf>
    <xf numFmtId="171" fontId="7" fillId="0" borderId="0" xfId="18" quotePrefix="1" applyNumberFormat="1" applyFont="1" applyAlignment="1">
      <alignment horizontal="left"/>
    </xf>
    <xf numFmtId="38" fontId="19" fillId="0" borderId="0" xfId="18" applyFont="1" applyAlignment="1">
      <alignment horizontal="right"/>
    </xf>
    <xf numFmtId="38" fontId="19" fillId="0" borderId="0" xfId="18" applyFont="1"/>
    <xf numFmtId="38" fontId="4" fillId="0" borderId="0" xfId="18" applyFont="1"/>
    <xf numFmtId="164" fontId="5" fillId="0" borderId="0" xfId="0" applyNumberFormat="1" applyFont="1" applyFill="1" applyAlignment="1" applyProtection="1">
      <alignment horizontal="centerContinuous"/>
    </xf>
    <xf numFmtId="0" fontId="36" fillId="0" borderId="0" xfId="0" applyFont="1" applyFill="1" applyBorder="1">
      <alignment vertical="top"/>
    </xf>
    <xf numFmtId="164" fontId="5" fillId="0" borderId="0" xfId="0" applyNumberFormat="1" applyFont="1" applyFill="1" applyAlignment="1" applyProtection="1">
      <alignment horizontal="center"/>
    </xf>
    <xf numFmtId="164" fontId="20" fillId="10" borderId="15" xfId="0" applyNumberFormat="1" applyFont="1" applyFill="1" applyBorder="1" applyAlignment="1" applyProtection="1">
      <alignment horizontal="centerContinuous"/>
    </xf>
    <xf numFmtId="164" fontId="37" fillId="10" borderId="16" xfId="0" quotePrefix="1" applyNumberFormat="1" applyFont="1" applyFill="1" applyBorder="1" applyAlignment="1" applyProtection="1">
      <alignment horizontal="left"/>
    </xf>
    <xf numFmtId="164" fontId="33" fillId="10" borderId="16" xfId="0" quotePrefix="1" applyNumberFormat="1" applyFont="1" applyFill="1" applyBorder="1" applyAlignment="1" applyProtection="1">
      <alignment horizontal="center"/>
    </xf>
    <xf numFmtId="164" fontId="19" fillId="10" borderId="16" xfId="0" applyNumberFormat="1" applyFont="1" applyFill="1" applyBorder="1" applyAlignment="1" applyProtection="1">
      <alignment horizontal="centerContinuous"/>
    </xf>
    <xf numFmtId="164" fontId="20" fillId="10" borderId="17" xfId="0" applyNumberFormat="1" applyFont="1" applyFill="1" applyBorder="1" applyAlignment="1" applyProtection="1">
      <alignment horizontal="center"/>
    </xf>
    <xf numFmtId="0" fontId="20" fillId="10" borderId="18" xfId="0" applyFont="1" applyFill="1" applyBorder="1" applyAlignment="1">
      <alignment horizontal="centerContinuous"/>
    </xf>
    <xf numFmtId="0" fontId="20" fillId="10" borderId="19" xfId="0" applyFont="1" applyFill="1" applyBorder="1" applyAlignment="1">
      <alignment horizontal="centerContinuous"/>
    </xf>
    <xf numFmtId="0" fontId="19" fillId="10" borderId="11" xfId="0" applyFont="1" applyFill="1" applyBorder="1" applyAlignment="1"/>
    <xf numFmtId="0" fontId="19" fillId="10" borderId="11" xfId="0" applyFont="1" applyFill="1" applyBorder="1">
      <alignment vertical="top"/>
    </xf>
    <xf numFmtId="169" fontId="19" fillId="10" borderId="11" xfId="23" applyNumberFormat="1" applyFont="1" applyFill="1" applyBorder="1" applyAlignment="1">
      <alignment horizontal="right"/>
    </xf>
    <xf numFmtId="0" fontId="20" fillId="10" borderId="20" xfId="0" applyFont="1" applyFill="1" applyBorder="1" applyAlignment="1">
      <alignment horizontal="centerContinuous"/>
    </xf>
    <xf numFmtId="0" fontId="19" fillId="10" borderId="21" xfId="0" applyFont="1" applyFill="1" applyBorder="1" applyAlignment="1">
      <alignment horizontal="center"/>
    </xf>
    <xf numFmtId="0" fontId="20" fillId="10" borderId="22" xfId="0" applyFont="1" applyFill="1" applyBorder="1" applyAlignment="1">
      <alignment horizontal="centerContinuous"/>
    </xf>
    <xf numFmtId="182" fontId="19" fillId="0" borderId="0" xfId="23" applyNumberFormat="1" applyFont="1" applyAlignment="1">
      <alignment horizontal="left"/>
    </xf>
    <xf numFmtId="38" fontId="4" fillId="0" borderId="0" xfId="18" applyFont="1" applyAlignment="1">
      <alignment horizontal="right"/>
    </xf>
    <xf numFmtId="38" fontId="10" fillId="0" borderId="0" xfId="18" applyFont="1" applyAlignment="1">
      <alignment horizontal="left"/>
    </xf>
    <xf numFmtId="0" fontId="22" fillId="0" borderId="0" xfId="0" applyFont="1" applyAlignment="1"/>
    <xf numFmtId="0" fontId="22" fillId="0" borderId="0" xfId="0" applyNumberFormat="1" applyFont="1" applyAlignment="1" applyProtection="1">
      <protection locked="0"/>
    </xf>
    <xf numFmtId="0" fontId="22" fillId="0" borderId="0" xfId="0" applyNumberFormat="1" applyFont="1" applyAlignment="1" applyProtection="1">
      <alignment horizontal="left"/>
      <protection locked="0"/>
    </xf>
    <xf numFmtId="0" fontId="22" fillId="0" borderId="0" xfId="0" applyNumberFormat="1" applyFont="1" applyProtection="1">
      <alignment vertical="top"/>
      <protection locked="0"/>
    </xf>
    <xf numFmtId="0" fontId="22" fillId="0" borderId="0" xfId="0" applyNumberFormat="1" applyFont="1" applyAlignment="1" applyProtection="1">
      <alignment horizontal="right"/>
      <protection locked="0"/>
    </xf>
    <xf numFmtId="0" fontId="22" fillId="0" borderId="0" xfId="0" applyNumberFormat="1" applyFont="1" applyFill="1" applyAlignment="1" applyProtection="1">
      <alignment horizontal="right"/>
      <protection locked="0"/>
    </xf>
    <xf numFmtId="0" fontId="22" fillId="0" borderId="0" xfId="0" applyNumberFormat="1" applyFont="1" applyFill="1">
      <alignment vertical="top"/>
    </xf>
    <xf numFmtId="0" fontId="22" fillId="0" borderId="0" xfId="0" applyFont="1" applyFill="1" applyAlignment="1"/>
    <xf numFmtId="0" fontId="22" fillId="0" borderId="0" xfId="0" applyNumberFormat="1" applyFont="1">
      <alignment vertical="top"/>
    </xf>
    <xf numFmtId="49" fontId="22" fillId="0" borderId="0" xfId="0" applyNumberFormat="1" applyFont="1" applyFill="1" applyAlignment="1">
      <alignment horizontal="center"/>
    </xf>
    <xf numFmtId="0" fontId="22" fillId="0" borderId="0" xfId="0" applyNumberFormat="1" applyFont="1" applyAlignment="1" applyProtection="1">
      <alignment horizontal="center"/>
      <protection locked="0"/>
    </xf>
    <xf numFmtId="49" fontId="22" fillId="0" borderId="0" xfId="0" applyNumberFormat="1" applyFont="1">
      <alignment vertical="top"/>
    </xf>
    <xf numFmtId="0" fontId="22" fillId="0" borderId="21" xfId="0" applyNumberFormat="1" applyFont="1" applyBorder="1" applyAlignment="1" applyProtection="1">
      <alignment horizontal="center"/>
      <protection locked="0"/>
    </xf>
    <xf numFmtId="0" fontId="22" fillId="0" borderId="0" xfId="0" applyNumberFormat="1" applyFont="1" applyBorder="1" applyAlignment="1" applyProtection="1">
      <alignment horizontal="center"/>
      <protection locked="0"/>
    </xf>
    <xf numFmtId="3" fontId="22" fillId="0" borderId="0" xfId="0" applyNumberFormat="1" applyFont="1">
      <alignment vertical="top"/>
    </xf>
    <xf numFmtId="42" fontId="22" fillId="0" borderId="0" xfId="0" applyNumberFormat="1" applyFont="1">
      <alignment vertical="top"/>
    </xf>
    <xf numFmtId="0" fontId="22" fillId="0" borderId="0" xfId="0" applyNumberFormat="1" applyFont="1" applyAlignment="1"/>
    <xf numFmtId="3" fontId="22" fillId="0" borderId="0" xfId="0" applyNumberFormat="1" applyFont="1" applyFill="1" applyAlignment="1"/>
    <xf numFmtId="0" fontId="22" fillId="0" borderId="21" xfId="0" applyNumberFormat="1" applyFont="1" applyBorder="1" applyAlignment="1" applyProtection="1">
      <alignment horizontal="centerContinuous"/>
      <protection locked="0"/>
    </xf>
    <xf numFmtId="181" fontId="22" fillId="0" borderId="0" xfId="0" applyNumberFormat="1" applyFont="1" applyAlignment="1"/>
    <xf numFmtId="3" fontId="22" fillId="0" borderId="0" xfId="0" applyNumberFormat="1" applyFont="1" applyFill="1" applyBorder="1">
      <alignment vertical="top"/>
    </xf>
    <xf numFmtId="3" fontId="22" fillId="5" borderId="0" xfId="0" applyNumberFormat="1" applyFont="1" applyFill="1" applyAlignment="1"/>
    <xf numFmtId="3" fontId="22" fillId="0" borderId="21" xfId="0" applyNumberFormat="1" applyFont="1" applyBorder="1" applyAlignment="1"/>
    <xf numFmtId="3" fontId="22" fillId="0" borderId="0" xfId="0" applyNumberFormat="1" applyFont="1" applyBorder="1" applyAlignment="1"/>
    <xf numFmtId="3" fontId="22" fillId="0" borderId="0" xfId="0" applyNumberFormat="1" applyFont="1" applyAlignment="1">
      <alignment horizontal="fill"/>
    </xf>
    <xf numFmtId="0" fontId="22" fillId="0" borderId="0" xfId="0" applyNumberFormat="1" applyFont="1" applyFill="1" applyAlignment="1" applyProtection="1">
      <alignment horizontal="center"/>
      <protection locked="0"/>
    </xf>
    <xf numFmtId="181" fontId="22" fillId="0" borderId="0" xfId="0" applyNumberFormat="1" applyFont="1" applyFill="1" applyAlignment="1"/>
    <xf numFmtId="3" fontId="22" fillId="5" borderId="0" xfId="0" applyNumberFormat="1" applyFont="1" applyFill="1" applyBorder="1" applyAlignment="1"/>
    <xf numFmtId="3" fontId="22" fillId="0" borderId="0" xfId="0" applyNumberFormat="1" applyFont="1" applyFill="1" applyBorder="1" applyAlignment="1"/>
    <xf numFmtId="3" fontId="22" fillId="5" borderId="21" xfId="0" applyNumberFormat="1" applyFont="1" applyFill="1" applyBorder="1" applyAlignment="1"/>
    <xf numFmtId="42" fontId="22" fillId="0" borderId="11" xfId="0" applyNumberFormat="1" applyFont="1" applyFill="1" applyBorder="1" applyAlignment="1" applyProtection="1">
      <alignment horizontal="right"/>
      <protection locked="0"/>
    </xf>
    <xf numFmtId="42" fontId="22" fillId="0" borderId="0" xfId="0" applyNumberFormat="1" applyFont="1" applyFill="1" applyBorder="1" applyAlignment="1" applyProtection="1">
      <alignment horizontal="right"/>
      <protection locked="0"/>
    </xf>
    <xf numFmtId="3" fontId="22" fillId="0" borderId="0" xfId="0" applyNumberFormat="1" applyFont="1" applyFill="1">
      <alignment vertical="top"/>
    </xf>
    <xf numFmtId="0" fontId="22" fillId="0" borderId="0" xfId="0" applyNumberFormat="1" applyFont="1" applyFill="1" applyAlignment="1"/>
    <xf numFmtId="0" fontId="22" fillId="0" borderId="0" xfId="0" applyNumberFormat="1" applyFont="1" applyFill="1" applyProtection="1">
      <alignment vertical="top"/>
      <protection locked="0"/>
    </xf>
    <xf numFmtId="3" fontId="22" fillId="5" borderId="0" xfId="0" applyNumberFormat="1" applyFont="1" applyFill="1">
      <alignment vertical="top"/>
    </xf>
    <xf numFmtId="0" fontId="22" fillId="0" borderId="0" xfId="0" applyFont="1" applyBorder="1" applyAlignment="1"/>
    <xf numFmtId="3" fontId="22" fillId="5" borderId="0" xfId="0" applyNumberFormat="1" applyFont="1" applyFill="1" applyBorder="1">
      <alignment vertical="top"/>
    </xf>
    <xf numFmtId="3" fontId="22" fillId="5" borderId="21" xfId="0" applyNumberFormat="1" applyFont="1" applyFill="1" applyBorder="1">
      <alignment vertical="top"/>
    </xf>
    <xf numFmtId="178" fontId="22" fillId="0" borderId="0" xfId="0" applyNumberFormat="1" applyFont="1" applyFill="1">
      <alignment vertical="top"/>
    </xf>
    <xf numFmtId="178" fontId="22" fillId="0" borderId="0" xfId="0" applyNumberFormat="1" applyFont="1">
      <alignment vertical="top"/>
    </xf>
    <xf numFmtId="178" fontId="22" fillId="0" borderId="0" xfId="0" applyNumberFormat="1" applyFont="1" applyAlignment="1">
      <alignment horizontal="center"/>
    </xf>
    <xf numFmtId="0" fontId="22" fillId="0" borderId="0" xfId="0" applyFont="1" applyAlignment="1">
      <alignment horizontal="center"/>
    </xf>
    <xf numFmtId="0" fontId="22" fillId="0" borderId="0" xfId="0" applyNumberFormat="1" applyFont="1" applyAlignment="1">
      <alignment horizontal="left"/>
    </xf>
    <xf numFmtId="185" fontId="22" fillId="0" borderId="0" xfId="0" applyNumberFormat="1" applyFont="1" applyAlignment="1"/>
    <xf numFmtId="185" fontId="22" fillId="5" borderId="0" xfId="0" applyNumberFormat="1" applyFont="1" applyFill="1" applyProtection="1">
      <alignment vertical="top"/>
      <protection locked="0"/>
    </xf>
    <xf numFmtId="185" fontId="22" fillId="0" borderId="0" xfId="0" applyNumberFormat="1" applyFont="1" applyProtection="1">
      <alignment vertical="top"/>
      <protection locked="0"/>
    </xf>
    <xf numFmtId="185" fontId="22" fillId="0" borderId="0" xfId="0" applyNumberFormat="1" applyFont="1" applyFill="1" applyProtection="1">
      <alignment vertical="top"/>
      <protection locked="0"/>
    </xf>
    <xf numFmtId="0" fontId="22" fillId="0" borderId="0" xfId="0" applyNumberFormat="1" applyFont="1" applyAlignment="1">
      <alignment horizontal="right"/>
    </xf>
    <xf numFmtId="0" fontId="22" fillId="0" borderId="0" xfId="0" applyNumberFormat="1" applyFont="1" applyFill="1" applyAlignment="1">
      <alignment horizontal="right"/>
    </xf>
    <xf numFmtId="3" fontId="22" fillId="0" borderId="0" xfId="0" applyNumberFormat="1" applyFont="1" applyFill="1" applyAlignment="1">
      <alignment horizontal="center"/>
    </xf>
    <xf numFmtId="0" fontId="22" fillId="0" borderId="0" xfId="0" applyNumberFormat="1" applyFont="1" applyAlignment="1">
      <alignment horizontal="center"/>
    </xf>
    <xf numFmtId="49" fontId="22" fillId="0" borderId="0" xfId="0" applyNumberFormat="1" applyFont="1" applyAlignment="1">
      <alignment horizontal="left"/>
    </xf>
    <xf numFmtId="49" fontId="22" fillId="0" borderId="0" xfId="0" applyNumberFormat="1" applyFont="1" applyAlignment="1">
      <alignment horizontal="center"/>
    </xf>
    <xf numFmtId="0" fontId="22" fillId="0" borderId="0" xfId="0" applyNumberFormat="1" applyFont="1" applyFill="1" applyAlignment="1">
      <alignment horizontal="center"/>
    </xf>
    <xf numFmtId="3" fontId="26" fillId="0" borderId="0" xfId="0" applyNumberFormat="1" applyFont="1" applyAlignment="1">
      <alignment horizontal="center"/>
    </xf>
    <xf numFmtId="0" fontId="26" fillId="0" borderId="0" xfId="0" applyNumberFormat="1" applyFont="1" applyAlignment="1" applyProtection="1">
      <alignment horizontal="center"/>
      <protection locked="0"/>
    </xf>
    <xf numFmtId="0" fontId="26" fillId="0" borderId="0" xfId="0" applyFont="1" applyAlignment="1">
      <alignment horizontal="center"/>
    </xf>
    <xf numFmtId="0" fontId="26" fillId="0" borderId="0" xfId="0" applyNumberFormat="1" applyFont="1" applyAlignment="1" applyProtection="1">
      <alignment horizontal="left"/>
      <protection locked="0"/>
    </xf>
    <xf numFmtId="3" fontId="26" fillId="0" borderId="0" xfId="0" applyNumberFormat="1" applyFont="1" applyAlignment="1"/>
    <xf numFmtId="0" fontId="26" fillId="0" borderId="0" xfId="0" applyNumberFormat="1" applyFont="1" applyAlignment="1"/>
    <xf numFmtId="3" fontId="40" fillId="0" borderId="0" xfId="0" applyNumberFormat="1" applyFont="1" applyAlignment="1"/>
    <xf numFmtId="186" fontId="22" fillId="0" borderId="0" xfId="0" applyNumberFormat="1" applyFont="1" applyAlignment="1"/>
    <xf numFmtId="3" fontId="41" fillId="0" borderId="0" xfId="0" applyNumberFormat="1" applyFont="1" applyFill="1" applyAlignment="1"/>
    <xf numFmtId="3" fontId="41" fillId="0" borderId="21" xfId="0" applyNumberFormat="1" applyFont="1" applyFill="1" applyBorder="1" applyAlignment="1"/>
    <xf numFmtId="0" fontId="39" fillId="0" borderId="0" xfId="0" applyNumberFormat="1" applyFont="1" applyAlignment="1">
      <alignment horizontal="left"/>
    </xf>
    <xf numFmtId="173" fontId="22" fillId="0" borderId="0" xfId="0" applyNumberFormat="1" applyFont="1" applyAlignment="1">
      <alignment horizontal="center"/>
    </xf>
    <xf numFmtId="173" fontId="22" fillId="0" borderId="0" xfId="0" applyNumberFormat="1" applyFont="1" applyFill="1" applyAlignment="1">
      <alignment horizontal="center"/>
    </xf>
    <xf numFmtId="184" fontId="39" fillId="0" borderId="0" xfId="0" applyNumberFormat="1" applyFont="1" applyAlignment="1">
      <alignment horizontal="left"/>
    </xf>
    <xf numFmtId="3" fontId="22" fillId="0" borderId="16" xfId="0" applyNumberFormat="1" applyFont="1" applyBorder="1" applyAlignment="1"/>
    <xf numFmtId="3" fontId="22" fillId="0" borderId="0" xfId="0" applyNumberFormat="1" applyFont="1" applyBorder="1" applyAlignment="1">
      <alignment horizontal="fill"/>
    </xf>
    <xf numFmtId="181" fontId="22" fillId="0" borderId="0" xfId="0" applyNumberFormat="1" applyFont="1" applyFill="1" applyAlignment="1">
      <alignment horizontal="center"/>
    </xf>
    <xf numFmtId="186" fontId="22" fillId="0" borderId="0" xfId="0" applyNumberFormat="1" applyFont="1" applyFill="1" applyAlignment="1">
      <alignment horizontal="right"/>
    </xf>
    <xf numFmtId="3" fontId="41" fillId="0" borderId="0" xfId="0" applyNumberFormat="1" applyFont="1" applyFill="1" applyBorder="1" applyAlignment="1"/>
    <xf numFmtId="186" fontId="22" fillId="0" borderId="0" xfId="0" applyNumberFormat="1" applyFont="1" applyFill="1" applyAlignment="1"/>
    <xf numFmtId="0" fontId="22" fillId="0" borderId="0" xfId="0" applyNumberFormat="1" applyFont="1" applyFill="1" applyAlignment="1" applyProtection="1">
      <protection locked="0"/>
    </xf>
    <xf numFmtId="3" fontId="22" fillId="0" borderId="0" xfId="0" applyNumberFormat="1" applyFont="1" applyAlignment="1">
      <alignment horizontal="center"/>
    </xf>
    <xf numFmtId="0" fontId="39" fillId="0" borderId="0" xfId="0" applyNumberFormat="1" applyFont="1" applyAlignment="1"/>
    <xf numFmtId="0" fontId="22" fillId="0" borderId="21" xfId="0" applyFont="1" applyBorder="1" applyAlignment="1"/>
    <xf numFmtId="3" fontId="22" fillId="0" borderId="11" xfId="0" applyNumberFormat="1" applyFont="1" applyBorder="1" applyAlignment="1"/>
    <xf numFmtId="38" fontId="22" fillId="0" borderId="0" xfId="2" applyNumberFormat="1" applyFont="1" applyFill="1" applyAlignment="1">
      <alignment horizontal="center"/>
    </xf>
    <xf numFmtId="0" fontId="22" fillId="0" borderId="0" xfId="0" applyFont="1" applyFill="1" applyAlignment="1">
      <alignment horizontal="center"/>
    </xf>
    <xf numFmtId="0" fontId="26" fillId="0" borderId="0" xfId="0" applyNumberFormat="1" applyFont="1" applyFill="1" applyAlignment="1" applyProtection="1">
      <alignment horizontal="center"/>
      <protection locked="0"/>
    </xf>
    <xf numFmtId="3" fontId="42" fillId="0" borderId="0" xfId="0" applyNumberFormat="1" applyFont="1" applyAlignment="1"/>
    <xf numFmtId="3" fontId="39" fillId="0" borderId="0" xfId="0" applyNumberFormat="1" applyFont="1" applyFill="1" applyAlignment="1"/>
    <xf numFmtId="184" fontId="22" fillId="0" borderId="0" xfId="0" applyNumberFormat="1" applyFont="1" applyAlignment="1"/>
    <xf numFmtId="177" fontId="22" fillId="0" borderId="0" xfId="0" applyNumberFormat="1" applyFont="1" applyFill="1" applyAlignment="1">
      <alignment horizontal="left"/>
    </xf>
    <xf numFmtId="184" fontId="39" fillId="0" borderId="0" xfId="0" applyNumberFormat="1" applyFont="1" applyFill="1" applyAlignment="1"/>
    <xf numFmtId="0" fontId="22" fillId="0" borderId="0" xfId="17" applyNumberFormat="1" applyFont="1" applyAlignment="1"/>
    <xf numFmtId="0" fontId="43" fillId="0" borderId="0" xfId="0" applyFont="1" applyAlignment="1"/>
    <xf numFmtId="181" fontId="22" fillId="0" borderId="0" xfId="0" applyNumberFormat="1" applyFont="1" applyFill="1" applyAlignment="1">
      <alignment horizontal="right"/>
    </xf>
    <xf numFmtId="181" fontId="22" fillId="0" borderId="0" xfId="0" applyNumberFormat="1" applyFont="1" applyAlignment="1">
      <alignment horizontal="center"/>
    </xf>
    <xf numFmtId="173" fontId="22" fillId="0" borderId="0" xfId="0" applyNumberFormat="1" applyFont="1" applyAlignment="1">
      <alignment horizontal="left"/>
    </xf>
    <xf numFmtId="10" fontId="22" fillId="0" borderId="0" xfId="0" applyNumberFormat="1" applyFont="1" applyFill="1" applyAlignment="1">
      <alignment horizontal="right"/>
    </xf>
    <xf numFmtId="171" fontId="22" fillId="0" borderId="0" xfId="0" applyNumberFormat="1" applyFont="1" applyFill="1" applyAlignment="1">
      <alignment horizontal="right"/>
    </xf>
    <xf numFmtId="10" fontId="22" fillId="0" borderId="0" xfId="0" applyNumberFormat="1" applyFont="1" applyAlignment="1">
      <alignment horizontal="left"/>
    </xf>
    <xf numFmtId="3" fontId="22" fillId="0" borderId="0" xfId="0" applyNumberFormat="1" applyFont="1" applyFill="1" applyAlignment="1">
      <alignment horizontal="left"/>
    </xf>
    <xf numFmtId="173" fontId="22" fillId="0" borderId="0" xfId="0" applyNumberFormat="1" applyFont="1" applyAlignment="1" applyProtection="1">
      <alignment horizontal="left"/>
      <protection locked="0"/>
    </xf>
    <xf numFmtId="3" fontId="22" fillId="0" borderId="0" xfId="0" applyNumberFormat="1" applyFont="1" applyFill="1" applyAlignment="1">
      <alignment horizontal="right"/>
    </xf>
    <xf numFmtId="187" fontId="22" fillId="0" borderId="0" xfId="0" applyNumberFormat="1" applyFont="1" applyAlignment="1"/>
    <xf numFmtId="3" fontId="22" fillId="0" borderId="23" xfId="0" applyNumberFormat="1" applyFont="1" applyBorder="1" applyAlignment="1"/>
    <xf numFmtId="0" fontId="22" fillId="0" borderId="0" xfId="0" applyFont="1" applyFill="1" applyBorder="1" applyAlignment="1"/>
    <xf numFmtId="0" fontId="22" fillId="0" borderId="21" xfId="0" applyNumberFormat="1" applyFont="1" applyFill="1" applyBorder="1" applyProtection="1">
      <alignment vertical="top"/>
      <protection locked="0"/>
    </xf>
    <xf numFmtId="0" fontId="22" fillId="0" borderId="21" xfId="0" applyNumberFormat="1" applyFont="1" applyFill="1" applyBorder="1">
      <alignment vertical="top"/>
    </xf>
    <xf numFmtId="3" fontId="22" fillId="0" borderId="16" xfId="0" applyNumberFormat="1" applyFont="1" applyFill="1" applyBorder="1" applyAlignment="1"/>
    <xf numFmtId="49" fontId="22" fillId="0" borderId="0" xfId="0" applyNumberFormat="1" applyFont="1" applyFill="1">
      <alignment vertical="top"/>
    </xf>
    <xf numFmtId="49" fontId="22" fillId="0" borderId="0" xfId="0" applyNumberFormat="1" applyFont="1" applyFill="1" applyBorder="1" applyAlignment="1"/>
    <xf numFmtId="49" fontId="22" fillId="0" borderId="0" xfId="0" applyNumberFormat="1" applyFont="1" applyFill="1" applyAlignment="1"/>
    <xf numFmtId="0" fontId="22" fillId="0" borderId="0" xfId="0" applyNumberFormat="1" applyFont="1" applyFill="1" applyBorder="1">
      <alignment vertical="top"/>
    </xf>
    <xf numFmtId="186" fontId="22" fillId="0" borderId="0" xfId="0" applyNumberFormat="1" applyFont="1" applyFill="1">
      <alignment vertical="top"/>
    </xf>
    <xf numFmtId="181" fontId="22" fillId="0" borderId="0" xfId="0" applyNumberFormat="1" applyFont="1" applyFill="1">
      <alignment vertical="top"/>
    </xf>
    <xf numFmtId="3" fontId="22" fillId="0" borderId="21" xfId="0" applyNumberFormat="1" applyFont="1" applyBorder="1" applyAlignment="1">
      <alignment horizontal="center"/>
    </xf>
    <xf numFmtId="4" fontId="22" fillId="0" borderId="0" xfId="0" applyNumberFormat="1" applyFont="1" applyAlignment="1"/>
    <xf numFmtId="3" fontId="22" fillId="0" borderId="0" xfId="0" applyNumberFormat="1" applyFont="1" applyBorder="1" applyAlignment="1">
      <alignment horizontal="center"/>
    </xf>
    <xf numFmtId="3" fontId="22" fillId="0" borderId="0" xfId="0" quotePrefix="1" applyNumberFormat="1" applyFont="1" applyFill="1" applyAlignment="1"/>
    <xf numFmtId="181" fontId="22" fillId="0" borderId="0" xfId="0" applyNumberFormat="1" applyFont="1" applyAlignment="1" applyProtection="1">
      <alignment horizontal="center"/>
      <protection locked="0"/>
    </xf>
    <xf numFmtId="181" fontId="22" fillId="0" borderId="0" xfId="0" quotePrefix="1" applyNumberFormat="1" applyFont="1" applyAlignment="1"/>
    <xf numFmtId="0" fontId="22" fillId="0" borderId="21" xfId="0" applyNumberFormat="1" applyFont="1" applyBorder="1" applyAlignment="1"/>
    <xf numFmtId="3" fontId="22" fillId="0" borderId="0" xfId="0" quotePrefix="1" applyNumberFormat="1" applyFont="1" applyAlignment="1">
      <alignment horizontal="right"/>
    </xf>
    <xf numFmtId="3" fontId="22" fillId="0" borderId="0" xfId="0" applyNumberFormat="1" applyFont="1" applyFill="1" applyBorder="1" applyAlignment="1">
      <alignment horizontal="center"/>
    </xf>
    <xf numFmtId="38" fontId="41" fillId="0" borderId="0" xfId="2" applyNumberFormat="1" applyFont="1" applyFill="1" applyAlignment="1"/>
    <xf numFmtId="38" fontId="22" fillId="0" borderId="0" xfId="2" applyNumberFormat="1" applyFont="1" applyAlignment="1"/>
    <xf numFmtId="42" fontId="22" fillId="5" borderId="0" xfId="0" applyNumberFormat="1" applyFont="1" applyFill="1" applyAlignment="1"/>
    <xf numFmtId="42" fontId="22" fillId="0" borderId="0" xfId="0" applyNumberFormat="1" applyFont="1" applyFill="1" applyAlignment="1"/>
    <xf numFmtId="3" fontId="22" fillId="0" borderId="0" xfId="0" applyNumberFormat="1" applyFont="1" applyFill="1" applyAlignment="1" applyProtection="1">
      <protection locked="0"/>
    </xf>
    <xf numFmtId="0" fontId="22" fillId="0" borderId="0" xfId="0" applyNumberFormat="1" applyFont="1" applyBorder="1" applyProtection="1">
      <alignment vertical="top"/>
      <protection locked="0"/>
    </xf>
    <xf numFmtId="9" fontId="22" fillId="0" borderId="0" xfId="0" applyNumberFormat="1" applyFont="1" applyAlignment="1"/>
    <xf numFmtId="171" fontId="22" fillId="0" borderId="0" xfId="0" applyNumberFormat="1" applyFont="1" applyAlignment="1"/>
    <xf numFmtId="0" fontId="22" fillId="0" borderId="0" xfId="0" quotePrefix="1" applyFont="1" applyFill="1" applyAlignment="1"/>
    <xf numFmtId="171" fontId="22" fillId="5" borderId="0" xfId="0" applyNumberFormat="1" applyFont="1" applyFill="1" applyAlignment="1"/>
    <xf numFmtId="171" fontId="22" fillId="0" borderId="21" xfId="0" applyNumberFormat="1" applyFont="1" applyBorder="1" applyAlignment="1"/>
    <xf numFmtId="171" fontId="22" fillId="0" borderId="0" xfId="0" applyNumberFormat="1" applyFont="1" applyBorder="1" applyAlignment="1"/>
    <xf numFmtId="0" fontId="22" fillId="0" borderId="0" xfId="0" applyNumberFormat="1" applyFont="1" applyFill="1" applyBorder="1" applyAlignment="1" applyProtection="1">
      <alignment horizontal="center"/>
      <protection locked="0"/>
    </xf>
    <xf numFmtId="0" fontId="43" fillId="0" borderId="0" xfId="0" applyNumberFormat="1" applyFont="1" applyProtection="1">
      <alignment vertical="top"/>
      <protection locked="0"/>
    </xf>
    <xf numFmtId="0" fontId="22" fillId="0" borderId="0" xfId="0" applyFont="1" applyFill="1" applyAlignment="1" applyProtection="1"/>
    <xf numFmtId="38" fontId="22" fillId="5" borderId="0" xfId="0" applyNumberFormat="1" applyFont="1" applyFill="1" applyBorder="1" applyProtection="1">
      <alignment vertical="top"/>
      <protection locked="0"/>
    </xf>
    <xf numFmtId="38" fontId="22" fillId="0" borderId="0" xfId="0" applyNumberFormat="1" applyFont="1" applyFill="1" applyBorder="1" applyProtection="1">
      <alignment vertical="top"/>
      <protection locked="0"/>
    </xf>
    <xf numFmtId="0" fontId="22" fillId="0" borderId="0" xfId="0" applyNumberFormat="1" applyFont="1" applyBorder="1">
      <alignment vertical="top"/>
    </xf>
    <xf numFmtId="38" fontId="22" fillId="5" borderId="21" xfId="0" applyNumberFormat="1" applyFont="1" applyFill="1" applyBorder="1" applyProtection="1">
      <alignment vertical="top"/>
      <protection locked="0"/>
    </xf>
    <xf numFmtId="38" fontId="22" fillId="0" borderId="0" xfId="0" applyNumberFormat="1" applyFont="1" applyFill="1" applyBorder="1" applyProtection="1">
      <alignment vertical="top"/>
    </xf>
    <xf numFmtId="184" fontId="22" fillId="0" borderId="0" xfId="0" applyNumberFormat="1" applyFont="1" applyFill="1" applyBorder="1" applyProtection="1">
      <alignment vertical="top"/>
    </xf>
    <xf numFmtId="178" fontId="22" fillId="0" borderId="0" xfId="0" applyNumberFormat="1" applyFont="1" applyProtection="1">
      <alignment vertical="top"/>
      <protection locked="0"/>
    </xf>
    <xf numFmtId="38" fontId="44" fillId="5" borderId="0" xfId="0" applyNumberFormat="1" applyFont="1" applyFill="1" applyBorder="1" applyProtection="1">
      <alignment vertical="top"/>
      <protection locked="0"/>
    </xf>
    <xf numFmtId="38" fontId="44" fillId="0" borderId="0" xfId="0" applyNumberFormat="1" applyFont="1" applyFill="1" applyBorder="1" applyProtection="1">
      <alignment vertical="top"/>
      <protection locked="0"/>
    </xf>
    <xf numFmtId="1" fontId="22" fillId="0" borderId="0" xfId="0" applyNumberFormat="1" applyFont="1" applyFill="1" applyProtection="1">
      <alignment vertical="top"/>
    </xf>
    <xf numFmtId="0" fontId="38" fillId="0" borderId="0" xfId="0" applyFont="1" applyFill="1" applyAlignment="1"/>
    <xf numFmtId="184" fontId="22" fillId="5" borderId="0" xfId="0" applyNumberFormat="1" applyFont="1" applyFill="1" applyBorder="1" applyAlignment="1" applyProtection="1">
      <protection locked="0"/>
    </xf>
    <xf numFmtId="184" fontId="22" fillId="0" borderId="0" xfId="0" applyNumberFormat="1" applyFont="1" applyFill="1" applyBorder="1" applyAlignment="1" applyProtection="1">
      <protection locked="0"/>
    </xf>
    <xf numFmtId="1" fontId="22" fillId="0" borderId="0" xfId="0" applyNumberFormat="1" applyFont="1" applyFill="1" applyAlignment="1" applyProtection="1"/>
    <xf numFmtId="0" fontId="22" fillId="0" borderId="0" xfId="0" applyNumberFormat="1" applyFont="1" applyBorder="1" applyAlignment="1" applyProtection="1">
      <protection locked="0"/>
    </xf>
    <xf numFmtId="0" fontId="22" fillId="0" borderId="8" xfId="0" applyNumberFormat="1" applyFont="1" applyBorder="1" applyProtection="1">
      <alignment vertical="top"/>
      <protection locked="0"/>
    </xf>
    <xf numFmtId="184" fontId="22" fillId="5" borderId="21" xfId="0" applyNumberFormat="1" applyFont="1" applyFill="1" applyBorder="1" applyAlignment="1" applyProtection="1">
      <protection locked="0"/>
    </xf>
    <xf numFmtId="3" fontId="22" fillId="0" borderId="0" xfId="0" applyNumberFormat="1" applyFont="1" applyFill="1" applyAlignment="1" applyProtection="1">
      <alignment horizontal="right"/>
      <protection locked="0"/>
    </xf>
    <xf numFmtId="183" fontId="22" fillId="0" borderId="0" xfId="0" applyNumberFormat="1" applyFont="1" applyAlignment="1" applyProtection="1">
      <protection locked="0"/>
    </xf>
    <xf numFmtId="184" fontId="22" fillId="0" borderId="0" xfId="0" applyNumberFormat="1" applyFont="1" applyFill="1" applyBorder="1" applyAlignment="1" applyProtection="1"/>
    <xf numFmtId="3" fontId="22" fillId="0" borderId="0" xfId="0" applyNumberFormat="1" applyFont="1" applyFill="1" applyAlignment="1" applyProtection="1"/>
    <xf numFmtId="0" fontId="22" fillId="0" borderId="0" xfId="0" applyNumberFormat="1" applyFont="1" applyAlignment="1" applyProtection="1">
      <alignment horizontal="left" wrapText="1"/>
      <protection locked="0"/>
    </xf>
    <xf numFmtId="0" fontId="22" fillId="0" borderId="0" xfId="0" applyFont="1" applyAlignment="1">
      <alignment horizontal="left" wrapText="1"/>
    </xf>
    <xf numFmtId="184" fontId="22" fillId="0" borderId="0" xfId="0" applyNumberFormat="1" applyFont="1" applyProtection="1">
      <alignment vertical="top"/>
      <protection locked="0"/>
    </xf>
    <xf numFmtId="0" fontId="22" fillId="0" borderId="0" xfId="0" applyNumberFormat="1" applyFont="1" applyAlignment="1" applyProtection="1">
      <alignment horizontal="left" indent="8"/>
      <protection locked="0"/>
    </xf>
    <xf numFmtId="10" fontId="22" fillId="5" borderId="0" xfId="0" applyNumberFormat="1" applyFont="1" applyFill="1" applyProtection="1">
      <alignment vertical="top"/>
      <protection locked="0"/>
    </xf>
    <xf numFmtId="0" fontId="45" fillId="0" borderId="0" xfId="0" applyNumberFormat="1" applyFont="1" applyFill="1" applyProtection="1">
      <alignment vertical="top"/>
      <protection locked="0"/>
    </xf>
    <xf numFmtId="10" fontId="22" fillId="0" borderId="0" xfId="0" applyNumberFormat="1" applyFont="1" applyFill="1">
      <alignment vertical="top"/>
    </xf>
    <xf numFmtId="0" fontId="22" fillId="0" borderId="0" xfId="0" applyNumberFormat="1" applyFont="1" applyFill="1" applyAlignment="1">
      <alignment horizontal="left" indent="2"/>
    </xf>
    <xf numFmtId="0" fontId="22" fillId="0" borderId="0" xfId="0" applyFont="1" applyFill="1" applyAlignment="1">
      <alignment horizontal="left" indent="2"/>
    </xf>
    <xf numFmtId="0" fontId="22" fillId="0" borderId="0" xfId="0" applyNumberFormat="1" applyFont="1" applyFill="1" applyAlignment="1">
      <alignment horizontal="left"/>
    </xf>
    <xf numFmtId="0" fontId="22" fillId="0" borderId="0" xfId="17" applyNumberFormat="1" applyFont="1" applyFill="1"/>
    <xf numFmtId="0" fontId="18" fillId="3" borderId="3" xfId="0" applyFont="1" applyFill="1" applyBorder="1" applyAlignment="1">
      <alignment horizontal="center" vertical="top" wrapText="1"/>
    </xf>
    <xf numFmtId="0" fontId="18" fillId="0" borderId="0" xfId="0" applyFont="1">
      <alignment vertical="top"/>
    </xf>
    <xf numFmtId="0" fontId="18" fillId="0" borderId="3" xfId="0" quotePrefix="1" applyFont="1" applyBorder="1" applyAlignment="1">
      <alignment horizontal="left" vertical="top" wrapText="1" indent="2"/>
    </xf>
    <xf numFmtId="0" fontId="18" fillId="0" borderId="3" xfId="0" applyFont="1" applyBorder="1" applyAlignment="1">
      <alignment horizontal="left" vertical="top" wrapText="1"/>
    </xf>
    <xf numFmtId="18" fontId="18" fillId="0" borderId="24" xfId="0" applyNumberFormat="1" applyFont="1" applyBorder="1" applyAlignment="1">
      <alignment horizontal="left" vertical="top" wrapText="1" indent="2"/>
    </xf>
    <xf numFmtId="0" fontId="18" fillId="0" borderId="24" xfId="0" applyFont="1" applyBorder="1" applyAlignment="1">
      <alignment horizontal="left" vertical="top" wrapText="1"/>
    </xf>
    <xf numFmtId="0" fontId="18" fillId="0" borderId="0" xfId="0" applyFont="1" applyBorder="1">
      <alignment vertical="top"/>
    </xf>
    <xf numFmtId="18" fontId="18" fillId="0" borderId="25" xfId="0" applyNumberFormat="1" applyFont="1" applyBorder="1" applyAlignment="1">
      <alignment horizontal="left" vertical="top" wrapText="1" indent="4"/>
    </xf>
    <xf numFmtId="0" fontId="18" fillId="0" borderId="25" xfId="0" applyFont="1" applyBorder="1" applyAlignment="1">
      <alignment horizontal="left" vertical="top" wrapText="1"/>
    </xf>
    <xf numFmtId="18" fontId="18" fillId="0" borderId="24" xfId="0" applyNumberFormat="1" applyFont="1" applyBorder="1" applyAlignment="1">
      <alignment horizontal="left" vertical="top" wrapText="1" indent="4"/>
    </xf>
    <xf numFmtId="18" fontId="18" fillId="0" borderId="26" xfId="0" applyNumberFormat="1" applyFont="1" applyBorder="1" applyAlignment="1">
      <alignment horizontal="left" vertical="top" wrapText="1" indent="4"/>
    </xf>
    <xf numFmtId="0" fontId="18" fillId="0" borderId="26" xfId="0" applyFont="1" applyBorder="1" applyAlignment="1">
      <alignment horizontal="left" vertical="top" wrapText="1"/>
    </xf>
    <xf numFmtId="18" fontId="18" fillId="0" borderId="3" xfId="0" applyNumberFormat="1" applyFont="1" applyBorder="1" applyAlignment="1">
      <alignment horizontal="left" vertical="top" wrapText="1" indent="2"/>
    </xf>
    <xf numFmtId="0" fontId="18" fillId="0" borderId="0" xfId="0" applyFont="1" applyAlignment="1">
      <alignment horizontal="left" vertical="top" wrapText="1"/>
    </xf>
    <xf numFmtId="0" fontId="18" fillId="0" borderId="27" xfId="0" applyFont="1" applyBorder="1" applyAlignment="1">
      <alignment horizontal="left" vertical="top" wrapText="1"/>
    </xf>
    <xf numFmtId="0" fontId="18" fillId="0" borderId="28" xfId="0" applyFont="1" applyBorder="1" applyAlignment="1">
      <alignment horizontal="left" vertical="top" wrapText="1"/>
    </xf>
    <xf numFmtId="18" fontId="18" fillId="0" borderId="26" xfId="0" applyNumberFormat="1" applyFont="1" applyBorder="1" applyAlignment="1">
      <alignment horizontal="left" vertical="top" wrapText="1" indent="2"/>
    </xf>
    <xf numFmtId="0" fontId="46" fillId="0" borderId="24" xfId="0" applyFont="1" applyBorder="1" applyAlignment="1">
      <alignment horizontal="left" vertical="top" wrapText="1"/>
    </xf>
    <xf numFmtId="0" fontId="18" fillId="0" borderId="0" xfId="15" quotePrefix="1" applyFont="1"/>
    <xf numFmtId="5" fontId="18" fillId="0" borderId="0" xfId="15" applyNumberFormat="1" applyFont="1"/>
    <xf numFmtId="0" fontId="20" fillId="0" borderId="0" xfId="0" applyFont="1" applyAlignment="1">
      <alignment wrapText="1"/>
    </xf>
    <xf numFmtId="0" fontId="20" fillId="0" borderId="0" xfId="0" applyFont="1" applyAlignment="1">
      <alignment horizontal="center" wrapText="1"/>
    </xf>
    <xf numFmtId="0" fontId="26" fillId="0" borderId="0" xfId="0" applyFont="1" applyAlignment="1"/>
    <xf numFmtId="0" fontId="22" fillId="0" borderId="0" xfId="0" applyFont="1" applyAlignment="1">
      <alignment wrapText="1"/>
    </xf>
    <xf numFmtId="0" fontId="28" fillId="0" borderId="0" xfId="0" applyFont="1" applyFill="1" applyBorder="1" applyAlignment="1"/>
    <xf numFmtId="0" fontId="47" fillId="0" borderId="0" xfId="0" applyFont="1" applyFill="1" applyBorder="1" applyAlignment="1"/>
    <xf numFmtId="170" fontId="20" fillId="0" borderId="0" xfId="2" applyNumberFormat="1" applyFont="1"/>
    <xf numFmtId="170" fontId="20" fillId="0" borderId="0" xfId="0" applyNumberFormat="1" applyFont="1" applyAlignment="1"/>
    <xf numFmtId="170" fontId="20" fillId="0" borderId="0" xfId="20" applyNumberFormat="1" applyFont="1" applyFill="1" applyProtection="1"/>
    <xf numFmtId="5" fontId="18" fillId="0" borderId="11" xfId="15" applyNumberFormat="1" applyFont="1" applyFill="1" applyBorder="1"/>
    <xf numFmtId="0" fontId="20" fillId="0" borderId="0" xfId="0" applyFont="1" applyAlignment="1">
      <alignment horizontal="left" wrapText="1"/>
    </xf>
    <xf numFmtId="0" fontId="20" fillId="0" borderId="0" xfId="0" applyFont="1" applyAlignment="1">
      <alignment horizontal="left"/>
    </xf>
    <xf numFmtId="170" fontId="22" fillId="0" borderId="0" xfId="2" applyNumberFormat="1" applyFont="1" applyAlignment="1">
      <alignment horizontal="left"/>
    </xf>
    <xf numFmtId="170" fontId="22" fillId="0" borderId="0" xfId="2" applyNumberFormat="1" applyFont="1" applyAlignment="1">
      <alignment horizontal="center"/>
    </xf>
    <xf numFmtId="170" fontId="22" fillId="0" borderId="0" xfId="2" quotePrefix="1" applyNumberFormat="1" applyFont="1" applyAlignment="1">
      <alignment horizontal="left"/>
    </xf>
    <xf numFmtId="0" fontId="48" fillId="0" borderId="0" xfId="0" applyFont="1" applyAlignment="1">
      <alignment wrapText="1"/>
    </xf>
    <xf numFmtId="170" fontId="20" fillId="0" borderId="3" xfId="0" applyNumberFormat="1" applyFont="1" applyBorder="1" applyAlignment="1"/>
    <xf numFmtId="170" fontId="22" fillId="5" borderId="0" xfId="2" applyNumberFormat="1" applyFont="1" applyFill="1"/>
    <xf numFmtId="170" fontId="26" fillId="0" borderId="0" xfId="2" applyNumberFormat="1" applyFont="1" applyAlignment="1">
      <alignment horizontal="left"/>
    </xf>
    <xf numFmtId="0" fontId="0" fillId="0" borderId="0" xfId="0" applyFill="1" applyAlignment="1"/>
    <xf numFmtId="0" fontId="22" fillId="0" borderId="0" xfId="0" applyFont="1" applyFill="1" applyAlignment="1">
      <alignment wrapText="1"/>
    </xf>
    <xf numFmtId="0" fontId="0" fillId="0" borderId="0" xfId="0" applyFill="1" applyAlignment="1">
      <alignment wrapText="1"/>
    </xf>
    <xf numFmtId="0" fontId="49" fillId="0" borderId="0" xfId="0" applyFont="1" applyAlignment="1">
      <alignment horizontal="left" vertical="top"/>
    </xf>
    <xf numFmtId="38" fontId="50" fillId="0" borderId="0" xfId="18" applyFont="1"/>
    <xf numFmtId="0" fontId="51" fillId="0" borderId="0" xfId="0" applyFont="1" applyFill="1" applyAlignment="1">
      <alignment wrapText="1"/>
    </xf>
    <xf numFmtId="0" fontId="27" fillId="0" borderId="0" xfId="0" applyNumberFormat="1" applyFont="1" applyFill="1" applyProtection="1">
      <alignment vertical="top"/>
      <protection locked="0"/>
    </xf>
    <xf numFmtId="172" fontId="29" fillId="12" borderId="9" xfId="0" quotePrefix="1" applyNumberFormat="1" applyFont="1" applyFill="1" applyBorder="1" applyAlignment="1">
      <alignment horizontal="center"/>
    </xf>
    <xf numFmtId="0" fontId="52" fillId="0" borderId="0" xfId="0" applyFont="1" applyAlignment="1"/>
    <xf numFmtId="164" fontId="2" fillId="0" borderId="0" xfId="20" applyNumberFormat="1" applyFont="1" applyFill="1" applyAlignment="1" applyProtection="1">
      <alignment horizontal="right"/>
      <protection locked="0"/>
    </xf>
    <xf numFmtId="164" fontId="2" fillId="0" borderId="0" xfId="20" applyNumberFormat="1" applyFont="1" applyFill="1" applyAlignment="1" applyProtection="1"/>
    <xf numFmtId="49" fontId="4" fillId="0" borderId="0" xfId="20" applyNumberFormat="1" applyFont="1" applyFill="1" applyAlignment="1" applyProtection="1">
      <alignment horizontal="left"/>
    </xf>
    <xf numFmtId="38" fontId="4" fillId="0" borderId="0" xfId="20" applyFont="1" applyFill="1"/>
    <xf numFmtId="0" fontId="4" fillId="0" borderId="0" xfId="0" applyFont="1" applyAlignment="1"/>
    <xf numFmtId="37" fontId="2" fillId="0" borderId="0" xfId="20" applyNumberFormat="1" applyFont="1" applyFill="1" applyAlignment="1" applyProtection="1"/>
    <xf numFmtId="37" fontId="4" fillId="0" borderId="0" xfId="20" quotePrefix="1" applyNumberFormat="1" applyFont="1" applyFill="1" applyAlignment="1" applyProtection="1">
      <alignment horizontal="left"/>
    </xf>
    <xf numFmtId="0" fontId="4" fillId="0" borderId="0" xfId="0" applyFont="1" applyFill="1" applyAlignment="1"/>
    <xf numFmtId="42" fontId="53" fillId="0" borderId="11" xfId="0" applyNumberFormat="1" applyFont="1" applyFill="1" applyBorder="1" applyAlignment="1">
      <alignment horizontal="right"/>
    </xf>
    <xf numFmtId="3" fontId="53" fillId="0" borderId="0" xfId="0" applyNumberFormat="1" applyFont="1" applyFill="1" applyAlignment="1"/>
    <xf numFmtId="188" fontId="53" fillId="0" borderId="0" xfId="2" applyNumberFormat="1" applyFont="1" applyFill="1" applyBorder="1"/>
    <xf numFmtId="37" fontId="4" fillId="6" borderId="0" xfId="20" applyNumberFormat="1" applyFont="1" applyFill="1"/>
    <xf numFmtId="0" fontId="53" fillId="0" borderId="0" xfId="0" applyFont="1" applyFill="1" applyAlignment="1"/>
    <xf numFmtId="0" fontId="53" fillId="0" borderId="0" xfId="0" applyFont="1" applyAlignment="1">
      <alignment horizontal="right"/>
    </xf>
    <xf numFmtId="43" fontId="53" fillId="0" borderId="0" xfId="2" applyFont="1"/>
    <xf numFmtId="0" fontId="53" fillId="0" borderId="0" xfId="0" applyFont="1" applyAlignment="1"/>
    <xf numFmtId="17" fontId="53" fillId="0" borderId="0" xfId="0" applyNumberFormat="1" applyFont="1" applyFill="1" applyAlignment="1"/>
    <xf numFmtId="10" fontId="53" fillId="0" borderId="0" xfId="23" applyNumberFormat="1" applyFont="1" applyFill="1"/>
    <xf numFmtId="43" fontId="53" fillId="0" borderId="0" xfId="0" applyNumberFormat="1" applyFont="1" applyAlignment="1"/>
    <xf numFmtId="17" fontId="53" fillId="0" borderId="0" xfId="0" applyNumberFormat="1" applyFont="1" applyAlignment="1"/>
    <xf numFmtId="10" fontId="53" fillId="0" borderId="0" xfId="23" applyNumberFormat="1" applyFont="1"/>
    <xf numFmtId="0" fontId="4" fillId="6" borderId="0" xfId="15" applyFont="1" applyFill="1" applyAlignment="1">
      <alignment horizontal="left"/>
    </xf>
    <xf numFmtId="43" fontId="20" fillId="0" borderId="0" xfId="2" applyFont="1" applyFill="1" applyAlignment="1">
      <alignment horizontal="right"/>
    </xf>
    <xf numFmtId="10" fontId="20" fillId="0" borderId="8" xfId="0" applyNumberFormat="1" applyFont="1" applyFill="1" applyBorder="1" applyAlignment="1"/>
    <xf numFmtId="37" fontId="4" fillId="0" borderId="8" xfId="20" applyNumberFormat="1" applyFont="1" applyFill="1" applyBorder="1"/>
    <xf numFmtId="5" fontId="20" fillId="14" borderId="0" xfId="15" applyNumberFormat="1" applyFont="1" applyFill="1" applyAlignment="1">
      <alignment horizontal="right"/>
    </xf>
    <xf numFmtId="37" fontId="20" fillId="14" borderId="0" xfId="15" applyNumberFormat="1" applyFont="1" applyFill="1" applyAlignment="1">
      <alignment horizontal="right"/>
    </xf>
    <xf numFmtId="0" fontId="18" fillId="14" borderId="3" xfId="0" applyFont="1" applyFill="1" applyBorder="1" applyAlignment="1">
      <alignment horizontal="left" vertical="center" wrapText="1"/>
    </xf>
    <xf numFmtId="0" fontId="4" fillId="0" borderId="0" xfId="0" applyFont="1" applyAlignment="1">
      <alignment horizontal="center"/>
    </xf>
    <xf numFmtId="0" fontId="48" fillId="0" borderId="0" xfId="0" applyFont="1" applyAlignment="1"/>
    <xf numFmtId="0" fontId="20" fillId="0" borderId="0" xfId="0" applyFont="1" applyAlignment="1">
      <alignment horizontal="center"/>
    </xf>
    <xf numFmtId="0" fontId="48" fillId="0" borderId="0" xfId="0" quotePrefix="1" applyFont="1" applyAlignment="1"/>
    <xf numFmtId="170" fontId="20" fillId="0" borderId="0" xfId="2" applyNumberFormat="1" applyFont="1" applyAlignment="1"/>
    <xf numFmtId="170" fontId="20" fillId="0" borderId="29" xfId="2" applyNumberFormat="1" applyFont="1" applyBorder="1" applyAlignment="1"/>
    <xf numFmtId="170" fontId="4" fillId="0" borderId="0" xfId="2" applyNumberFormat="1" applyFont="1" applyAlignment="1">
      <alignment horizontal="center"/>
    </xf>
    <xf numFmtId="170" fontId="20" fillId="0" borderId="0" xfId="2" applyNumberFormat="1" applyFont="1" applyAlignment="1">
      <alignment horizontal="center"/>
    </xf>
    <xf numFmtId="170" fontId="20" fillId="14" borderId="0" xfId="20" applyNumberFormat="1" applyFont="1" applyFill="1" applyProtection="1"/>
    <xf numFmtId="5" fontId="20" fillId="14" borderId="0" xfId="15" applyNumberFormat="1" applyFont="1" applyFill="1" applyBorder="1" applyProtection="1"/>
    <xf numFmtId="0" fontId="2" fillId="0" borderId="0" xfId="0" applyFont="1" applyAlignment="1"/>
    <xf numFmtId="171" fontId="4" fillId="0" borderId="0" xfId="0" applyNumberFormat="1" applyFont="1" applyAlignment="1"/>
    <xf numFmtId="0" fontId="18" fillId="0" borderId="0" xfId="15" applyFont="1" applyFill="1" applyAlignment="1">
      <alignment horizontal="left"/>
    </xf>
    <xf numFmtId="14" fontId="4" fillId="0" borderId="0" xfId="0" applyNumberFormat="1" applyFont="1" applyBorder="1" applyAlignment="1">
      <alignment horizontal="center" wrapText="1"/>
    </xf>
    <xf numFmtId="14" fontId="4" fillId="0" borderId="21" xfId="0" applyNumberFormat="1" applyFont="1" applyBorder="1" applyAlignment="1">
      <alignment horizontal="center" wrapText="1"/>
    </xf>
    <xf numFmtId="0" fontId="4" fillId="0" borderId="16" xfId="0" applyFont="1" applyBorder="1" applyAlignment="1"/>
    <xf numFmtId="171" fontId="4" fillId="0" borderId="16" xfId="0" applyNumberFormat="1" applyFont="1" applyFill="1" applyBorder="1" applyAlignment="1"/>
    <xf numFmtId="37" fontId="4" fillId="15" borderId="0" xfId="0" applyNumberFormat="1" applyFont="1" applyFill="1" applyBorder="1" applyAlignment="1">
      <alignment horizontal="right"/>
    </xf>
    <xf numFmtId="37" fontId="4" fillId="0" borderId="16" xfId="0" applyNumberFormat="1" applyFont="1" applyBorder="1" applyAlignment="1"/>
    <xf numFmtId="171" fontId="4" fillId="0" borderId="0" xfId="0" applyNumberFormat="1" applyFont="1" applyFill="1" applyAlignment="1"/>
    <xf numFmtId="37" fontId="4" fillId="16" borderId="0" xfId="0" applyNumberFormat="1" applyFont="1" applyFill="1" applyBorder="1" applyAlignment="1">
      <alignment horizontal="right"/>
    </xf>
    <xf numFmtId="37" fontId="4" fillId="0" borderId="0" xfId="0" applyNumberFormat="1" applyFont="1" applyAlignment="1"/>
    <xf numFmtId="37" fontId="4" fillId="17" borderId="0" xfId="0" applyNumberFormat="1" applyFont="1" applyFill="1" applyBorder="1" applyAlignment="1">
      <alignment horizontal="right"/>
    </xf>
    <xf numFmtId="37" fontId="4" fillId="0" borderId="0" xfId="0" applyNumberFormat="1" applyFont="1" applyFill="1" applyAlignment="1"/>
    <xf numFmtId="37" fontId="4" fillId="10" borderId="0" xfId="0" applyNumberFormat="1" applyFont="1" applyFill="1" applyBorder="1" applyAlignment="1">
      <alignment horizontal="right"/>
    </xf>
    <xf numFmtId="37" fontId="4" fillId="6" borderId="0" xfId="0" applyNumberFormat="1" applyFont="1" applyFill="1" applyBorder="1" applyAlignment="1">
      <alignment horizontal="right"/>
    </xf>
    <xf numFmtId="37" fontId="4" fillId="2" borderId="0" xfId="0" applyNumberFormat="1" applyFont="1" applyFill="1" applyBorder="1" applyAlignment="1">
      <alignment horizontal="right"/>
    </xf>
    <xf numFmtId="37" fontId="4" fillId="3" borderId="0" xfId="0" applyNumberFormat="1" applyFont="1" applyFill="1" applyBorder="1" applyAlignment="1">
      <alignment horizontal="right"/>
    </xf>
    <xf numFmtId="37" fontId="4" fillId="0" borderId="0" xfId="0" applyNumberFormat="1" applyFont="1" applyFill="1" applyBorder="1" applyAlignment="1">
      <alignment horizontal="right"/>
    </xf>
    <xf numFmtId="37" fontId="4" fillId="11" borderId="0" xfId="0" applyNumberFormat="1" applyFont="1" applyFill="1" applyBorder="1" applyAlignment="1">
      <alignment horizontal="right"/>
    </xf>
    <xf numFmtId="37" fontId="4" fillId="18" borderId="0" xfId="0" applyNumberFormat="1" applyFont="1" applyFill="1" applyBorder="1" applyAlignment="1">
      <alignment horizontal="right"/>
    </xf>
    <xf numFmtId="37" fontId="4" fillId="19" borderId="0" xfId="0" applyNumberFormat="1" applyFont="1" applyFill="1" applyBorder="1" applyAlignment="1">
      <alignment horizontal="right"/>
    </xf>
    <xf numFmtId="171" fontId="4" fillId="0" borderId="16" xfId="0" applyNumberFormat="1" applyFont="1" applyBorder="1" applyAlignment="1"/>
    <xf numFmtId="37" fontId="4" fillId="16" borderId="16" xfId="0" applyNumberFormat="1" applyFont="1" applyFill="1" applyBorder="1" applyAlignment="1"/>
    <xf numFmtId="37" fontId="4" fillId="0" borderId="0" xfId="0" applyNumberFormat="1" applyFont="1" applyAlignment="1">
      <alignment horizontal="right"/>
    </xf>
    <xf numFmtId="37" fontId="4" fillId="14" borderId="0" xfId="0" applyNumberFormat="1" applyFont="1" applyFill="1" applyBorder="1" applyAlignment="1">
      <alignment horizontal="right"/>
    </xf>
    <xf numFmtId="37" fontId="4" fillId="0" borderId="7" xfId="0" applyNumberFormat="1" applyFont="1" applyBorder="1" applyAlignment="1"/>
    <xf numFmtId="43" fontId="4" fillId="0" borderId="0" xfId="2" applyFont="1" applyAlignment="1"/>
    <xf numFmtId="37" fontId="4" fillId="13" borderId="0" xfId="0" applyNumberFormat="1" applyFont="1" applyFill="1" applyBorder="1" applyAlignment="1">
      <alignment horizontal="right"/>
    </xf>
    <xf numFmtId="37" fontId="20" fillId="14" borderId="0" xfId="15" applyNumberFormat="1" applyFont="1" applyFill="1" applyBorder="1" applyAlignment="1">
      <alignment horizontal="right"/>
    </xf>
    <xf numFmtId="0" fontId="20" fillId="14" borderId="0" xfId="15" applyFont="1" applyFill="1"/>
    <xf numFmtId="0" fontId="22" fillId="0" borderId="0" xfId="0" applyFont="1" applyAlignment="1">
      <alignment horizontal="right"/>
    </xf>
    <xf numFmtId="0" fontId="22" fillId="0" borderId="0" xfId="0" applyNumberFormat="1" applyFont="1" applyFill="1" applyBorder="1" applyAlignment="1" applyProtection="1">
      <protection locked="0"/>
    </xf>
    <xf numFmtId="0" fontId="22" fillId="0" borderId="8" xfId="0" applyNumberFormat="1" applyFont="1" applyFill="1" applyBorder="1" applyAlignment="1" applyProtection="1">
      <protection locked="0"/>
    </xf>
    <xf numFmtId="0" fontId="26" fillId="0" borderId="0" xfId="0" applyNumberFormat="1" applyFont="1" applyAlignment="1" applyProtection="1">
      <alignment horizontal="center"/>
      <protection locked="0"/>
    </xf>
    <xf numFmtId="0" fontId="22" fillId="0" borderId="0" xfId="0" applyFont="1" applyFill="1" applyAlignment="1">
      <alignment horizontal="center"/>
    </xf>
    <xf numFmtId="3" fontId="22" fillId="0" borderId="0" xfId="0" applyNumberFormat="1" applyFont="1" applyFill="1" applyAlignment="1">
      <alignment horizontal="center"/>
    </xf>
    <xf numFmtId="49" fontId="22" fillId="0" borderId="0" xfId="0" applyNumberFormat="1" applyFont="1" applyFill="1" applyAlignment="1">
      <alignment horizontal="center"/>
    </xf>
    <xf numFmtId="0" fontId="0" fillId="0" borderId="0" xfId="0" applyAlignment="1"/>
    <xf numFmtId="0" fontId="22" fillId="0" borderId="0" xfId="0" applyFont="1" applyFill="1" applyAlignment="1">
      <alignment horizontal="center"/>
    </xf>
    <xf numFmtId="0" fontId="38" fillId="0" borderId="0" xfId="0" applyFont="1" applyAlignment="1"/>
    <xf numFmtId="49" fontId="22" fillId="0" borderId="0" xfId="0" applyNumberFormat="1" applyFont="1" applyAlignment="1"/>
    <xf numFmtId="42" fontId="22" fillId="0" borderId="0" xfId="0" applyNumberFormat="1" applyFont="1" applyAlignment="1"/>
    <xf numFmtId="0" fontId="0" fillId="0" borderId="0" xfId="0" applyBorder="1" applyAlignment="1"/>
    <xf numFmtId="184" fontId="0" fillId="0" borderId="0" xfId="0" applyNumberFormat="1" applyFont="1" applyBorder="1" applyAlignment="1"/>
    <xf numFmtId="178" fontId="22" fillId="0" borderId="0" xfId="0" applyNumberFormat="1" applyFont="1" applyFill="1" applyAlignment="1"/>
    <xf numFmtId="178" fontId="22" fillId="0" borderId="0" xfId="0" applyNumberFormat="1" applyFont="1" applyAlignment="1"/>
    <xf numFmtId="185" fontId="22" fillId="5" borderId="0" xfId="0" applyNumberFormat="1" applyFont="1" applyFill="1" applyAlignment="1" applyProtection="1">
      <protection locked="0"/>
    </xf>
    <xf numFmtId="185" fontId="22" fillId="0" borderId="0" xfId="0" applyNumberFormat="1" applyFont="1" applyAlignment="1" applyProtection="1">
      <protection locked="0"/>
    </xf>
    <xf numFmtId="185" fontId="22" fillId="0" borderId="0" xfId="0" applyNumberFormat="1" applyFont="1" applyFill="1" applyAlignment="1" applyProtection="1">
      <protection locked="0"/>
    </xf>
    <xf numFmtId="0" fontId="26" fillId="7" borderId="0" xfId="0" applyFont="1" applyFill="1" applyAlignment="1">
      <alignment horizontal="center"/>
    </xf>
    <xf numFmtId="38" fontId="22" fillId="0" borderId="0" xfId="2" applyNumberFormat="1" applyFont="1" applyFill="1" applyAlignment="1"/>
    <xf numFmtId="3" fontId="22" fillId="0" borderId="0" xfId="0" applyNumberFormat="1" applyFont="1" applyFill="1" applyBorder="1" applyAlignment="1">
      <alignment horizontal="fill"/>
    </xf>
    <xf numFmtId="3" fontId="28" fillId="0" borderId="0" xfId="0" applyNumberFormat="1" applyFont="1" applyFill="1" applyAlignment="1">
      <alignment horizontal="left"/>
    </xf>
    <xf numFmtId="3" fontId="28" fillId="0" borderId="0" xfId="0" applyNumberFormat="1" applyFont="1" applyFill="1" applyAlignment="1"/>
    <xf numFmtId="0" fontId="22" fillId="0" borderId="21" xfId="0" applyNumberFormat="1" applyFont="1" applyFill="1" applyBorder="1" applyAlignment="1" applyProtection="1">
      <protection locked="0"/>
    </xf>
    <xf numFmtId="0" fontId="22" fillId="0" borderId="21" xfId="0" applyNumberFormat="1" applyFont="1" applyFill="1" applyBorder="1" applyAlignment="1"/>
    <xf numFmtId="0" fontId="22" fillId="0" borderId="0" xfId="0" applyNumberFormat="1" applyFont="1" applyFill="1" applyBorder="1" applyAlignment="1"/>
    <xf numFmtId="0" fontId="22" fillId="0" borderId="0" xfId="0" applyNumberFormat="1" applyFont="1" applyBorder="1" applyAlignment="1"/>
    <xf numFmtId="0" fontId="43" fillId="0" borderId="0" xfId="0" applyNumberFormat="1" applyFont="1" applyAlignment="1" applyProtection="1">
      <protection locked="0"/>
    </xf>
    <xf numFmtId="38" fontId="22" fillId="5" borderId="0" xfId="0" applyNumberFormat="1" applyFont="1" applyFill="1" applyBorder="1" applyAlignment="1" applyProtection="1">
      <protection locked="0"/>
    </xf>
    <xf numFmtId="38" fontId="22" fillId="0" borderId="0" xfId="0" applyNumberFormat="1" applyFont="1" applyFill="1" applyBorder="1" applyAlignment="1" applyProtection="1">
      <protection locked="0"/>
    </xf>
    <xf numFmtId="38" fontId="39" fillId="0" borderId="0" xfId="0" applyNumberFormat="1" applyFont="1" applyFill="1" applyBorder="1" applyAlignment="1" applyProtection="1">
      <protection locked="0"/>
    </xf>
    <xf numFmtId="38" fontId="22" fillId="5" borderId="21" xfId="0" applyNumberFormat="1" applyFont="1" applyFill="1" applyBorder="1" applyAlignment="1" applyProtection="1">
      <protection locked="0"/>
    </xf>
    <xf numFmtId="38" fontId="22" fillId="0" borderId="0" xfId="0" applyNumberFormat="1" applyFont="1" applyFill="1" applyBorder="1" applyAlignment="1" applyProtection="1"/>
    <xf numFmtId="0" fontId="28" fillId="0" borderId="0" xfId="0" applyFont="1" applyFill="1" applyAlignment="1"/>
    <xf numFmtId="0" fontId="28" fillId="0" borderId="0" xfId="0" applyFont="1" applyAlignment="1"/>
    <xf numFmtId="178" fontId="22" fillId="0" borderId="0" xfId="0" applyNumberFormat="1" applyFont="1" applyAlignment="1" applyProtection="1">
      <protection locked="0"/>
    </xf>
    <xf numFmtId="38" fontId="44" fillId="5" borderId="0" xfId="0" applyNumberFormat="1" applyFont="1" applyFill="1" applyBorder="1" applyAlignment="1" applyProtection="1">
      <protection locked="0"/>
    </xf>
    <xf numFmtId="38" fontId="44" fillId="0" borderId="0" xfId="0" applyNumberFormat="1" applyFont="1" applyFill="1" applyBorder="1" applyAlignment="1" applyProtection="1">
      <protection locked="0"/>
    </xf>
    <xf numFmtId="0" fontId="47" fillId="0" borderId="0" xfId="0" applyFont="1" applyFill="1" applyAlignment="1"/>
    <xf numFmtId="0" fontId="22" fillId="0" borderId="8" xfId="0" applyNumberFormat="1" applyFont="1" applyBorder="1" applyAlignment="1" applyProtection="1">
      <protection locked="0"/>
    </xf>
    <xf numFmtId="184" fontId="22" fillId="0" borderId="0" xfId="0" applyNumberFormat="1" applyFont="1" applyAlignment="1" applyProtection="1">
      <protection locked="0"/>
    </xf>
    <xf numFmtId="10" fontId="22" fillId="5" borderId="0" xfId="0" applyNumberFormat="1" applyFont="1" applyFill="1" applyAlignment="1" applyProtection="1">
      <protection locked="0"/>
    </xf>
    <xf numFmtId="0" fontId="45" fillId="0" borderId="0" xfId="0" applyNumberFormat="1" applyFont="1" applyFill="1" applyAlignment="1" applyProtection="1">
      <protection locked="0"/>
    </xf>
    <xf numFmtId="10" fontId="22" fillId="0" borderId="0" xfId="0" applyNumberFormat="1" applyFont="1" applyFill="1" applyAlignment="1"/>
    <xf numFmtId="170" fontId="35" fillId="0" borderId="0" xfId="2" applyNumberFormat="1" applyFont="1" applyFill="1" applyAlignment="1"/>
    <xf numFmtId="170" fontId="35" fillId="0" borderId="0" xfId="2" applyNumberFormat="1" applyFont="1" applyFill="1" applyBorder="1" applyAlignment="1"/>
    <xf numFmtId="185" fontId="35" fillId="0" borderId="0" xfId="0" applyNumberFormat="1" applyFont="1" applyFill="1" applyAlignment="1"/>
    <xf numFmtId="184" fontId="35" fillId="0" borderId="0" xfId="0" applyNumberFormat="1" applyFont="1" applyFill="1" applyAlignment="1"/>
    <xf numFmtId="0" fontId="22" fillId="0" borderId="0" xfId="0" applyFont="1" applyFill="1" applyBorder="1" applyAlignment="1">
      <alignment horizontal="center"/>
    </xf>
    <xf numFmtId="189" fontId="0" fillId="0" borderId="0" xfId="23" applyNumberFormat="1" applyFont="1" applyBorder="1" applyAlignment="1"/>
    <xf numFmtId="184" fontId="0" fillId="0" borderId="0" xfId="0" applyNumberFormat="1" applyBorder="1" applyAlignment="1"/>
    <xf numFmtId="0" fontId="39" fillId="0" borderId="0" xfId="0" applyFont="1" applyBorder="1" applyAlignment="1"/>
    <xf numFmtId="0" fontId="0" fillId="0" borderId="0" xfId="0" applyNumberFormat="1" applyFont="1" applyBorder="1" applyAlignment="1"/>
    <xf numFmtId="0" fontId="0" fillId="0" borderId="0" xfId="0" applyFont="1" applyBorder="1" applyAlignment="1"/>
    <xf numFmtId="0" fontId="56" fillId="0" borderId="0" xfId="0" applyNumberFormat="1" applyFont="1" applyBorder="1" applyAlignment="1"/>
    <xf numFmtId="0" fontId="0" fillId="0" borderId="0" xfId="0" applyFont="1" applyBorder="1" applyAlignment="1">
      <alignment horizontal="center"/>
    </xf>
    <xf numFmtId="0" fontId="0" fillId="0" borderId="0" xfId="0" applyNumberFormat="1" applyFont="1" applyBorder="1" applyAlignment="1">
      <alignment horizontal="center"/>
    </xf>
    <xf numFmtId="3" fontId="0" fillId="0" borderId="0" xfId="0" applyNumberFormat="1" applyFont="1" applyBorder="1" applyAlignment="1"/>
    <xf numFmtId="0" fontId="0" fillId="0" borderId="0" xfId="0" applyFont="1" applyBorder="1" applyAlignment="1">
      <alignment horizontal="right"/>
    </xf>
    <xf numFmtId="174" fontId="20" fillId="0" borderId="0" xfId="0" applyNumberFormat="1" applyFont="1" applyFill="1" applyAlignment="1"/>
    <xf numFmtId="0" fontId="22" fillId="14" borderId="0" xfId="0" applyFont="1" applyFill="1" applyAlignment="1">
      <alignment wrapText="1"/>
    </xf>
    <xf numFmtId="0" fontId="26" fillId="20" borderId="0" xfId="0" applyFont="1" applyFill="1" applyAlignment="1">
      <alignment horizontal="center"/>
    </xf>
    <xf numFmtId="38" fontId="4" fillId="0" borderId="8" xfId="20" applyFont="1" applyFill="1" applyBorder="1"/>
    <xf numFmtId="38" fontId="48" fillId="0" borderId="0" xfId="20" quotePrefix="1" applyFont="1" applyFill="1" applyAlignment="1">
      <alignment horizontal="center"/>
    </xf>
    <xf numFmtId="0" fontId="4" fillId="14" borderId="25" xfId="0" applyFont="1" applyFill="1" applyBorder="1" applyAlignment="1">
      <alignment horizontal="justify"/>
    </xf>
    <xf numFmtId="0" fontId="20" fillId="14" borderId="25" xfId="0" applyFont="1" applyFill="1" applyBorder="1" applyAlignment="1">
      <alignment horizontal="justify"/>
    </xf>
    <xf numFmtId="0" fontId="58" fillId="0" borderId="0" xfId="32" applyFont="1">
      <alignment vertical="top"/>
    </xf>
    <xf numFmtId="0" fontId="59" fillId="0" borderId="0" xfId="0" applyFont="1" applyAlignment="1"/>
    <xf numFmtId="0" fontId="2" fillId="0" borderId="0" xfId="32" applyFont="1">
      <alignment vertical="top"/>
    </xf>
    <xf numFmtId="0" fontId="2" fillId="0" borderId="0" xfId="33" applyFont="1" applyFill="1" applyBorder="1">
      <alignment vertical="top"/>
    </xf>
    <xf numFmtId="0" fontId="60" fillId="22" borderId="8" xfId="0" quotePrefix="1" applyFont="1" applyFill="1" applyBorder="1" applyAlignment="1">
      <alignment horizontal="center"/>
    </xf>
    <xf numFmtId="0" fontId="4" fillId="0" borderId="0" xfId="32" applyFont="1">
      <alignment vertical="top"/>
    </xf>
    <xf numFmtId="0" fontId="2" fillId="0" borderId="8" xfId="33" applyFont="1" applyFill="1" applyBorder="1">
      <alignment vertical="top"/>
    </xf>
    <xf numFmtId="0" fontId="57" fillId="0" borderId="0" xfId="32">
      <alignment vertical="top"/>
    </xf>
    <xf numFmtId="0" fontId="61" fillId="23" borderId="0" xfId="34" applyFont="1" applyFill="1" applyAlignment="1"/>
    <xf numFmtId="184" fontId="63" fillId="23" borderId="0" xfId="35" quotePrefix="1" applyNumberFormat="1" applyFont="1" applyFill="1" applyAlignment="1">
      <alignment horizontal="center" wrapText="1"/>
    </xf>
    <xf numFmtId="184" fontId="64" fillId="0" borderId="0" xfId="35" applyNumberFormat="1" applyFont="1" applyFill="1" applyAlignment="1">
      <alignment horizontal="center" wrapText="1"/>
    </xf>
    <xf numFmtId="184" fontId="63" fillId="23" borderId="0" xfId="35" applyNumberFormat="1" applyFont="1" applyFill="1" applyAlignment="1">
      <alignment horizontal="center" wrapText="1"/>
    </xf>
    <xf numFmtId="0" fontId="2" fillId="9" borderId="24" xfId="32" applyFont="1" applyFill="1" applyBorder="1">
      <alignment vertical="top"/>
    </xf>
    <xf numFmtId="0" fontId="4" fillId="0" borderId="24" xfId="34" quotePrefix="1" applyFont="1" applyFill="1" applyBorder="1" applyAlignment="1">
      <alignment horizontal="left"/>
    </xf>
    <xf numFmtId="184" fontId="4" fillId="0" borderId="0" xfId="32" applyNumberFormat="1" applyFont="1">
      <alignment vertical="top"/>
    </xf>
    <xf numFmtId="0" fontId="2" fillId="9" borderId="25" xfId="32" applyFont="1" applyFill="1" applyBorder="1">
      <alignment vertical="top"/>
    </xf>
    <xf numFmtId="0" fontId="4" fillId="0" borderId="25" xfId="34" quotePrefix="1" applyFont="1" applyFill="1" applyBorder="1" applyAlignment="1">
      <alignment horizontal="left"/>
    </xf>
    <xf numFmtId="0" fontId="4" fillId="0" borderId="25" xfId="34" applyFont="1" applyFill="1" applyBorder="1"/>
    <xf numFmtId="0" fontId="2" fillId="9" borderId="26" xfId="32" applyFont="1" applyFill="1" applyBorder="1">
      <alignment vertical="top"/>
    </xf>
    <xf numFmtId="0" fontId="4" fillId="0" borderId="26" xfId="34" applyFont="1" applyFill="1" applyBorder="1"/>
    <xf numFmtId="0" fontId="2" fillId="9" borderId="0" xfId="32" applyFont="1" applyFill="1">
      <alignment vertical="top"/>
    </xf>
    <xf numFmtId="0" fontId="2" fillId="0" borderId="0" xfId="34" applyFont="1" applyAlignment="1">
      <alignment horizontal="right"/>
    </xf>
    <xf numFmtId="184" fontId="4" fillId="6" borderId="33" xfId="32" applyNumberFormat="1" applyFont="1" applyFill="1" applyBorder="1" applyAlignment="1">
      <alignment horizontal="right" vertical="top"/>
    </xf>
    <xf numFmtId="184" fontId="4" fillId="6" borderId="0" xfId="32" applyNumberFormat="1" applyFont="1" applyFill="1" applyBorder="1" applyAlignment="1">
      <alignment horizontal="right" vertical="top"/>
    </xf>
    <xf numFmtId="0" fontId="4" fillId="0" borderId="25" xfId="34" applyFont="1" applyBorder="1"/>
    <xf numFmtId="0" fontId="2" fillId="0" borderId="0" xfId="32" applyFont="1" applyFill="1">
      <alignment vertical="top"/>
    </xf>
    <xf numFmtId="0" fontId="2" fillId="0" borderId="0" xfId="34" applyFont="1" applyFill="1" applyAlignment="1">
      <alignment horizontal="right"/>
    </xf>
    <xf numFmtId="184" fontId="4" fillId="0" borderId="0" xfId="32" applyNumberFormat="1" applyFont="1" applyFill="1" applyBorder="1" applyAlignment="1">
      <alignment horizontal="right" vertical="top"/>
    </xf>
    <xf numFmtId="0" fontId="4" fillId="9" borderId="0" xfId="34" applyFont="1" applyFill="1" applyAlignment="1">
      <alignment horizontal="right"/>
    </xf>
    <xf numFmtId="184" fontId="4" fillId="9" borderId="0" xfId="34" applyNumberFormat="1" applyFont="1" applyFill="1" applyBorder="1" applyAlignment="1">
      <alignment horizontal="right"/>
    </xf>
    <xf numFmtId="0" fontId="4" fillId="9" borderId="0" xfId="34" applyFont="1" applyFill="1"/>
    <xf numFmtId="184" fontId="4" fillId="9" borderId="0" xfId="34" applyNumberFormat="1" applyFont="1" applyFill="1" applyAlignment="1">
      <alignment horizontal="right"/>
    </xf>
    <xf numFmtId="0" fontId="4" fillId="0" borderId="24" xfId="34" quotePrefix="1" applyFont="1" applyBorder="1" applyAlignment="1">
      <alignment horizontal="left"/>
    </xf>
    <xf numFmtId="184" fontId="4" fillId="6" borderId="27" xfId="4" applyNumberFormat="1" applyFont="1" applyFill="1" applyBorder="1" applyAlignment="1">
      <alignment horizontal="right" vertical="top"/>
    </xf>
    <xf numFmtId="0" fontId="4" fillId="0" borderId="25" xfId="34" quotePrefix="1" applyFont="1" applyBorder="1" applyAlignment="1">
      <alignment horizontal="left"/>
    </xf>
    <xf numFmtId="184" fontId="4" fillId="6" borderId="31" xfId="32" applyNumberFormat="1" applyFont="1" applyFill="1" applyBorder="1" applyAlignment="1">
      <alignment horizontal="right" vertical="top"/>
    </xf>
    <xf numFmtId="0" fontId="4" fillId="0" borderId="26" xfId="34" applyFont="1" applyBorder="1"/>
    <xf numFmtId="184" fontId="4" fillId="9" borderId="0" xfId="32" applyNumberFormat="1" applyFont="1" applyFill="1" applyBorder="1" applyAlignment="1">
      <alignment horizontal="right" vertical="top"/>
    </xf>
    <xf numFmtId="0" fontId="0" fillId="9" borderId="0" xfId="0" applyFill="1" applyAlignment="1"/>
    <xf numFmtId="184" fontId="0" fillId="9" borderId="0" xfId="0" applyNumberFormat="1" applyFill="1" applyAlignment="1">
      <alignment horizontal="right"/>
    </xf>
    <xf numFmtId="0" fontId="2" fillId="0" borderId="24" xfId="0" applyFont="1" applyBorder="1" applyAlignment="1"/>
    <xf numFmtId="0" fontId="4" fillId="0" borderId="24" xfId="32" applyFont="1" applyBorder="1">
      <alignment vertical="top"/>
    </xf>
    <xf numFmtId="0" fontId="4" fillId="0" borderId="26" xfId="32" applyFont="1" applyBorder="1">
      <alignment vertical="top"/>
    </xf>
    <xf numFmtId="0" fontId="0" fillId="0" borderId="0" xfId="0" applyFill="1" applyBorder="1" applyAlignment="1"/>
    <xf numFmtId="0" fontId="0" fillId="0" borderId="0" xfId="0" applyFill="1" applyBorder="1" applyAlignment="1">
      <alignment horizontal="right"/>
    </xf>
    <xf numFmtId="0" fontId="1" fillId="0" borderId="0" xfId="0" applyNumberFormat="1" applyFont="1" applyFill="1" applyBorder="1" applyAlignment="1" applyProtection="1">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xf numFmtId="0" fontId="1" fillId="0" borderId="0" xfId="0" applyNumberFormat="1" applyFont="1" applyFill="1" applyBorder="1" applyAlignment="1" applyProtection="1">
      <alignment horizontal="right"/>
      <protection locked="0"/>
    </xf>
    <xf numFmtId="0" fontId="0" fillId="0" borderId="0" xfId="0" applyNumberFormat="1" applyFont="1" applyFill="1" applyBorder="1" applyAlignment="1"/>
    <xf numFmtId="0" fontId="65" fillId="0" borderId="0" xfId="0" applyNumberFormat="1" applyFont="1" applyFill="1" applyBorder="1" applyAlignment="1"/>
    <xf numFmtId="0" fontId="0" fillId="0" borderId="0" xfId="0" applyFont="1" applyFill="1" applyBorder="1" applyAlignment="1"/>
    <xf numFmtId="3" fontId="1" fillId="0" borderId="0" xfId="0" applyNumberFormat="1" applyFont="1" applyFill="1" applyBorder="1" applyAlignment="1"/>
    <xf numFmtId="0" fontId="65"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1" fillId="5" borderId="0" xfId="0" applyNumberFormat="1" applyFont="1" applyFill="1" applyBorder="1" applyAlignment="1">
      <alignment horizontal="center"/>
    </xf>
    <xf numFmtId="49" fontId="1" fillId="0" borderId="0" xfId="0" applyNumberFormat="1" applyFont="1" applyFill="1" applyBorder="1" applyAlignment="1"/>
    <xf numFmtId="0"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3" fontId="0" fillId="0" borderId="0" xfId="0" applyNumberFormat="1" applyFont="1" applyFill="1" applyBorder="1" applyAlignment="1"/>
    <xf numFmtId="3" fontId="15"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NumberFormat="1" applyFont="1" applyFill="1" applyBorder="1" applyAlignment="1" applyProtection="1">
      <alignment horizontal="center"/>
      <protection locked="0"/>
    </xf>
    <xf numFmtId="0" fontId="66" fillId="0" borderId="0" xfId="0" applyNumberFormat="1" applyFont="1" applyFill="1" applyBorder="1" applyAlignment="1">
      <alignment horizontal="center"/>
    </xf>
    <xf numFmtId="0" fontId="15" fillId="0" borderId="0" xfId="0" applyNumberFormat="1" applyFont="1" applyFill="1" applyBorder="1" applyAlignment="1"/>
    <xf numFmtId="0" fontId="67"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1" fillId="0" borderId="0" xfId="0" applyNumberFormat="1" applyFont="1" applyFill="1" applyBorder="1" applyAlignment="1">
      <alignment horizontal="center"/>
    </xf>
    <xf numFmtId="170" fontId="1" fillId="5" borderId="0" xfId="2" applyNumberFormat="1" applyFont="1" applyFill="1" applyBorder="1" applyAlignment="1"/>
    <xf numFmtId="170" fontId="1" fillId="5" borderId="8" xfId="2" applyNumberFormat="1" applyFont="1" applyFill="1" applyBorder="1" applyAlignment="1"/>
    <xf numFmtId="3" fontId="68" fillId="0" borderId="0" xfId="0" applyNumberFormat="1" applyFont="1" applyFill="1" applyBorder="1" applyAlignment="1"/>
    <xf numFmtId="170" fontId="1" fillId="0" borderId="0" xfId="2" applyNumberFormat="1" applyFont="1" applyFill="1" applyBorder="1" applyAlignment="1"/>
    <xf numFmtId="41" fontId="1" fillId="0" borderId="0" xfId="0" applyNumberFormat="1" applyFont="1" applyFill="1" applyBorder="1" applyAlignment="1"/>
    <xf numFmtId="10" fontId="15" fillId="0" borderId="0" xfId="0" applyNumberFormat="1" applyFont="1" applyFill="1" applyBorder="1" applyAlignment="1"/>
    <xf numFmtId="10" fontId="66" fillId="0" borderId="0" xfId="23" applyNumberFormat="1" applyFont="1" applyFill="1" applyBorder="1" applyAlignment="1"/>
    <xf numFmtId="10" fontId="1" fillId="0" borderId="0" xfId="0" applyNumberFormat="1" applyFont="1" applyFill="1" applyBorder="1" applyAlignment="1"/>
    <xf numFmtId="10" fontId="0" fillId="0" borderId="0" xfId="23" applyNumberFormat="1" applyFont="1" applyFill="1" applyBorder="1" applyAlignment="1"/>
    <xf numFmtId="3" fontId="66" fillId="0" borderId="0" xfId="0" applyNumberFormat="1" applyFont="1" applyFill="1" applyBorder="1" applyAlignment="1"/>
    <xf numFmtId="186" fontId="15" fillId="0" borderId="0" xfId="0" applyNumberFormat="1" applyFont="1" applyFill="1" applyBorder="1" applyAlignment="1"/>
    <xf numFmtId="49" fontId="0" fillId="0" borderId="0" xfId="0" applyNumberFormat="1" applyFont="1" applyFill="1" applyBorder="1" applyAlignment="1">
      <alignment horizontal="center"/>
    </xf>
    <xf numFmtId="0" fontId="1" fillId="0" borderId="0" xfId="0" applyFont="1" applyFill="1" applyBorder="1" applyAlignment="1">
      <alignment horizontal="center"/>
    </xf>
    <xf numFmtId="49" fontId="0" fillId="0" borderId="0" xfId="0" applyNumberFormat="1" applyFill="1" applyBorder="1" applyAlignment="1">
      <alignment horizontal="center"/>
    </xf>
    <xf numFmtId="0" fontId="15"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66" fillId="0" borderId="0" xfId="0" applyNumberFormat="1" applyFont="1" applyFill="1" applyBorder="1" applyAlignment="1">
      <alignment horizontal="center"/>
    </xf>
    <xf numFmtId="0" fontId="66" fillId="0" borderId="0" xfId="0" applyFont="1" applyFill="1" applyBorder="1" applyAlignment="1"/>
    <xf numFmtId="10" fontId="15" fillId="0" borderId="0" xfId="23" applyNumberFormat="1" applyFont="1" applyFill="1" applyBorder="1" applyAlignment="1"/>
    <xf numFmtId="0" fontId="0" fillId="0" borderId="0" xfId="0" applyNumberFormat="1" applyFont="1" applyFill="1" applyBorder="1" applyAlignment="1">
      <alignment horizontal="fill"/>
    </xf>
    <xf numFmtId="0" fontId="69" fillId="0" borderId="0" xfId="0" applyFont="1" applyFill="1" applyBorder="1" applyAlignment="1"/>
    <xf numFmtId="3" fontId="50" fillId="0" borderId="0" xfId="0" applyNumberFormat="1" applyFont="1" applyFill="1" applyBorder="1" applyAlignment="1"/>
    <xf numFmtId="173" fontId="1" fillId="0" borderId="0" xfId="0" applyNumberFormat="1" applyFont="1" applyFill="1" applyBorder="1" applyAlignment="1">
      <alignment horizontal="center"/>
    </xf>
    <xf numFmtId="10" fontId="1" fillId="0" borderId="0" xfId="23" applyNumberFormat="1" applyFont="1" applyFill="1" applyBorder="1" applyAlignment="1"/>
    <xf numFmtId="184" fontId="0" fillId="0" borderId="0" xfId="0" applyNumberFormat="1" applyFill="1" applyBorder="1" applyAlignment="1"/>
    <xf numFmtId="3" fontId="15" fillId="0" borderId="0" xfId="0" applyNumberFormat="1" applyFont="1" applyFill="1" applyBorder="1" applyAlignment="1"/>
    <xf numFmtId="0" fontId="50" fillId="0" borderId="0" xfId="0" applyNumberFormat="1" applyFont="1" applyFill="1" applyBorder="1" applyAlignment="1"/>
    <xf numFmtId="0" fontId="1" fillId="0" borderId="0" xfId="0" applyFont="1" applyFill="1" applyBorder="1" applyAlignment="1"/>
    <xf numFmtId="0" fontId="1" fillId="0" borderId="0" xfId="0" applyFont="1" applyFill="1" applyBorder="1" applyAlignment="1">
      <alignment horizontal="right"/>
    </xf>
    <xf numFmtId="0" fontId="0" fillId="0" borderId="0" xfId="0" quotePrefix="1" applyNumberFormat="1" applyFill="1" applyBorder="1" applyAlignment="1" applyProtection="1">
      <alignment horizontal="center"/>
      <protection locked="0"/>
    </xf>
    <xf numFmtId="190" fontId="15" fillId="0" borderId="0" xfId="0" quotePrefix="1" applyNumberFormat="1" applyFont="1" applyFill="1" applyBorder="1" applyAlignment="1">
      <alignment horizontal="center"/>
    </xf>
    <xf numFmtId="0" fontId="66" fillId="0" borderId="33" xfId="0" applyFont="1" applyFill="1" applyBorder="1" applyAlignment="1">
      <alignment horizontal="center" wrapText="1"/>
    </xf>
    <xf numFmtId="0" fontId="66" fillId="0" borderId="7" xfId="0" applyFont="1" applyFill="1" applyBorder="1" applyAlignment="1"/>
    <xf numFmtId="0" fontId="66" fillId="0" borderId="7" xfId="0" applyFont="1" applyFill="1" applyBorder="1" applyAlignment="1">
      <alignment horizontal="center" wrapText="1"/>
    </xf>
    <xf numFmtId="0" fontId="15" fillId="0" borderId="7" xfId="0" applyNumberFormat="1" applyFont="1" applyFill="1" applyBorder="1" applyAlignment="1">
      <alignment horizontal="center" wrapText="1"/>
    </xf>
    <xf numFmtId="0" fontId="66" fillId="0" borderId="34" xfId="0" applyFont="1" applyFill="1" applyBorder="1" applyAlignment="1">
      <alignment horizontal="center" wrapText="1"/>
    </xf>
    <xf numFmtId="0" fontId="66" fillId="0" borderId="3" xfId="0" applyFont="1" applyFill="1" applyBorder="1" applyAlignment="1">
      <alignment horizontal="center" wrapText="1"/>
    </xf>
    <xf numFmtId="3" fontId="15" fillId="0" borderId="3" xfId="0" applyNumberFormat="1" applyFont="1" applyFill="1" applyBorder="1" applyAlignment="1">
      <alignment horizontal="center" wrapText="1"/>
    </xf>
    <xf numFmtId="3" fontId="15" fillId="0" borderId="7" xfId="0" applyNumberFormat="1" applyFont="1" applyFill="1" applyBorder="1" applyAlignment="1">
      <alignment horizontal="center" wrapText="1"/>
    </xf>
    <xf numFmtId="170" fontId="62" fillId="0" borderId="0" xfId="2" applyNumberFormat="1" applyFont="1" applyFill="1" applyBorder="1" applyAlignment="1"/>
    <xf numFmtId="0" fontId="1" fillId="0" borderId="33" xfId="0" applyNumberFormat="1" applyFont="1" applyFill="1" applyBorder="1" applyAlignment="1"/>
    <xf numFmtId="0" fontId="1" fillId="0" borderId="7" xfId="0" applyNumberFormat="1" applyFont="1" applyFill="1" applyBorder="1" applyAlignment="1"/>
    <xf numFmtId="0" fontId="1" fillId="0" borderId="7" xfId="0" quotePrefix="1"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3" xfId="0" quotePrefix="1" applyNumberFormat="1" applyFont="1" applyFill="1" applyBorder="1" applyAlignment="1">
      <alignment horizontal="center"/>
    </xf>
    <xf numFmtId="0" fontId="1" fillId="0" borderId="3"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3" xfId="0" applyNumberFormat="1" applyFont="1" applyFill="1" applyBorder="1" applyAlignment="1">
      <alignment horizontal="center" wrapText="1"/>
    </xf>
    <xf numFmtId="0" fontId="1" fillId="0" borderId="31" xfId="0" applyNumberFormat="1" applyFont="1" applyFill="1" applyBorder="1" applyAlignment="1"/>
    <xf numFmtId="0" fontId="1" fillId="0" borderId="25" xfId="0" applyNumberFormat="1" applyFont="1" applyFill="1" applyBorder="1" applyAlignment="1"/>
    <xf numFmtId="3" fontId="1" fillId="0" borderId="25" xfId="0" applyNumberFormat="1" applyFont="1" applyFill="1" applyBorder="1" applyAlignment="1"/>
    <xf numFmtId="0" fontId="0" fillId="0" borderId="31" xfId="0" applyFill="1" applyBorder="1" applyAlignment="1"/>
    <xf numFmtId="0" fontId="0" fillId="0" borderId="0" xfId="0" applyNumberFormat="1" applyFill="1" applyBorder="1" applyAlignment="1">
      <alignment horizontal="center"/>
    </xf>
    <xf numFmtId="175" fontId="0" fillId="5" borderId="0" xfId="4" applyNumberFormat="1" applyFont="1" applyFill="1" applyBorder="1" applyAlignment="1"/>
    <xf numFmtId="175" fontId="0" fillId="0" borderId="0" xfId="4" applyNumberFormat="1" applyFont="1" applyFill="1" applyBorder="1" applyAlignment="1"/>
    <xf numFmtId="0" fontId="0" fillId="0" borderId="25" xfId="0" applyFill="1" applyBorder="1" applyAlignment="1"/>
    <xf numFmtId="175" fontId="0" fillId="0" borderId="25" xfId="4" applyNumberFormat="1" applyFont="1" applyFill="1" applyBorder="1" applyAlignment="1"/>
    <xf numFmtId="175" fontId="1" fillId="5" borderId="0" xfId="4" applyNumberFormat="1" applyFont="1" applyFill="1" applyBorder="1" applyAlignment="1"/>
    <xf numFmtId="175" fontId="1" fillId="0" borderId="25" xfId="4" applyNumberFormat="1" applyFont="1" applyFill="1" applyBorder="1" applyAlignment="1"/>
    <xf numFmtId="0" fontId="64" fillId="0" borderId="0" xfId="0" applyFont="1" applyFill="1" applyBorder="1" applyAlignment="1"/>
    <xf numFmtId="0" fontId="64" fillId="0" borderId="0" xfId="0" applyNumberFormat="1" applyFont="1" applyFill="1" applyBorder="1" applyAlignment="1">
      <alignment horizontal="center"/>
    </xf>
    <xf numFmtId="0" fontId="64" fillId="0" borderId="25" xfId="0" applyFont="1" applyFill="1" applyBorder="1" applyAlignment="1"/>
    <xf numFmtId="0" fontId="0" fillId="0" borderId="28" xfId="0" applyFill="1" applyBorder="1" applyAlignment="1"/>
    <xf numFmtId="0" fontId="0" fillId="0" borderId="8" xfId="0" applyFill="1" applyBorder="1" applyAlignment="1"/>
    <xf numFmtId="0" fontId="64" fillId="0" borderId="8" xfId="0" applyFont="1" applyFill="1" applyBorder="1" applyAlignment="1"/>
    <xf numFmtId="0" fontId="64" fillId="0" borderId="26" xfId="0" applyFont="1" applyFill="1" applyBorder="1" applyAlignment="1"/>
    <xf numFmtId="184" fontId="1" fillId="0" borderId="0" xfId="0" applyNumberFormat="1" applyFont="1" applyFill="1" applyBorder="1" applyAlignment="1"/>
    <xf numFmtId="0" fontId="4" fillId="0" borderId="0" xfId="0" applyFont="1" applyFill="1" applyBorder="1" applyAlignment="1"/>
    <xf numFmtId="1" fontId="1" fillId="0" borderId="0" xfId="2" applyNumberFormat="1" applyFont="1" applyFill="1" applyBorder="1" applyAlignment="1">
      <alignment horizontal="center"/>
    </xf>
    <xf numFmtId="0" fontId="1" fillId="0" borderId="21" xfId="0" applyFont="1" applyFill="1" applyBorder="1" applyAlignment="1"/>
    <xf numFmtId="0" fontId="62" fillId="0" borderId="0" xfId="0" applyFont="1" applyFill="1" applyBorder="1" applyAlignment="1">
      <alignment horizontal="center" vertical="top"/>
    </xf>
    <xf numFmtId="0" fontId="62" fillId="0" borderId="0" xfId="0" applyFont="1" applyFill="1" applyBorder="1" applyAlignment="1"/>
    <xf numFmtId="0" fontId="62" fillId="0" borderId="0" xfId="0" applyFont="1" applyFill="1" applyBorder="1" applyAlignment="1">
      <alignment horizontal="center"/>
    </xf>
    <xf numFmtId="0" fontId="0" fillId="0" borderId="0" xfId="0" applyFont="1" applyFill="1" applyBorder="1" applyAlignment="1">
      <alignment horizontal="center"/>
    </xf>
    <xf numFmtId="0" fontId="64" fillId="0" borderId="0" xfId="0" applyFont="1" applyFill="1" applyBorder="1" applyAlignment="1">
      <alignment horizontal="center"/>
    </xf>
    <xf numFmtId="49" fontId="22" fillId="0" borderId="0" xfId="0" applyNumberFormat="1" applyFont="1" applyFill="1" applyBorder="1" applyAlignment="1">
      <alignment horizontal="left"/>
    </xf>
    <xf numFmtId="49" fontId="22"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0" fontId="4" fillId="5" borderId="8" xfId="0" quotePrefix="1" applyFont="1" applyFill="1" applyBorder="1" applyAlignment="1">
      <alignment horizontal="center"/>
    </xf>
    <xf numFmtId="49" fontId="4" fillId="0" borderId="8" xfId="0" applyNumberFormat="1" applyFont="1" applyFill="1" applyBorder="1" applyAlignment="1">
      <alignment horizontal="center"/>
    </xf>
    <xf numFmtId="184" fontId="63" fillId="21" borderId="0" xfId="35" applyNumberFormat="1" applyFont="1" applyFill="1" applyAlignment="1">
      <alignment horizontal="center" wrapText="1"/>
    </xf>
    <xf numFmtId="184" fontId="4" fillId="6" borderId="24" xfId="4" applyNumberFormat="1" applyFont="1" applyFill="1" applyBorder="1" applyAlignment="1">
      <alignment horizontal="right" vertical="top"/>
    </xf>
    <xf numFmtId="184" fontId="4" fillId="0" borderId="10" xfId="4" applyNumberFormat="1" applyFont="1" applyBorder="1" applyAlignment="1">
      <alignment horizontal="right" vertical="top"/>
    </xf>
    <xf numFmtId="184" fontId="4" fillId="0" borderId="24" xfId="4" applyNumberFormat="1" applyFont="1" applyBorder="1" applyAlignment="1">
      <alignment horizontal="right" vertical="top"/>
    </xf>
    <xf numFmtId="184" fontId="4" fillId="6" borderId="25" xfId="32" applyNumberFormat="1" applyFont="1" applyFill="1" applyBorder="1" applyAlignment="1">
      <alignment horizontal="right" vertical="top"/>
    </xf>
    <xf numFmtId="184" fontId="4" fillId="0" borderId="0" xfId="32" applyNumberFormat="1" applyFont="1" applyBorder="1" applyAlignment="1">
      <alignment horizontal="right" vertical="top"/>
    </xf>
    <xf numFmtId="184" fontId="4" fillId="0" borderId="25" xfId="32" applyNumberFormat="1" applyFont="1" applyBorder="1" applyAlignment="1">
      <alignment horizontal="right" vertical="top"/>
    </xf>
    <xf numFmtId="184" fontId="4" fillId="6" borderId="3" xfId="32" applyNumberFormat="1" applyFont="1" applyFill="1" applyBorder="1" applyAlignment="1">
      <alignment horizontal="right" vertical="top"/>
    </xf>
    <xf numFmtId="184" fontId="4" fillId="0" borderId="7" xfId="32" applyNumberFormat="1" applyFont="1" applyBorder="1" applyAlignment="1">
      <alignment horizontal="right" vertical="top"/>
    </xf>
    <xf numFmtId="184" fontId="4" fillId="0" borderId="3" xfId="32" applyNumberFormat="1" applyFont="1" applyBorder="1" applyAlignment="1">
      <alignment horizontal="right" vertical="top"/>
    </xf>
    <xf numFmtId="184" fontId="4" fillId="14" borderId="0" xfId="32" applyNumberFormat="1" applyFont="1" applyFill="1" applyBorder="1" applyAlignment="1">
      <alignment horizontal="right" vertical="top"/>
    </xf>
    <xf numFmtId="184" fontId="4" fillId="6" borderId="24" xfId="32" applyNumberFormat="1" applyFont="1" applyFill="1" applyBorder="1" applyAlignment="1">
      <alignment horizontal="right" vertical="top"/>
    </xf>
    <xf numFmtId="184" fontId="4" fillId="0" borderId="10" xfId="32" applyNumberFormat="1" applyFont="1" applyBorder="1" applyAlignment="1">
      <alignment horizontal="right" vertical="top"/>
    </xf>
    <xf numFmtId="184" fontId="4" fillId="0" borderId="30" xfId="32" applyNumberFormat="1" applyFont="1" applyBorder="1" applyAlignment="1">
      <alignment horizontal="right" vertical="top"/>
    </xf>
    <xf numFmtId="184" fontId="4" fillId="0" borderId="8" xfId="32" applyNumberFormat="1" applyFont="1" applyBorder="1" applyAlignment="1">
      <alignment horizontal="right" vertical="top"/>
    </xf>
    <xf numFmtId="184" fontId="4" fillId="0" borderId="32" xfId="32" applyNumberFormat="1" applyFont="1" applyBorder="1" applyAlignment="1">
      <alignment horizontal="right" vertical="top"/>
    </xf>
    <xf numFmtId="0" fontId="64" fillId="0" borderId="0" xfId="0" applyFont="1" applyAlignment="1"/>
    <xf numFmtId="0" fontId="64" fillId="0" borderId="0" xfId="0" applyFont="1" applyAlignment="1">
      <alignment horizontal="center"/>
    </xf>
    <xf numFmtId="0" fontId="0" fillId="0" borderId="0" xfId="0" applyFont="1" applyFill="1" applyBorder="1" applyAlignment="1">
      <alignment horizontal="right"/>
    </xf>
    <xf numFmtId="0" fontId="70" fillId="0" borderId="0" xfId="0" applyFont="1" applyFill="1" applyBorder="1" applyAlignment="1"/>
    <xf numFmtId="3" fontId="1" fillId="5" borderId="0" xfId="0" applyNumberFormat="1" applyFont="1" applyFill="1" applyBorder="1" applyAlignment="1"/>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90" fontId="15" fillId="0" borderId="0" xfId="0" applyNumberFormat="1" applyFont="1" applyFill="1" applyBorder="1" applyAlignment="1">
      <alignment horizontal="center"/>
    </xf>
    <xf numFmtId="0" fontId="1" fillId="0" borderId="31" xfId="0" applyFont="1" applyFill="1" applyBorder="1" applyAlignment="1"/>
    <xf numFmtId="0" fontId="1" fillId="0" borderId="0" xfId="0" applyFont="1" applyAlignment="1"/>
    <xf numFmtId="0" fontId="0" fillId="0" borderId="0" xfId="0" quotePrefix="1" applyFill="1" applyBorder="1" applyAlignment="1"/>
    <xf numFmtId="184" fontId="0" fillId="5" borderId="0" xfId="0" applyNumberFormat="1" applyFill="1" applyBorder="1" applyAlignment="1"/>
    <xf numFmtId="0" fontId="1" fillId="0" borderId="0" xfId="0" applyFont="1" applyFill="1" applyAlignment="1"/>
    <xf numFmtId="0" fontId="71" fillId="0" borderId="0" xfId="0" applyFont="1" applyAlignment="1"/>
    <xf numFmtId="0" fontId="71" fillId="0" borderId="0" xfId="0" applyFont="1" applyFill="1" applyAlignment="1"/>
    <xf numFmtId="18" fontId="18" fillId="0" borderId="3" xfId="0" applyNumberFormat="1" applyFont="1" applyBorder="1" applyAlignment="1">
      <alignment horizontal="left" vertical="top" wrapText="1" indent="4"/>
    </xf>
    <xf numFmtId="0" fontId="22" fillId="0" borderId="10" xfId="0" applyFont="1" applyBorder="1" applyAlignment="1"/>
    <xf numFmtId="0" fontId="39" fillId="0" borderId="30" xfId="0" applyFont="1" applyBorder="1" applyAlignment="1"/>
    <xf numFmtId="0" fontId="39" fillId="0" borderId="32" xfId="0" applyFont="1" applyBorder="1" applyAlignment="1"/>
    <xf numFmtId="0" fontId="22" fillId="0" borderId="8" xfId="0" applyFont="1" applyBorder="1" applyAlignment="1"/>
    <xf numFmtId="0" fontId="22" fillId="0" borderId="35" xfId="0" applyFont="1" applyBorder="1" applyAlignment="1"/>
    <xf numFmtId="0" fontId="22" fillId="0" borderId="31" xfId="0" applyFont="1" applyBorder="1" applyAlignment="1"/>
    <xf numFmtId="0" fontId="22" fillId="0" borderId="32" xfId="0" applyFont="1" applyBorder="1" applyAlignment="1"/>
    <xf numFmtId="6" fontId="22" fillId="5" borderId="31" xfId="4" applyNumberFormat="1" applyFont="1" applyFill="1" applyBorder="1" applyAlignment="1"/>
    <xf numFmtId="3" fontId="41" fillId="0" borderId="0" xfId="0" applyNumberFormat="1" applyFont="1" applyBorder="1" applyAlignment="1"/>
    <xf numFmtId="6" fontId="22" fillId="5" borderId="28" xfId="0" applyNumberFormat="1" applyFont="1" applyFill="1" applyBorder="1" applyAlignment="1"/>
    <xf numFmtId="0" fontId="41" fillId="0" borderId="0" xfId="0" applyFont="1" applyAlignment="1"/>
    <xf numFmtId="6" fontId="22" fillId="0" borderId="31" xfId="0" applyNumberFormat="1" applyFont="1" applyBorder="1" applyAlignment="1"/>
    <xf numFmtId="0" fontId="72" fillId="0" borderId="0" xfId="0" applyFont="1" applyBorder="1">
      <alignment vertical="top"/>
    </xf>
    <xf numFmtId="0" fontId="41" fillId="0" borderId="0" xfId="0" applyFont="1" applyBorder="1">
      <alignment vertical="top"/>
    </xf>
    <xf numFmtId="6" fontId="22" fillId="5" borderId="31" xfId="0" applyNumberFormat="1" applyFont="1" applyFill="1" applyBorder="1" applyAlignment="1"/>
    <xf numFmtId="6" fontId="22" fillId="5" borderId="28" xfId="4" applyNumberFormat="1" applyFont="1" applyFill="1" applyBorder="1" applyAlignment="1"/>
    <xf numFmtId="0" fontId="41" fillId="0" borderId="0" xfId="0" applyFont="1" applyBorder="1" applyAlignment="1">
      <alignment horizontal="left" wrapText="1"/>
    </xf>
    <xf numFmtId="0" fontId="41" fillId="0" borderId="0" xfId="0" applyFont="1" applyBorder="1" applyAlignment="1"/>
    <xf numFmtId="6" fontId="22" fillId="0" borderId="28" xfId="0" applyNumberFormat="1" applyFont="1" applyBorder="1" applyAlignment="1"/>
    <xf numFmtId="0" fontId="41" fillId="0" borderId="8" xfId="0" applyFont="1" applyBorder="1" applyAlignment="1"/>
    <xf numFmtId="3" fontId="22" fillId="0" borderId="8" xfId="0" applyNumberFormat="1" applyFont="1" applyBorder="1" applyAlignment="1"/>
    <xf numFmtId="0" fontId="22" fillId="0" borderId="8" xfId="0" applyNumberFormat="1" applyFont="1" applyBorder="1" applyAlignment="1"/>
    <xf numFmtId="184" fontId="22" fillId="0" borderId="24" xfId="0" applyNumberFormat="1" applyFont="1" applyBorder="1" applyAlignment="1"/>
    <xf numFmtId="189" fontId="22" fillId="0" borderId="24" xfId="23" applyNumberFormat="1" applyFont="1" applyBorder="1" applyAlignment="1"/>
    <xf numFmtId="184" fontId="22" fillId="0" borderId="26" xfId="0" applyNumberFormat="1" applyFont="1" applyBorder="1" applyAlignment="1"/>
    <xf numFmtId="184" fontId="22" fillId="0" borderId="26" xfId="0" applyNumberFormat="1" applyFont="1" applyFill="1" applyBorder="1" applyAlignment="1"/>
    <xf numFmtId="189" fontId="22" fillId="0" borderId="26" xfId="23" applyNumberFormat="1" applyFont="1" applyBorder="1" applyAlignment="1"/>
    <xf numFmtId="184" fontId="44" fillId="0" borderId="3" xfId="0" applyNumberFormat="1" applyFont="1" applyBorder="1" applyAlignment="1"/>
    <xf numFmtId="170" fontId="39" fillId="5" borderId="27" xfId="2" applyNumberFormat="1" applyFont="1" applyFill="1" applyBorder="1" applyAlignment="1"/>
    <xf numFmtId="0" fontId="22" fillId="0" borderId="31" xfId="23" applyNumberFormat="1" applyFont="1" applyBorder="1" applyAlignment="1"/>
    <xf numFmtId="0" fontId="22" fillId="0" borderId="32" xfId="0" applyNumberFormat="1" applyFont="1" applyBorder="1">
      <alignment vertical="top"/>
    </xf>
    <xf numFmtId="189" fontId="22" fillId="0" borderId="31" xfId="23" applyNumberFormat="1" applyFont="1" applyBorder="1" applyAlignment="1"/>
    <xf numFmtId="182" fontId="39" fillId="5" borderId="28" xfId="23" applyNumberFormat="1" applyFont="1" applyFill="1" applyBorder="1" applyAlignment="1"/>
    <xf numFmtId="0" fontId="39" fillId="0" borderId="35" xfId="0" applyNumberFormat="1" applyFont="1" applyBorder="1">
      <alignment vertical="top"/>
    </xf>
    <xf numFmtId="0" fontId="22" fillId="0" borderId="28" xfId="0" applyFont="1" applyBorder="1" applyAlignment="1"/>
    <xf numFmtId="0" fontId="22" fillId="0" borderId="33" xfId="0" applyFont="1" applyBorder="1" applyAlignment="1">
      <alignment horizontal="center"/>
    </xf>
    <xf numFmtId="0" fontId="22" fillId="0" borderId="7" xfId="0" applyFont="1" applyBorder="1" applyAlignment="1">
      <alignment horizontal="center"/>
    </xf>
    <xf numFmtId="0" fontId="22" fillId="0" borderId="34" xfId="0" applyNumberFormat="1" applyFont="1" applyBorder="1" applyAlignment="1">
      <alignment horizontal="center"/>
    </xf>
    <xf numFmtId="184" fontId="22" fillId="0" borderId="0" xfId="0" applyNumberFormat="1" applyFont="1" applyBorder="1" applyAlignment="1"/>
    <xf numFmtId="170" fontId="39" fillId="5" borderId="0" xfId="2" applyNumberFormat="1" applyFont="1" applyFill="1" applyBorder="1" applyAlignment="1"/>
    <xf numFmtId="0" fontId="22" fillId="0" borderId="27" xfId="0" applyFont="1" applyBorder="1" applyAlignment="1"/>
    <xf numFmtId="184" fontId="22" fillId="0" borderId="10" xfId="0" applyNumberFormat="1" applyFont="1" applyBorder="1" applyAlignment="1"/>
    <xf numFmtId="170" fontId="39" fillId="5" borderId="30" xfId="2" applyNumberFormat="1" applyFont="1" applyFill="1" applyBorder="1" applyAlignment="1"/>
    <xf numFmtId="3" fontId="22" fillId="0" borderId="0" xfId="0" applyNumberFormat="1" applyFont="1" applyBorder="1">
      <alignment vertical="top"/>
    </xf>
    <xf numFmtId="3" fontId="22" fillId="0" borderId="32" xfId="0" applyNumberFormat="1" applyFont="1" applyBorder="1">
      <alignment vertical="top"/>
    </xf>
    <xf numFmtId="0" fontId="22" fillId="0" borderId="28" xfId="0" applyFont="1" applyBorder="1" applyAlignment="1">
      <alignment horizontal="right"/>
    </xf>
    <xf numFmtId="184" fontId="22" fillId="0" borderId="8" xfId="0" applyNumberFormat="1" applyFont="1" applyBorder="1" applyAlignment="1"/>
    <xf numFmtId="3" fontId="22" fillId="0" borderId="8" xfId="0" applyNumberFormat="1" applyFont="1" applyBorder="1">
      <alignment vertical="top"/>
    </xf>
    <xf numFmtId="3" fontId="22" fillId="0" borderId="35" xfId="0" applyNumberFormat="1" applyFont="1" applyBorder="1">
      <alignment vertical="top"/>
    </xf>
    <xf numFmtId="0" fontId="25" fillId="0" borderId="0" xfId="0" applyFont="1" applyAlignment="1"/>
    <xf numFmtId="164" fontId="73" fillId="0" borderId="0" xfId="20" applyNumberFormat="1" applyFont="1" applyAlignment="1" applyProtection="1">
      <alignment horizontal="right"/>
    </xf>
    <xf numFmtId="0" fontId="53" fillId="0" borderId="0" xfId="0" applyFont="1" applyAlignment="1">
      <alignment horizontal="center" wrapText="1"/>
    </xf>
    <xf numFmtId="43" fontId="53" fillId="0" borderId="0" xfId="2" applyFont="1" applyAlignment="1">
      <alignment horizontal="center" wrapText="1"/>
    </xf>
    <xf numFmtId="170" fontId="53" fillId="0" borderId="0" xfId="2" applyNumberFormat="1" applyFont="1"/>
    <xf numFmtId="170" fontId="53" fillId="0" borderId="0" xfId="2" applyNumberFormat="1" applyFont="1" applyFill="1"/>
    <xf numFmtId="0" fontId="53" fillId="0" borderId="0" xfId="0" quotePrefix="1" applyFont="1" applyAlignment="1"/>
    <xf numFmtId="170" fontId="53" fillId="0" borderId="7" xfId="2" applyNumberFormat="1" applyFont="1" applyBorder="1"/>
    <xf numFmtId="43" fontId="53" fillId="0" borderId="0" xfId="2" applyFont="1" applyAlignment="1"/>
    <xf numFmtId="175" fontId="1" fillId="0" borderId="0" xfId="0" applyNumberFormat="1" applyFont="1" applyFill="1" applyBorder="1" applyAlignment="1">
      <alignment horizontal="center"/>
    </xf>
    <xf numFmtId="170" fontId="53" fillId="0" borderId="0" xfId="2" applyNumberFormat="1" applyFont="1" applyAlignment="1"/>
    <xf numFmtId="0" fontId="0" fillId="0" borderId="0" xfId="0" applyAlignment="1"/>
    <xf numFmtId="170" fontId="64" fillId="0" borderId="0" xfId="2" applyNumberFormat="1" applyFont="1" applyFill="1" applyBorder="1" applyAlignment="1"/>
    <xf numFmtId="184" fontId="64" fillId="0" borderId="0" xfId="0" applyNumberFormat="1" applyFont="1" applyAlignment="1"/>
    <xf numFmtId="184" fontId="64" fillId="0" borderId="0" xfId="0" applyNumberFormat="1" applyFont="1" applyAlignment="1">
      <alignment horizontal="center"/>
    </xf>
    <xf numFmtId="184" fontId="0" fillId="0" borderId="0" xfId="0" applyNumberFormat="1" applyAlignment="1"/>
    <xf numFmtId="0" fontId="4" fillId="0" borderId="0" xfId="15" applyFont="1" applyFill="1"/>
    <xf numFmtId="0" fontId="0" fillId="0" borderId="0" xfId="0" applyAlignment="1">
      <alignment vertical="top"/>
    </xf>
    <xf numFmtId="0" fontId="1" fillId="0" borderId="0" xfId="0" quotePrefix="1" applyFont="1" applyAlignment="1">
      <alignment vertical="top"/>
    </xf>
    <xf numFmtId="0" fontId="1" fillId="0" borderId="0" xfId="0" applyFont="1" applyAlignment="1">
      <alignment vertical="top" wrapText="1"/>
    </xf>
    <xf numFmtId="0" fontId="0" fillId="0" borderId="0" xfId="0" applyFont="1" applyAlignment="1"/>
    <xf numFmtId="184" fontId="4" fillId="6" borderId="27" xfId="32" applyNumberFormat="1" applyFont="1" applyFill="1" applyBorder="1" applyAlignment="1">
      <alignment horizontal="right" vertical="top"/>
    </xf>
    <xf numFmtId="170" fontId="0" fillId="0" borderId="25" xfId="2" applyNumberFormat="1" applyFont="1" applyFill="1" applyBorder="1" applyAlignment="1"/>
    <xf numFmtId="170" fontId="64" fillId="0" borderId="0" xfId="0" applyNumberFormat="1" applyFont="1" applyFill="1" applyBorder="1" applyAlignment="1"/>
    <xf numFmtId="170" fontId="0" fillId="0" borderId="0" xfId="2" applyNumberFormat="1" applyFont="1" applyFill="1" applyBorder="1" applyAlignment="1"/>
    <xf numFmtId="0" fontId="26" fillId="0" borderId="0" xfId="0" applyNumberFormat="1" applyFont="1" applyAlignment="1" applyProtection="1">
      <alignment horizontal="center"/>
      <protection locked="0"/>
    </xf>
    <xf numFmtId="0" fontId="22" fillId="0" borderId="0" xfId="0" applyFont="1" applyFill="1" applyAlignment="1">
      <alignment horizontal="center"/>
    </xf>
    <xf numFmtId="0" fontId="22" fillId="0" borderId="27" xfId="0" applyNumberFormat="1" applyFont="1" applyBorder="1" applyAlignment="1">
      <alignment horizontal="center"/>
    </xf>
    <xf numFmtId="0" fontId="22" fillId="0" borderId="10" xfId="0" applyNumberFormat="1" applyFont="1" applyBorder="1" applyAlignment="1">
      <alignment horizontal="center"/>
    </xf>
    <xf numFmtId="0" fontId="22" fillId="0" borderId="30" xfId="0" applyNumberFormat="1" applyFont="1" applyBorder="1" applyAlignment="1">
      <alignment horizontal="center"/>
    </xf>
    <xf numFmtId="3" fontId="22" fillId="0" borderId="0" xfId="0" applyNumberFormat="1" applyFont="1" applyFill="1" applyAlignment="1">
      <alignment horizontal="center"/>
    </xf>
    <xf numFmtId="49" fontId="22" fillId="0" borderId="0" xfId="0" applyNumberFormat="1" applyFont="1" applyFill="1" applyAlignment="1">
      <alignment horizontal="center"/>
    </xf>
    <xf numFmtId="0" fontId="38" fillId="0" borderId="0" xfId="0" applyFont="1" applyAlignment="1">
      <alignment horizontal="center"/>
    </xf>
    <xf numFmtId="0" fontId="21" fillId="0" borderId="0" xfId="0" applyFont="1" applyAlignment="1">
      <alignment horizontal="center"/>
    </xf>
    <xf numFmtId="0" fontId="0" fillId="0" borderId="0" xfId="0" applyAlignment="1"/>
    <xf numFmtId="38" fontId="19" fillId="0" borderId="8" xfId="20" applyFont="1" applyFill="1" applyBorder="1" applyAlignment="1">
      <alignment horizontal="center"/>
    </xf>
    <xf numFmtId="0" fontId="19" fillId="0" borderId="8"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62" fillId="0" borderId="0" xfId="0" applyFont="1" applyFill="1" applyBorder="1" applyAlignment="1">
      <alignment horizontal="left" vertical="top" wrapText="1"/>
    </xf>
    <xf numFmtId="0" fontId="62" fillId="0" borderId="0" xfId="0" applyFont="1" applyFill="1" applyBorder="1" applyAlignment="1">
      <alignment horizontal="left" wrapText="1"/>
    </xf>
    <xf numFmtId="0" fontId="62" fillId="0" borderId="0" xfId="0" applyFont="1" applyFill="1" applyBorder="1" applyAlignment="1">
      <alignment horizontal="left"/>
    </xf>
    <xf numFmtId="0" fontId="0" fillId="0" borderId="0" xfId="0" applyFill="1" applyBorder="1" applyAlignment="1">
      <alignment horizontal="left"/>
    </xf>
    <xf numFmtId="0" fontId="38" fillId="0" borderId="0" xfId="0" applyFont="1" applyBorder="1" applyAlignment="1">
      <alignment horizontal="center"/>
    </xf>
  </cellXfs>
  <cellStyles count="36">
    <cellStyle name="Actual Date" xfId="1"/>
    <cellStyle name="Comma" xfId="2" builtinId="3"/>
    <cellStyle name="Comma_Rate Formula Non-Levelized FERC Form 1 Data(2)1 with DBG info" xfId="3"/>
    <cellStyle name="Currency" xfId="4" builtinId="4"/>
    <cellStyle name="Date" xfId="5"/>
    <cellStyle name="Fixed" xfId="6"/>
    <cellStyle name="Grey" xfId="7"/>
    <cellStyle name="HEADER" xfId="8"/>
    <cellStyle name="Heading1" xfId="9"/>
    <cellStyle name="Heading2" xfId="10"/>
    <cellStyle name="HIGHLIGHT" xfId="11"/>
    <cellStyle name="Input [yellow]" xfId="12"/>
    <cellStyle name="no dec" xfId="13"/>
    <cellStyle name="Normal" xfId="0" builtinId="0"/>
    <cellStyle name="Normal - Style1" xfId="14"/>
    <cellStyle name="Normal_0112 No Link Exp" xfId="15"/>
    <cellStyle name="Normal_0212 A Statements" xfId="16"/>
    <cellStyle name="Normal_ATE-4  Attachment  O Populated (3)" xfId="17"/>
    <cellStyle name="Normal_Attachment GG (2)" xfId="35"/>
    <cellStyle name="Normal_Book2" xfId="18"/>
    <cellStyle name="Normal_Book2_12-31-2004 SPS BK Revised Revenue Credit" xfId="19"/>
    <cellStyle name="Normal_Book4_1" xfId="20"/>
    <cellStyle name="Normal_Budgeted A Statements" xfId="21"/>
    <cellStyle name="Normal_Schedule O Info for Mike" xfId="34"/>
    <cellStyle name="Normal_SHEET" xfId="22"/>
    <cellStyle name="Normal_Sheet1" xfId="33"/>
    <cellStyle name="Normal_Sheet3" xfId="32"/>
    <cellStyle name="Percent" xfId="23" builtinId="5"/>
    <cellStyle name="Percent [2]" xfId="24"/>
    <cellStyle name="RangeBelow" xfId="25"/>
    <cellStyle name="SubRoutine" xfId="26"/>
    <cellStyle name="þ(Î'_x000c_ïþ÷_x000c_âþÖ_x0006__x0002_Þ”_x0013__x0007__x0001__x0001_" xfId="27"/>
    <cellStyle name="Total" xfId="28" builtinId="25" customBuiltin="1"/>
    <cellStyle name="Unprot" xfId="29"/>
    <cellStyle name="Unprot$" xfId="30"/>
    <cellStyle name="Unprotect" xfId="31"/>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8BFFFF"/>
      <color rgb="FFFFFF99"/>
      <color rgb="FF66FFCC"/>
      <color rgb="FF66FF99"/>
      <color rgb="FF7DFF7D"/>
      <color rgb="FF00B0F0"/>
      <color rgb="FFFFFF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bcs01\Local%20Settings\Temporary%20Internet%20Files\OLK1632\FINANC\AFUDC\AFUDC%202002\AFUDC2002%20Forecast%20All%20Cos%20Act.%20thru%20M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abSelected="1" workbookViewId="0"/>
  </sheetViews>
  <sheetFormatPr defaultRowHeight="15"/>
  <cols>
    <col min="4" max="4" width="60.77734375" customWidth="1"/>
  </cols>
  <sheetData>
    <row r="1" spans="1:5">
      <c r="A1" s="859" t="s">
        <v>1167</v>
      </c>
      <c r="B1" s="859" t="s">
        <v>1168</v>
      </c>
      <c r="C1" s="859"/>
      <c r="D1" s="859" t="s">
        <v>1169</v>
      </c>
      <c r="E1" s="859"/>
    </row>
    <row r="2" spans="1:5">
      <c r="A2" s="859"/>
      <c r="B2" s="859"/>
      <c r="C2" s="859"/>
      <c r="D2" s="859"/>
      <c r="E2" s="859"/>
    </row>
    <row r="3" spans="1:5" ht="50.25" customHeight="1">
      <c r="A3" s="866" t="s">
        <v>1174</v>
      </c>
      <c r="B3" s="865" t="s">
        <v>1170</v>
      </c>
      <c r="C3" s="859"/>
      <c r="D3" s="867" t="s">
        <v>1175</v>
      </c>
      <c r="E3" s="859"/>
    </row>
    <row r="4" spans="1:5" ht="105">
      <c r="A4" s="859"/>
      <c r="B4" s="859"/>
      <c r="C4" s="859"/>
      <c r="D4" s="867" t="s">
        <v>1176</v>
      </c>
      <c r="E4" s="859"/>
    </row>
    <row r="5" spans="1:5" ht="66" customHeight="1">
      <c r="A5" s="859"/>
      <c r="B5" s="859"/>
      <c r="C5" s="859"/>
      <c r="D5" s="867" t="s">
        <v>1194</v>
      </c>
      <c r="E5" s="859"/>
    </row>
    <row r="6" spans="1:5" ht="20.25" customHeight="1">
      <c r="A6" s="859"/>
      <c r="B6" s="859"/>
      <c r="C6" s="859"/>
      <c r="D6" s="859" t="s">
        <v>1171</v>
      </c>
      <c r="E6" s="859"/>
    </row>
    <row r="7" spans="1:5">
      <c r="A7" s="859"/>
      <c r="B7" s="859"/>
      <c r="C7" s="859"/>
      <c r="D7" s="792" t="s">
        <v>1177</v>
      </c>
      <c r="E7" s="859"/>
    </row>
    <row r="8" spans="1:5">
      <c r="A8" s="859"/>
      <c r="B8" s="859"/>
      <c r="C8" s="859"/>
      <c r="D8" s="859" t="s">
        <v>1172</v>
      </c>
      <c r="E8" s="859"/>
    </row>
    <row r="9" spans="1:5">
      <c r="A9" s="859"/>
      <c r="B9" s="859"/>
      <c r="C9" s="859"/>
      <c r="D9" s="792" t="s">
        <v>1178</v>
      </c>
      <c r="E9" s="859"/>
    </row>
    <row r="10" spans="1:5" s="859" customFormat="1">
      <c r="D10" s="792" t="s">
        <v>1189</v>
      </c>
    </row>
    <row r="11" spans="1:5">
      <c r="D11" s="792" t="s">
        <v>1179</v>
      </c>
    </row>
    <row r="12" spans="1:5" s="859" customFormat="1">
      <c r="D12" s="792" t="s">
        <v>1180</v>
      </c>
    </row>
    <row r="13" spans="1:5">
      <c r="D13" s="792" t="s">
        <v>1181</v>
      </c>
    </row>
    <row r="14" spans="1:5">
      <c r="A14" s="859"/>
      <c r="B14" s="859"/>
      <c r="C14" s="859"/>
      <c r="D14" s="859" t="s">
        <v>1173</v>
      </c>
      <c r="E14" s="859"/>
    </row>
    <row r="15" spans="1:5">
      <c r="D15" s="868" t="s">
        <v>1182</v>
      </c>
    </row>
    <row r="16" spans="1:5">
      <c r="D16" s="868" t="s">
        <v>1183</v>
      </c>
    </row>
    <row r="17" spans="4:4">
      <c r="D17" s="868" t="s">
        <v>1184</v>
      </c>
    </row>
    <row r="18" spans="4:4">
      <c r="D18" s="867" t="s">
        <v>1185</v>
      </c>
    </row>
    <row r="19" spans="4:4">
      <c r="D19" s="868" t="s">
        <v>1186</v>
      </c>
    </row>
    <row r="20" spans="4:4">
      <c r="D20" s="868" t="s">
        <v>1187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M97"/>
  <sheetViews>
    <sheetView showGridLines="0" topLeftCell="A46" zoomScaleNormal="75" workbookViewId="0">
      <selection activeCell="M44" sqref="M44"/>
    </sheetView>
  </sheetViews>
  <sheetFormatPr defaultColWidth="14.44140625" defaultRowHeight="12.75"/>
  <cols>
    <col min="1" max="1" width="4.77734375" style="74" customWidth="1"/>
    <col min="2" max="2" width="2.77734375" style="4" customWidth="1"/>
    <col min="3" max="3" width="31.6640625" style="4" customWidth="1"/>
    <col min="4" max="4" width="0.88671875" style="4" customWidth="1"/>
    <col min="5" max="5" width="14.33203125" style="4" customWidth="1"/>
    <col min="6" max="6" width="0.88671875" style="4" customWidth="1"/>
    <col min="7" max="7" width="10.5546875" style="4" customWidth="1"/>
    <col min="8" max="8" width="0.88671875" style="4" customWidth="1"/>
    <col min="9" max="9" width="14.44140625" style="4" customWidth="1"/>
    <col min="10" max="10" width="0.6640625" style="4" customWidth="1"/>
    <col min="11" max="11" width="33.44140625" style="4" customWidth="1"/>
    <col min="12" max="12" width="0.77734375" style="4" customWidth="1"/>
    <col min="13" max="13" width="14.44140625" style="4"/>
    <col min="14" max="14" width="0.77734375" style="4" customWidth="1"/>
    <col min="15" max="15" width="14.44140625" style="4"/>
    <col min="16" max="16" width="1" style="4" customWidth="1"/>
    <col min="17" max="16384" width="14.44140625" style="4"/>
  </cols>
  <sheetData>
    <row r="1" spans="1:13">
      <c r="A1" s="71" t="s">
        <v>27</v>
      </c>
      <c r="B1" s="72"/>
      <c r="C1" s="72"/>
      <c r="D1" s="72"/>
      <c r="E1" s="72"/>
      <c r="F1" s="72"/>
      <c r="G1" s="72"/>
      <c r="H1" s="72"/>
      <c r="K1" s="482" t="s">
        <v>789</v>
      </c>
    </row>
    <row r="2" spans="1:13">
      <c r="A2" s="71" t="s">
        <v>188</v>
      </c>
      <c r="B2" s="72"/>
      <c r="C2" s="72"/>
      <c r="D2" s="72"/>
      <c r="E2" s="72"/>
      <c r="F2" s="72"/>
      <c r="G2" s="72"/>
      <c r="H2" s="72"/>
      <c r="M2" s="73"/>
    </row>
    <row r="3" spans="1:13">
      <c r="A3" s="483" t="s">
        <v>790</v>
      </c>
      <c r="B3" s="72"/>
      <c r="C3" s="72"/>
      <c r="D3" s="72"/>
      <c r="E3" s="72"/>
      <c r="F3" s="72"/>
      <c r="G3" s="72"/>
      <c r="H3" s="72"/>
    </row>
    <row r="4" spans="1:13">
      <c r="A4" s="503" t="s">
        <v>269</v>
      </c>
      <c r="C4" s="116"/>
    </row>
    <row r="5" spans="1:13">
      <c r="A5" s="74" t="s">
        <v>165</v>
      </c>
      <c r="B5" s="75"/>
    </row>
    <row r="6" spans="1:13">
      <c r="A6" s="79" t="s">
        <v>141</v>
      </c>
      <c r="B6" s="75"/>
    </row>
    <row r="7" spans="1:13">
      <c r="A7" s="177">
        <v>1</v>
      </c>
      <c r="B7" s="178" t="s">
        <v>190</v>
      </c>
      <c r="C7" s="82"/>
    </row>
    <row r="8" spans="1:13">
      <c r="A8" s="177">
        <f t="shared" ref="A8:A40" si="0">+A7+1</f>
        <v>2</v>
      </c>
      <c r="B8" s="26" t="s">
        <v>191</v>
      </c>
    </row>
    <row r="9" spans="1:13">
      <c r="A9" s="177">
        <f t="shared" si="0"/>
        <v>3</v>
      </c>
      <c r="B9" s="26" t="s">
        <v>228</v>
      </c>
    </row>
    <row r="10" spans="1:13">
      <c r="A10" s="177">
        <f t="shared" si="0"/>
        <v>4</v>
      </c>
      <c r="B10" s="26" t="s">
        <v>192</v>
      </c>
    </row>
    <row r="11" spans="1:13">
      <c r="A11" s="177">
        <f t="shared" si="0"/>
        <v>5</v>
      </c>
      <c r="B11" s="26" t="s">
        <v>193</v>
      </c>
    </row>
    <row r="12" spans="1:13">
      <c r="A12" s="177">
        <f t="shared" si="0"/>
        <v>6</v>
      </c>
      <c r="B12" s="179"/>
      <c r="C12" s="26"/>
    </row>
    <row r="13" spans="1:13">
      <c r="A13" s="177"/>
      <c r="B13" s="179"/>
      <c r="C13" s="26"/>
      <c r="E13" s="76"/>
    </row>
    <row r="14" spans="1:13">
      <c r="A14" s="177"/>
      <c r="B14" s="179"/>
      <c r="C14" s="26"/>
      <c r="E14" s="166"/>
      <c r="G14" s="166" t="s">
        <v>189</v>
      </c>
    </row>
    <row r="15" spans="1:13">
      <c r="A15" s="177">
        <f>+A12+1</f>
        <v>7</v>
      </c>
      <c r="B15" s="75"/>
      <c r="C15" s="4" t="s">
        <v>194</v>
      </c>
      <c r="D15" s="180"/>
      <c r="E15" s="181"/>
      <c r="F15" s="180"/>
      <c r="G15" s="181" t="s">
        <v>229</v>
      </c>
    </row>
    <row r="16" spans="1:13">
      <c r="A16" s="177">
        <f t="shared" si="0"/>
        <v>8</v>
      </c>
      <c r="B16" s="75"/>
      <c r="C16" s="4" t="s">
        <v>195</v>
      </c>
      <c r="D16" s="180"/>
      <c r="E16" s="182"/>
      <c r="F16" s="180"/>
      <c r="G16" s="180" t="s">
        <v>326</v>
      </c>
    </row>
    <row r="17" spans="1:10">
      <c r="A17" s="177">
        <f t="shared" si="0"/>
        <v>9</v>
      </c>
    </row>
    <row r="18" spans="1:10">
      <c r="A18" s="177">
        <f t="shared" si="0"/>
        <v>10</v>
      </c>
      <c r="B18" s="7"/>
      <c r="C18" s="7"/>
      <c r="D18" s="26"/>
      <c r="F18" s="76"/>
      <c r="H18" s="76"/>
    </row>
    <row r="19" spans="1:10">
      <c r="A19" s="177">
        <f t="shared" si="0"/>
        <v>11</v>
      </c>
      <c r="D19" s="26"/>
      <c r="E19" s="883" t="s">
        <v>196</v>
      </c>
      <c r="F19" s="883"/>
      <c r="G19" s="883"/>
      <c r="H19" s="883"/>
      <c r="I19" s="883"/>
      <c r="J19" s="210"/>
    </row>
    <row r="20" spans="1:10">
      <c r="A20" s="177">
        <f t="shared" si="0"/>
        <v>12</v>
      </c>
      <c r="D20" s="26"/>
      <c r="E20" s="76"/>
      <c r="I20" s="77" t="s">
        <v>148</v>
      </c>
    </row>
    <row r="21" spans="1:10">
      <c r="A21" s="177">
        <f t="shared" si="0"/>
        <v>13</v>
      </c>
      <c r="D21" s="26"/>
      <c r="E21" s="76" t="s">
        <v>189</v>
      </c>
      <c r="I21" s="167" t="s">
        <v>197</v>
      </c>
    </row>
    <row r="22" spans="1:10">
      <c r="A22" s="177">
        <f t="shared" si="0"/>
        <v>14</v>
      </c>
      <c r="B22" s="81" t="s">
        <v>28</v>
      </c>
      <c r="C22" s="82"/>
      <c r="D22" s="26"/>
      <c r="E22" s="35"/>
      <c r="I22" s="35"/>
    </row>
    <row r="23" spans="1:10">
      <c r="A23" s="177">
        <f t="shared" si="0"/>
        <v>15</v>
      </c>
      <c r="C23" s="484" t="s">
        <v>327</v>
      </c>
      <c r="D23" s="26"/>
      <c r="E23" s="25">
        <f t="shared" ref="E23:E35" si="1">+E45+E67</f>
        <v>499744127.82000005</v>
      </c>
      <c r="F23" s="25">
        <f t="shared" ref="F23:F35" si="2">+F45+F67</f>
        <v>0</v>
      </c>
      <c r="H23" s="25"/>
      <c r="I23" s="25">
        <f t="shared" ref="I23:I35" si="3">SUM(E23:H23)</f>
        <v>499744127.82000005</v>
      </c>
    </row>
    <row r="24" spans="1:10">
      <c r="A24" s="177">
        <f t="shared" si="0"/>
        <v>16</v>
      </c>
      <c r="C24" s="484" t="s">
        <v>791</v>
      </c>
      <c r="D24" s="26"/>
      <c r="E24" s="38">
        <f t="shared" si="1"/>
        <v>529287440.95000005</v>
      </c>
      <c r="F24" s="38">
        <f t="shared" si="2"/>
        <v>0</v>
      </c>
      <c r="H24" s="26"/>
      <c r="I24" s="18">
        <f t="shared" si="3"/>
        <v>529287440.95000005</v>
      </c>
    </row>
    <row r="25" spans="1:10">
      <c r="A25" s="177">
        <f t="shared" si="0"/>
        <v>17</v>
      </c>
      <c r="C25" s="84" t="s">
        <v>271</v>
      </c>
      <c r="D25" s="26"/>
      <c r="E25" s="38">
        <f t="shared" si="1"/>
        <v>557056298.91000009</v>
      </c>
      <c r="F25" s="38">
        <f t="shared" si="2"/>
        <v>0</v>
      </c>
      <c r="H25" s="26"/>
      <c r="I25" s="18">
        <f t="shared" si="3"/>
        <v>557056298.91000009</v>
      </c>
    </row>
    <row r="26" spans="1:10">
      <c r="A26" s="177">
        <f t="shared" si="0"/>
        <v>18</v>
      </c>
      <c r="C26" s="84" t="s">
        <v>272</v>
      </c>
      <c r="D26" s="26"/>
      <c r="E26" s="38">
        <f t="shared" si="1"/>
        <v>558590578.5</v>
      </c>
      <c r="F26" s="38">
        <f t="shared" si="2"/>
        <v>0</v>
      </c>
      <c r="H26" s="26"/>
      <c r="I26" s="18">
        <f t="shared" si="3"/>
        <v>558590578.5</v>
      </c>
    </row>
    <row r="27" spans="1:10">
      <c r="A27" s="177">
        <f t="shared" si="0"/>
        <v>19</v>
      </c>
      <c r="C27" s="84" t="s">
        <v>168</v>
      </c>
      <c r="D27" s="26"/>
      <c r="E27" s="38">
        <f t="shared" si="1"/>
        <v>299156501.54000014</v>
      </c>
      <c r="F27" s="38">
        <f t="shared" si="2"/>
        <v>0</v>
      </c>
      <c r="H27" s="26"/>
      <c r="I27" s="18">
        <f t="shared" si="3"/>
        <v>299156501.54000014</v>
      </c>
    </row>
    <row r="28" spans="1:10">
      <c r="A28" s="177">
        <f t="shared" si="0"/>
        <v>20</v>
      </c>
      <c r="C28" s="84" t="s">
        <v>273</v>
      </c>
      <c r="D28" s="26"/>
      <c r="E28" s="38">
        <f t="shared" si="1"/>
        <v>290633297.87000012</v>
      </c>
      <c r="F28" s="38">
        <f t="shared" si="2"/>
        <v>0</v>
      </c>
      <c r="H28" s="26"/>
      <c r="I28" s="18">
        <f t="shared" si="3"/>
        <v>290633297.87000012</v>
      </c>
    </row>
    <row r="29" spans="1:10">
      <c r="A29" s="177">
        <f t="shared" si="0"/>
        <v>21</v>
      </c>
      <c r="C29" s="84" t="s">
        <v>274</v>
      </c>
      <c r="D29" s="26"/>
      <c r="E29" s="38">
        <f t="shared" si="1"/>
        <v>296618850.95000011</v>
      </c>
      <c r="F29" s="38">
        <f t="shared" si="2"/>
        <v>0</v>
      </c>
      <c r="H29" s="26"/>
      <c r="I29" s="18">
        <f t="shared" si="3"/>
        <v>296618850.95000011</v>
      </c>
    </row>
    <row r="30" spans="1:10">
      <c r="A30" s="177">
        <f t="shared" si="0"/>
        <v>22</v>
      </c>
      <c r="C30" s="84" t="s">
        <v>170</v>
      </c>
      <c r="D30" s="26"/>
      <c r="E30" s="38">
        <f t="shared" si="1"/>
        <v>309025016.67000014</v>
      </c>
      <c r="F30" s="38">
        <f t="shared" si="2"/>
        <v>0</v>
      </c>
      <c r="H30" s="26"/>
      <c r="I30" s="18">
        <f t="shared" si="3"/>
        <v>309025016.67000014</v>
      </c>
    </row>
    <row r="31" spans="1:10">
      <c r="A31" s="177">
        <f t="shared" si="0"/>
        <v>23</v>
      </c>
      <c r="C31" s="84" t="s">
        <v>275</v>
      </c>
      <c r="D31" s="26"/>
      <c r="E31" s="38">
        <f t="shared" si="1"/>
        <v>328207584.08000016</v>
      </c>
      <c r="F31" s="38">
        <f t="shared" si="2"/>
        <v>0</v>
      </c>
      <c r="H31" s="26"/>
      <c r="I31" s="18">
        <f t="shared" si="3"/>
        <v>328207584.08000016</v>
      </c>
    </row>
    <row r="32" spans="1:10">
      <c r="A32" s="177">
        <f t="shared" si="0"/>
        <v>24</v>
      </c>
      <c r="C32" s="84" t="s">
        <v>276</v>
      </c>
      <c r="D32" s="26"/>
      <c r="E32" s="38">
        <f t="shared" si="1"/>
        <v>351941960.55000013</v>
      </c>
      <c r="F32" s="38">
        <f t="shared" si="2"/>
        <v>0</v>
      </c>
      <c r="H32" s="26"/>
      <c r="I32" s="18">
        <f t="shared" si="3"/>
        <v>351941960.55000013</v>
      </c>
    </row>
    <row r="33" spans="1:10">
      <c r="A33" s="177">
        <f t="shared" si="0"/>
        <v>25</v>
      </c>
      <c r="C33" s="84" t="s">
        <v>277</v>
      </c>
      <c r="D33" s="26"/>
      <c r="E33" s="38">
        <f t="shared" si="1"/>
        <v>367299383.82000005</v>
      </c>
      <c r="F33" s="38">
        <f t="shared" si="2"/>
        <v>0</v>
      </c>
      <c r="H33" s="26"/>
      <c r="I33" s="18">
        <f t="shared" si="3"/>
        <v>367299383.82000005</v>
      </c>
    </row>
    <row r="34" spans="1:10" ht="13.5" customHeight="1">
      <c r="A34" s="177">
        <f t="shared" si="0"/>
        <v>26</v>
      </c>
      <c r="C34" s="84" t="s">
        <v>278</v>
      </c>
      <c r="D34" s="26"/>
      <c r="E34" s="38">
        <f t="shared" si="1"/>
        <v>367765908.34000009</v>
      </c>
      <c r="F34" s="38">
        <f t="shared" si="2"/>
        <v>0</v>
      </c>
      <c r="H34" s="26"/>
      <c r="I34" s="18">
        <f t="shared" si="3"/>
        <v>367765908.34000009</v>
      </c>
    </row>
    <row r="35" spans="1:10">
      <c r="A35" s="177">
        <f t="shared" si="0"/>
        <v>27</v>
      </c>
      <c r="C35" s="484" t="s">
        <v>792</v>
      </c>
      <c r="D35" s="26"/>
      <c r="E35" s="38">
        <f t="shared" si="1"/>
        <v>355338283.00000012</v>
      </c>
      <c r="F35" s="38">
        <f t="shared" si="2"/>
        <v>0</v>
      </c>
      <c r="H35" s="26"/>
      <c r="I35" s="18">
        <f t="shared" si="3"/>
        <v>355338283.00000012</v>
      </c>
    </row>
    <row r="36" spans="1:10">
      <c r="A36" s="177">
        <f t="shared" si="0"/>
        <v>28</v>
      </c>
      <c r="C36" s="84"/>
      <c r="D36" s="26"/>
      <c r="E36" s="34"/>
      <c r="F36" s="18"/>
      <c r="H36" s="18"/>
      <c r="I36" s="34"/>
    </row>
    <row r="37" spans="1:10" ht="13.5" thickBot="1">
      <c r="A37" s="177">
        <f t="shared" si="0"/>
        <v>29</v>
      </c>
      <c r="C37" s="176" t="s">
        <v>147</v>
      </c>
      <c r="D37" s="26"/>
      <c r="E37" s="36">
        <f>SUM(E23:E35)/13</f>
        <v>393128094.84615391</v>
      </c>
      <c r="F37" s="171"/>
      <c r="H37" s="25"/>
      <c r="I37" s="36">
        <f>SUM(I23:I35)/13</f>
        <v>393128094.84615391</v>
      </c>
    </row>
    <row r="38" spans="1:10" ht="13.5" thickTop="1">
      <c r="A38" s="177">
        <f t="shared" si="0"/>
        <v>30</v>
      </c>
      <c r="D38" s="26"/>
      <c r="E38" s="76"/>
    </row>
    <row r="39" spans="1:10">
      <c r="A39" s="177">
        <f t="shared" si="0"/>
        <v>31</v>
      </c>
      <c r="D39" s="26"/>
    </row>
    <row r="40" spans="1:10">
      <c r="A40" s="177">
        <f t="shared" si="0"/>
        <v>32</v>
      </c>
      <c r="D40" s="26"/>
    </row>
    <row r="41" spans="1:10">
      <c r="A41" s="177">
        <f t="shared" ref="A41:A72" si="4">+A40+1</f>
        <v>33</v>
      </c>
      <c r="D41" s="26"/>
      <c r="E41" s="883" t="s">
        <v>196</v>
      </c>
      <c r="F41" s="883"/>
      <c r="G41" s="883"/>
      <c r="H41" s="883"/>
      <c r="I41" s="883"/>
      <c r="J41" s="210"/>
    </row>
    <row r="42" spans="1:10">
      <c r="A42" s="177">
        <f t="shared" si="4"/>
        <v>34</v>
      </c>
      <c r="D42" s="26"/>
      <c r="E42" s="76"/>
      <c r="I42" s="77" t="s">
        <v>148</v>
      </c>
    </row>
    <row r="43" spans="1:10">
      <c r="A43" s="177">
        <f t="shared" si="4"/>
        <v>35</v>
      </c>
      <c r="C43" s="7"/>
      <c r="D43" s="26"/>
      <c r="E43" s="166" t="s">
        <v>189</v>
      </c>
      <c r="I43" s="167" t="s">
        <v>197</v>
      </c>
    </row>
    <row r="44" spans="1:10">
      <c r="A44" s="177">
        <f t="shared" si="4"/>
        <v>36</v>
      </c>
      <c r="B44" s="81" t="s">
        <v>30</v>
      </c>
      <c r="C44" s="82"/>
      <c r="D44" s="26"/>
    </row>
    <row r="45" spans="1:10">
      <c r="A45" s="177">
        <f t="shared" si="4"/>
        <v>37</v>
      </c>
      <c r="C45" s="484" t="s">
        <v>327</v>
      </c>
      <c r="D45" s="26"/>
      <c r="E45" s="38">
        <v>470886475.81000006</v>
      </c>
      <c r="F45" s="38"/>
      <c r="H45" s="18"/>
      <c r="I45" s="25">
        <f t="shared" ref="I45:I57" si="5">SUM(E45:H45)</f>
        <v>470886475.81000006</v>
      </c>
    </row>
    <row r="46" spans="1:10">
      <c r="A46" s="177">
        <f t="shared" si="4"/>
        <v>38</v>
      </c>
      <c r="C46" s="484" t="s">
        <v>791</v>
      </c>
      <c r="D46" s="26"/>
      <c r="E46" s="38">
        <v>499633574.70000005</v>
      </c>
      <c r="F46" s="38"/>
      <c r="H46" s="18"/>
      <c r="I46" s="18">
        <f t="shared" si="5"/>
        <v>499633574.70000005</v>
      </c>
    </row>
    <row r="47" spans="1:10">
      <c r="A47" s="177">
        <f t="shared" si="4"/>
        <v>39</v>
      </c>
      <c r="C47" s="84" t="s">
        <v>271</v>
      </c>
      <c r="D47" s="26"/>
      <c r="E47" s="38">
        <v>526194331.49000007</v>
      </c>
      <c r="F47" s="38"/>
      <c r="H47" s="18"/>
      <c r="I47" s="18">
        <f t="shared" si="5"/>
        <v>526194331.49000007</v>
      </c>
    </row>
    <row r="48" spans="1:10">
      <c r="A48" s="177">
        <f t="shared" si="4"/>
        <v>40</v>
      </c>
      <c r="C48" s="84" t="s">
        <v>272</v>
      </c>
      <c r="D48" s="26"/>
      <c r="E48" s="38">
        <v>522762717.57000005</v>
      </c>
      <c r="F48" s="38"/>
      <c r="H48" s="18"/>
      <c r="I48" s="18">
        <f t="shared" si="5"/>
        <v>522762717.57000005</v>
      </c>
    </row>
    <row r="49" spans="1:10">
      <c r="A49" s="177">
        <f t="shared" si="4"/>
        <v>41</v>
      </c>
      <c r="C49" s="84" t="s">
        <v>168</v>
      </c>
      <c r="D49" s="26"/>
      <c r="E49" s="38">
        <v>262222195.63000011</v>
      </c>
      <c r="F49" s="38"/>
      <c r="H49" s="18"/>
      <c r="I49" s="18">
        <f t="shared" si="5"/>
        <v>262222195.63000011</v>
      </c>
    </row>
    <row r="50" spans="1:10">
      <c r="A50" s="177">
        <f t="shared" si="4"/>
        <v>42</v>
      </c>
      <c r="C50" s="84" t="s">
        <v>273</v>
      </c>
      <c r="D50" s="26"/>
      <c r="E50" s="38">
        <v>250357202.63000011</v>
      </c>
      <c r="F50" s="38"/>
      <c r="H50" s="18"/>
      <c r="I50" s="18">
        <f t="shared" si="5"/>
        <v>250357202.63000011</v>
      </c>
    </row>
    <row r="51" spans="1:10">
      <c r="A51" s="177">
        <f t="shared" si="4"/>
        <v>43</v>
      </c>
      <c r="C51" s="84" t="s">
        <v>274</v>
      </c>
      <c r="D51" s="26"/>
      <c r="E51" s="38">
        <v>250056621.66000012</v>
      </c>
      <c r="F51" s="38"/>
      <c r="H51" s="18"/>
      <c r="I51" s="18">
        <f t="shared" si="5"/>
        <v>250056621.66000012</v>
      </c>
    </row>
    <row r="52" spans="1:10">
      <c r="A52" s="177">
        <f t="shared" si="4"/>
        <v>44</v>
      </c>
      <c r="C52" s="84" t="s">
        <v>170</v>
      </c>
      <c r="D52" s="26"/>
      <c r="E52" s="38">
        <v>253507681.73000014</v>
      </c>
      <c r="F52" s="38"/>
      <c r="H52" s="18"/>
      <c r="I52" s="18">
        <f t="shared" si="5"/>
        <v>253507681.73000014</v>
      </c>
    </row>
    <row r="53" spans="1:10">
      <c r="A53" s="177">
        <f t="shared" si="4"/>
        <v>45</v>
      </c>
      <c r="C53" s="84" t="s">
        <v>275</v>
      </c>
      <c r="D53" s="26"/>
      <c r="E53" s="38">
        <v>262953332.97000015</v>
      </c>
      <c r="F53" s="38"/>
      <c r="H53" s="18"/>
      <c r="I53" s="18">
        <f t="shared" si="5"/>
        <v>262953332.97000015</v>
      </c>
    </row>
    <row r="54" spans="1:10">
      <c r="A54" s="177">
        <f t="shared" si="4"/>
        <v>46</v>
      </c>
      <c r="C54" s="84" t="s">
        <v>276</v>
      </c>
      <c r="D54" s="26"/>
      <c r="E54" s="38">
        <v>277437276.78000015</v>
      </c>
      <c r="F54" s="38"/>
      <c r="H54" s="18"/>
      <c r="I54" s="18">
        <f t="shared" si="5"/>
        <v>277437276.78000015</v>
      </c>
    </row>
    <row r="55" spans="1:10">
      <c r="A55" s="177">
        <f t="shared" si="4"/>
        <v>47</v>
      </c>
      <c r="C55" s="84" t="s">
        <v>277</v>
      </c>
      <c r="D55" s="26"/>
      <c r="E55" s="38">
        <v>283140314.16000009</v>
      </c>
      <c r="F55" s="38"/>
      <c r="H55" s="18"/>
      <c r="I55" s="18">
        <f t="shared" si="5"/>
        <v>283140314.16000009</v>
      </c>
    </row>
    <row r="56" spans="1:10">
      <c r="A56" s="177">
        <f t="shared" si="4"/>
        <v>48</v>
      </c>
      <c r="C56" s="84" t="s">
        <v>278</v>
      </c>
      <c r="D56" s="26"/>
      <c r="E56" s="38">
        <v>275429448.95000011</v>
      </c>
      <c r="F56" s="38"/>
      <c r="H56" s="18"/>
      <c r="I56" s="18">
        <f t="shared" si="5"/>
        <v>275429448.95000011</v>
      </c>
    </row>
    <row r="57" spans="1:10">
      <c r="A57" s="177">
        <f t="shared" si="4"/>
        <v>49</v>
      </c>
      <c r="C57" s="484" t="s">
        <v>792</v>
      </c>
      <c r="D57" s="26"/>
      <c r="E57" s="38">
        <v>253364359.87000012</v>
      </c>
      <c r="F57" s="38"/>
      <c r="H57" s="18"/>
      <c r="I57" s="18">
        <f t="shared" si="5"/>
        <v>253364359.87000012</v>
      </c>
    </row>
    <row r="58" spans="1:10">
      <c r="A58" s="177">
        <f t="shared" si="4"/>
        <v>50</v>
      </c>
      <c r="C58" s="84"/>
      <c r="D58" s="26"/>
      <c r="E58" s="34"/>
      <c r="F58" s="18"/>
      <c r="H58" s="18"/>
      <c r="I58" s="34"/>
    </row>
    <row r="59" spans="1:10" ht="13.5" thickBot="1">
      <c r="A59" s="177">
        <f t="shared" si="4"/>
        <v>51</v>
      </c>
      <c r="C59" s="176" t="s">
        <v>147</v>
      </c>
      <c r="D59" s="26"/>
      <c r="E59" s="36">
        <f>SUM(E45:E57)/13</f>
        <v>337534271.84230781</v>
      </c>
      <c r="F59" s="171"/>
      <c r="H59" s="25"/>
      <c r="I59" s="36">
        <f>SUM(I45:I57)/13</f>
        <v>337534271.84230781</v>
      </c>
    </row>
    <row r="60" spans="1:10" ht="13.5" thickTop="1">
      <c r="A60" s="177">
        <f t="shared" si="4"/>
        <v>52</v>
      </c>
      <c r="C60" s="7"/>
      <c r="D60" s="26"/>
      <c r="E60" s="76"/>
    </row>
    <row r="61" spans="1:10">
      <c r="A61" s="177">
        <f t="shared" si="4"/>
        <v>53</v>
      </c>
      <c r="C61" s="7"/>
      <c r="D61" s="26"/>
    </row>
    <row r="62" spans="1:10">
      <c r="A62" s="177">
        <f t="shared" si="4"/>
        <v>54</v>
      </c>
      <c r="C62" s="7"/>
      <c r="D62" s="26"/>
    </row>
    <row r="63" spans="1:10">
      <c r="A63" s="177">
        <f t="shared" si="4"/>
        <v>55</v>
      </c>
      <c r="C63" s="7"/>
      <c r="D63" s="26"/>
      <c r="E63" s="883" t="s">
        <v>196</v>
      </c>
      <c r="F63" s="883"/>
      <c r="G63" s="883"/>
      <c r="H63" s="883"/>
      <c r="I63" s="883"/>
      <c r="J63" s="210"/>
    </row>
    <row r="64" spans="1:10">
      <c r="A64" s="177">
        <f t="shared" si="4"/>
        <v>56</v>
      </c>
      <c r="C64" s="7"/>
      <c r="D64" s="26"/>
      <c r="E64" s="76"/>
      <c r="I64" s="77" t="s">
        <v>148</v>
      </c>
    </row>
    <row r="65" spans="1:9">
      <c r="A65" s="177">
        <f t="shared" si="4"/>
        <v>57</v>
      </c>
      <c r="C65" s="7"/>
      <c r="D65" s="26"/>
      <c r="E65" s="166" t="s">
        <v>189</v>
      </c>
      <c r="I65" s="167" t="s">
        <v>197</v>
      </c>
    </row>
    <row r="66" spans="1:9">
      <c r="A66" s="177">
        <f t="shared" si="4"/>
        <v>58</v>
      </c>
      <c r="B66" s="81" t="s">
        <v>31</v>
      </c>
      <c r="C66" s="82"/>
      <c r="D66" s="26"/>
    </row>
    <row r="67" spans="1:9">
      <c r="A67" s="177">
        <f t="shared" si="4"/>
        <v>59</v>
      </c>
      <c r="C67" s="484" t="s">
        <v>327</v>
      </c>
      <c r="D67" s="26"/>
      <c r="E67" s="38">
        <v>28857652.009999998</v>
      </c>
      <c r="F67" s="38"/>
      <c r="H67" s="18"/>
      <c r="I67" s="25">
        <f t="shared" ref="I67:I79" si="6">SUM(E67:H67)</f>
        <v>28857652.009999998</v>
      </c>
    </row>
    <row r="68" spans="1:9">
      <c r="A68" s="177">
        <f t="shared" si="4"/>
        <v>60</v>
      </c>
      <c r="C68" s="484" t="s">
        <v>791</v>
      </c>
      <c r="D68" s="26"/>
      <c r="E68" s="38">
        <v>29653866.25</v>
      </c>
      <c r="F68" s="38"/>
      <c r="H68" s="18"/>
      <c r="I68" s="18">
        <f t="shared" si="6"/>
        <v>29653866.25</v>
      </c>
    </row>
    <row r="69" spans="1:9">
      <c r="A69" s="177">
        <f t="shared" si="4"/>
        <v>61</v>
      </c>
      <c r="C69" s="84" t="s">
        <v>271</v>
      </c>
      <c r="D69" s="26"/>
      <c r="E69" s="38">
        <v>30861967.420000002</v>
      </c>
      <c r="F69" s="38"/>
      <c r="H69" s="18"/>
      <c r="I69" s="18">
        <f t="shared" si="6"/>
        <v>30861967.420000002</v>
      </c>
    </row>
    <row r="70" spans="1:9">
      <c r="A70" s="177">
        <f t="shared" si="4"/>
        <v>62</v>
      </c>
      <c r="C70" s="84" t="s">
        <v>272</v>
      </c>
      <c r="D70" s="26"/>
      <c r="E70" s="38">
        <v>35827860.93</v>
      </c>
      <c r="F70" s="38"/>
      <c r="H70" s="18"/>
      <c r="I70" s="18">
        <f t="shared" si="6"/>
        <v>35827860.93</v>
      </c>
    </row>
    <row r="71" spans="1:9">
      <c r="A71" s="177">
        <f t="shared" si="4"/>
        <v>63</v>
      </c>
      <c r="C71" s="84" t="s">
        <v>168</v>
      </c>
      <c r="D71" s="26"/>
      <c r="E71" s="38">
        <v>36934305.910000004</v>
      </c>
      <c r="F71" s="38"/>
      <c r="H71" s="18"/>
      <c r="I71" s="18">
        <f t="shared" si="6"/>
        <v>36934305.910000004</v>
      </c>
    </row>
    <row r="72" spans="1:9">
      <c r="A72" s="177">
        <f t="shared" si="4"/>
        <v>64</v>
      </c>
      <c r="C72" s="84" t="s">
        <v>273</v>
      </c>
      <c r="D72" s="26"/>
      <c r="E72" s="38">
        <v>40276095.240000002</v>
      </c>
      <c r="F72" s="38"/>
      <c r="H72" s="18"/>
      <c r="I72" s="18">
        <f t="shared" si="6"/>
        <v>40276095.240000002</v>
      </c>
    </row>
    <row r="73" spans="1:9">
      <c r="A73" s="177">
        <f t="shared" ref="A73:A81" si="7">+A72+1</f>
        <v>65</v>
      </c>
      <c r="C73" s="84" t="s">
        <v>274</v>
      </c>
      <c r="D73" s="26"/>
      <c r="E73" s="38">
        <v>46562229.289999999</v>
      </c>
      <c r="F73" s="38"/>
      <c r="H73" s="18"/>
      <c r="I73" s="18">
        <f t="shared" si="6"/>
        <v>46562229.289999999</v>
      </c>
    </row>
    <row r="74" spans="1:9">
      <c r="A74" s="177">
        <f t="shared" si="7"/>
        <v>66</v>
      </c>
      <c r="C74" s="84" t="s">
        <v>170</v>
      </c>
      <c r="D74" s="26"/>
      <c r="E74" s="38">
        <v>55517334.939999998</v>
      </c>
      <c r="F74" s="38"/>
      <c r="H74" s="18"/>
      <c r="I74" s="18">
        <f t="shared" si="6"/>
        <v>55517334.939999998</v>
      </c>
    </row>
    <row r="75" spans="1:9">
      <c r="A75" s="177">
        <f t="shared" si="7"/>
        <v>67</v>
      </c>
      <c r="C75" s="84" t="s">
        <v>275</v>
      </c>
      <c r="D75" s="26"/>
      <c r="E75" s="38">
        <v>65254251.109999999</v>
      </c>
      <c r="F75" s="38"/>
      <c r="H75" s="18"/>
      <c r="I75" s="18">
        <f t="shared" si="6"/>
        <v>65254251.109999999</v>
      </c>
    </row>
    <row r="76" spans="1:9">
      <c r="A76" s="177">
        <f t="shared" si="7"/>
        <v>68</v>
      </c>
      <c r="C76" s="84" t="s">
        <v>276</v>
      </c>
      <c r="D76" s="26"/>
      <c r="E76" s="38">
        <v>74504683.769999996</v>
      </c>
      <c r="F76" s="38"/>
      <c r="H76" s="18"/>
      <c r="I76" s="18">
        <f t="shared" si="6"/>
        <v>74504683.769999996</v>
      </c>
    </row>
    <row r="77" spans="1:9">
      <c r="A77" s="177">
        <f t="shared" si="7"/>
        <v>69</v>
      </c>
      <c r="C77" s="84" t="s">
        <v>277</v>
      </c>
      <c r="D77" s="26"/>
      <c r="E77" s="38">
        <v>84159069.659999996</v>
      </c>
      <c r="F77" s="38"/>
      <c r="H77" s="18"/>
      <c r="I77" s="18">
        <f t="shared" si="6"/>
        <v>84159069.659999996</v>
      </c>
    </row>
    <row r="78" spans="1:9">
      <c r="A78" s="177">
        <f t="shared" si="7"/>
        <v>70</v>
      </c>
      <c r="C78" s="84" t="s">
        <v>278</v>
      </c>
      <c r="D78" s="26"/>
      <c r="E78" s="38">
        <v>92336459.390000001</v>
      </c>
      <c r="F78" s="38"/>
      <c r="H78" s="18"/>
      <c r="I78" s="18">
        <f t="shared" si="6"/>
        <v>92336459.390000001</v>
      </c>
    </row>
    <row r="79" spans="1:9">
      <c r="A79" s="177">
        <f t="shared" si="7"/>
        <v>71</v>
      </c>
      <c r="C79" s="484" t="s">
        <v>792</v>
      </c>
      <c r="D79" s="26"/>
      <c r="E79" s="38">
        <v>101973923.13000001</v>
      </c>
      <c r="F79" s="38"/>
      <c r="H79" s="18"/>
      <c r="I79" s="18">
        <f t="shared" si="6"/>
        <v>101973923.13000001</v>
      </c>
    </row>
    <row r="80" spans="1:9">
      <c r="A80" s="177">
        <f t="shared" si="7"/>
        <v>72</v>
      </c>
      <c r="C80" s="84"/>
      <c r="D80" s="26"/>
      <c r="E80" s="34"/>
      <c r="F80" s="18"/>
      <c r="H80" s="18"/>
      <c r="I80" s="34"/>
    </row>
    <row r="81" spans="1:10" ht="13.5" thickBot="1">
      <c r="A81" s="177">
        <f t="shared" si="7"/>
        <v>73</v>
      </c>
      <c r="C81" s="176" t="s">
        <v>147</v>
      </c>
      <c r="D81" s="26"/>
      <c r="E81" s="36">
        <f>SUM(E67:E79)/13</f>
        <v>55593823.003846154</v>
      </c>
      <c r="F81" s="171"/>
      <c r="H81" s="25"/>
      <c r="I81" s="36">
        <f>SUM(I67:I79)/13</f>
        <v>55593823.003846154</v>
      </c>
    </row>
    <row r="82" spans="1:10" ht="13.5" thickTop="1">
      <c r="D82" s="26"/>
      <c r="E82" s="76"/>
    </row>
    <row r="83" spans="1:10">
      <c r="D83" s="26"/>
      <c r="E83" s="76"/>
    </row>
    <row r="84" spans="1:10">
      <c r="D84" s="26"/>
      <c r="E84" s="76"/>
      <c r="F84" s="26"/>
      <c r="G84" s="26"/>
      <c r="H84" s="26"/>
      <c r="I84" s="26"/>
      <c r="J84" s="26"/>
    </row>
    <row r="85" spans="1:10">
      <c r="D85" s="26"/>
      <c r="E85" s="76"/>
      <c r="F85" s="26"/>
      <c r="G85" s="26"/>
      <c r="H85" s="26"/>
      <c r="I85" s="26"/>
      <c r="J85" s="26"/>
    </row>
    <row r="86" spans="1:10">
      <c r="J86" s="26"/>
    </row>
    <row r="87" spans="1:10">
      <c r="J87" s="26"/>
    </row>
    <row r="88" spans="1:10">
      <c r="J88" s="26"/>
    </row>
    <row r="89" spans="1:10">
      <c r="J89" s="26"/>
    </row>
    <row r="90" spans="1:10">
      <c r="J90" s="26"/>
    </row>
    <row r="91" spans="1:10">
      <c r="J91" s="26"/>
    </row>
    <row r="92" spans="1:10">
      <c r="J92" s="26"/>
    </row>
    <row r="93" spans="1:10">
      <c r="J93" s="26"/>
    </row>
    <row r="94" spans="1:10">
      <c r="J94" s="26"/>
    </row>
    <row r="95" spans="1:10">
      <c r="J95" s="26"/>
    </row>
    <row r="96" spans="1:10">
      <c r="J96" s="26"/>
    </row>
    <row r="97" spans="10:10">
      <c r="J97" s="26"/>
    </row>
  </sheetData>
  <mergeCells count="3">
    <mergeCell ref="E19:I19"/>
    <mergeCell ref="E41:I41"/>
    <mergeCell ref="E63:I63"/>
  </mergeCells>
  <phoneticPr fontId="10" type="noConversion"/>
  <printOptions horizontalCentered="1"/>
  <pageMargins left="0.75" right="0.25" top="0.75" bottom="0.4" header="0" footer="0.25"/>
  <pageSetup scale="68" orientation="portrait"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pageSetUpPr fitToPage="1"/>
  </sheetPr>
  <dimension ref="A1:R68"/>
  <sheetViews>
    <sheetView showGridLines="0" zoomScale="70" zoomScaleNormal="70" workbookViewId="0">
      <pane xSplit="2" ySplit="3" topLeftCell="C4" activePane="bottomRight" state="frozen"/>
      <selection pane="topRight" activeCell="B1" sqref="B1"/>
      <selection pane="bottomLeft" activeCell="A3" sqref="A3"/>
      <selection pane="bottomRight"/>
    </sheetView>
  </sheetViews>
  <sheetFormatPr defaultRowHeight="15.75"/>
  <cols>
    <col min="1" max="1" width="5.109375" style="466" bestFit="1" customWidth="1"/>
    <col min="2" max="2" width="44.21875" style="3" bestFit="1" customWidth="1"/>
    <col min="3" max="3" width="0.77734375" style="3" customWidth="1"/>
    <col min="4" max="16" width="13.77734375" style="3" customWidth="1"/>
    <col min="17" max="17" width="7" style="3" bestFit="1" customWidth="1"/>
    <col min="18" max="18" width="12.44140625" style="3" bestFit="1" customWidth="1"/>
    <col min="19" max="16384" width="8.88671875" style="3"/>
  </cols>
  <sheetData>
    <row r="1" spans="1:17">
      <c r="A1" s="472" t="s">
        <v>544</v>
      </c>
      <c r="P1" s="482" t="s">
        <v>789</v>
      </c>
    </row>
    <row r="2" spans="1:17">
      <c r="A2" s="466" t="s">
        <v>165</v>
      </c>
      <c r="D2" s="227" t="s">
        <v>328</v>
      </c>
      <c r="E2" s="227" t="s">
        <v>827</v>
      </c>
      <c r="F2" s="234" t="s">
        <v>279</v>
      </c>
      <c r="G2" s="234" t="s">
        <v>280</v>
      </c>
      <c r="H2" s="234" t="s">
        <v>281</v>
      </c>
      <c r="I2" s="234" t="s">
        <v>140</v>
      </c>
      <c r="J2" s="234" t="s">
        <v>282</v>
      </c>
      <c r="K2" s="234" t="s">
        <v>283</v>
      </c>
      <c r="L2" s="234" t="s">
        <v>284</v>
      </c>
      <c r="M2" s="234" t="s">
        <v>285</v>
      </c>
      <c r="N2" s="234" t="s">
        <v>286</v>
      </c>
      <c r="O2" s="234" t="s">
        <v>287</v>
      </c>
      <c r="P2" s="227" t="s">
        <v>828</v>
      </c>
    </row>
    <row r="3" spans="1:17" ht="4.5" customHeight="1">
      <c r="B3" s="32"/>
      <c r="C3" s="32"/>
      <c r="D3" s="32"/>
      <c r="E3" s="32"/>
      <c r="F3" s="32"/>
      <c r="G3" s="32"/>
      <c r="H3" s="32"/>
      <c r="I3" s="32"/>
      <c r="J3" s="32"/>
      <c r="K3" s="32"/>
      <c r="L3" s="32"/>
      <c r="M3" s="32"/>
      <c r="N3" s="32"/>
      <c r="O3" s="32"/>
      <c r="P3" s="32"/>
    </row>
    <row r="4" spans="1:17">
      <c r="A4" s="468">
        <v>1</v>
      </c>
      <c r="B4" s="226" t="s">
        <v>292</v>
      </c>
    </row>
    <row r="5" spans="1:17">
      <c r="A5" s="468">
        <v>2</v>
      </c>
      <c r="B5" s="28" t="s">
        <v>288</v>
      </c>
      <c r="D5" s="29">
        <v>44294006.49000001</v>
      </c>
      <c r="E5" s="29">
        <v>46967734.460000008</v>
      </c>
      <c r="F5" s="29">
        <v>48107286.960000001</v>
      </c>
      <c r="G5" s="29">
        <v>25883835.009999998</v>
      </c>
      <c r="H5" s="29">
        <v>27287697.859999996</v>
      </c>
      <c r="I5" s="29">
        <v>29375543.309999995</v>
      </c>
      <c r="J5" s="29">
        <v>30917729.919999994</v>
      </c>
      <c r="K5" s="29">
        <v>28605072.52999999</v>
      </c>
      <c r="L5" s="29">
        <v>21720430.579999991</v>
      </c>
      <c r="M5" s="29">
        <v>22875305.859999992</v>
      </c>
      <c r="N5" s="29">
        <v>21581014.909999989</v>
      </c>
      <c r="O5" s="29">
        <v>22191851.699999992</v>
      </c>
      <c r="P5" s="29">
        <v>3915499.6899999827</v>
      </c>
    </row>
    <row r="6" spans="1:17">
      <c r="A6" s="468">
        <v>3</v>
      </c>
      <c r="B6" s="226" t="s">
        <v>293</v>
      </c>
    </row>
    <row r="7" spans="1:17">
      <c r="A7" s="468">
        <v>4</v>
      </c>
      <c r="B7" s="28" t="s">
        <v>288</v>
      </c>
      <c r="D7" s="29">
        <v>263182190.32000008</v>
      </c>
      <c r="E7" s="29">
        <v>275761895.86000007</v>
      </c>
      <c r="F7" s="29">
        <v>291114192.58000004</v>
      </c>
      <c r="G7" s="29">
        <v>304186837.34000009</v>
      </c>
      <c r="H7" s="29">
        <v>78234958.450000167</v>
      </c>
      <c r="I7" s="29">
        <v>83381266.090000167</v>
      </c>
      <c r="J7" s="29">
        <v>76042388.04000017</v>
      </c>
      <c r="K7" s="29">
        <v>79730278.820000157</v>
      </c>
      <c r="L7" s="29">
        <v>85803076.310000151</v>
      </c>
      <c r="M7" s="29">
        <v>91727037.050000161</v>
      </c>
      <c r="N7" s="29">
        <v>95047489.630000159</v>
      </c>
      <c r="O7" s="29">
        <v>99222939.820000142</v>
      </c>
      <c r="P7" s="29">
        <v>102840305.63000014</v>
      </c>
    </row>
    <row r="8" spans="1:17">
      <c r="A8" s="468">
        <v>5</v>
      </c>
      <c r="B8" s="226" t="s">
        <v>294</v>
      </c>
    </row>
    <row r="9" spans="1:17">
      <c r="A9" s="468">
        <v>6</v>
      </c>
      <c r="B9" s="28" t="s">
        <v>288</v>
      </c>
      <c r="D9" s="29">
        <v>0.21999999857507646</v>
      </c>
      <c r="E9" s="29">
        <v>0.21999999857507646</v>
      </c>
      <c r="F9" s="29">
        <v>3173541.5099999988</v>
      </c>
      <c r="G9" s="29">
        <v>3264967.2399999988</v>
      </c>
      <c r="H9" s="29">
        <v>3984029.879999999</v>
      </c>
      <c r="I9" s="29">
        <v>4675749.0899999989</v>
      </c>
      <c r="J9" s="29">
        <v>4949729.0999999996</v>
      </c>
      <c r="K9" s="29">
        <v>6064559.0299999993</v>
      </c>
      <c r="L9" s="29">
        <v>6911532.3699999992</v>
      </c>
      <c r="M9" s="29">
        <v>7501405.0799999991</v>
      </c>
      <c r="N9" s="29">
        <v>6331304.9499999993</v>
      </c>
      <c r="O9" s="29">
        <v>1235489.4899999984</v>
      </c>
      <c r="P9" s="29">
        <v>1656960.9899999979</v>
      </c>
    </row>
    <row r="10" spans="1:17">
      <c r="A10" s="468">
        <v>7</v>
      </c>
      <c r="B10" s="226" t="s">
        <v>295</v>
      </c>
    </row>
    <row r="11" spans="1:17">
      <c r="A11" s="468">
        <v>8</v>
      </c>
      <c r="B11" s="3" t="s">
        <v>296</v>
      </c>
    </row>
    <row r="12" spans="1:17">
      <c r="A12" s="468">
        <v>9</v>
      </c>
      <c r="B12" s="28" t="s">
        <v>288</v>
      </c>
      <c r="D12" s="29">
        <v>307476197.78000003</v>
      </c>
      <c r="E12" s="29">
        <v>322729630.54000008</v>
      </c>
      <c r="F12" s="29">
        <v>342395021.05000001</v>
      </c>
      <c r="G12" s="29">
        <v>333335639.59000003</v>
      </c>
      <c r="H12" s="29">
        <v>109506686.19000006</v>
      </c>
      <c r="I12" s="29">
        <v>117432558.49000017</v>
      </c>
      <c r="J12" s="29">
        <v>111909847.06000015</v>
      </c>
      <c r="K12" s="29">
        <v>114399910.38000014</v>
      </c>
      <c r="L12" s="29">
        <v>114435039.26000015</v>
      </c>
      <c r="M12" s="29">
        <v>122103747.99000014</v>
      </c>
      <c r="N12" s="29">
        <v>122959809.49000016</v>
      </c>
      <c r="O12" s="29">
        <v>122650281.01000014</v>
      </c>
      <c r="P12" s="29">
        <v>108412766.31000012</v>
      </c>
    </row>
    <row r="14" spans="1:17">
      <c r="A14" s="468">
        <v>10</v>
      </c>
      <c r="B14" s="3" t="s">
        <v>290</v>
      </c>
      <c r="D14" s="31">
        <v>285961563.90000004</v>
      </c>
      <c r="E14" s="31">
        <v>299698639.49000007</v>
      </c>
      <c r="F14" s="31">
        <v>317771288.19000006</v>
      </c>
      <c r="G14" s="31">
        <v>309225221.22000009</v>
      </c>
      <c r="H14" s="31">
        <v>103124062.86000007</v>
      </c>
      <c r="I14" s="31">
        <v>110479613.01000008</v>
      </c>
      <c r="J14" s="31">
        <v>105759133.84000009</v>
      </c>
      <c r="K14" s="31">
        <v>107967184.9600001</v>
      </c>
      <c r="L14" s="31">
        <v>108058555.1400001</v>
      </c>
      <c r="M14" s="31">
        <v>115142159.5500001</v>
      </c>
      <c r="N14" s="31">
        <v>115389823.9000001</v>
      </c>
      <c r="O14" s="31">
        <v>114439427.56000009</v>
      </c>
      <c r="P14" s="31">
        <v>100555646.1800001</v>
      </c>
      <c r="Q14" s="3" t="s">
        <v>324</v>
      </c>
    </row>
    <row r="15" spans="1:17" ht="8.25" customHeight="1">
      <c r="B15" s="32"/>
      <c r="C15" s="32"/>
      <c r="D15" s="32"/>
      <c r="E15" s="32"/>
      <c r="F15" s="32"/>
      <c r="G15" s="32"/>
      <c r="H15" s="32"/>
      <c r="I15" s="32"/>
      <c r="J15" s="32"/>
      <c r="K15" s="32"/>
      <c r="L15" s="32"/>
      <c r="M15" s="32"/>
      <c r="N15" s="32"/>
      <c r="O15" s="32"/>
      <c r="P15" s="32"/>
    </row>
    <row r="16" spans="1:17">
      <c r="A16" s="468">
        <v>11</v>
      </c>
      <c r="B16" s="226" t="s">
        <v>1160</v>
      </c>
    </row>
    <row r="17" spans="1:17">
      <c r="A17" s="468">
        <v>12</v>
      </c>
      <c r="B17" s="28" t="s">
        <v>288</v>
      </c>
      <c r="D17" s="29">
        <v>14685486.749999998</v>
      </c>
      <c r="E17" s="29">
        <v>16073637.449999997</v>
      </c>
      <c r="F17" s="29">
        <v>16565529.199999997</v>
      </c>
      <c r="G17" s="29">
        <v>16939238.009999998</v>
      </c>
      <c r="H17" s="29">
        <v>17323248.269999996</v>
      </c>
      <c r="I17" s="29">
        <v>0</v>
      </c>
      <c r="J17" s="29">
        <v>0</v>
      </c>
      <c r="K17" s="29">
        <v>0</v>
      </c>
      <c r="L17" s="29">
        <v>0</v>
      </c>
      <c r="M17" s="29">
        <v>0</v>
      </c>
      <c r="N17" s="29">
        <v>0</v>
      </c>
      <c r="O17" s="29">
        <v>0</v>
      </c>
      <c r="P17" s="29">
        <v>0</v>
      </c>
    </row>
    <row r="18" spans="1:17">
      <c r="A18" s="468">
        <v>13</v>
      </c>
      <c r="B18" s="226" t="s">
        <v>1161</v>
      </c>
    </row>
    <row r="19" spans="1:17">
      <c r="A19" s="468">
        <v>14</v>
      </c>
      <c r="B19" s="28" t="s">
        <v>288</v>
      </c>
      <c r="D19" s="29">
        <v>44356878.869999997</v>
      </c>
      <c r="E19" s="29">
        <v>47407664.519999996</v>
      </c>
      <c r="F19" s="29">
        <v>50230483.569999993</v>
      </c>
      <c r="G19" s="29">
        <v>49265502.399999991</v>
      </c>
      <c r="H19" s="29">
        <v>50544829.739999987</v>
      </c>
      <c r="I19" s="29">
        <v>43114167.719999984</v>
      </c>
      <c r="J19" s="29">
        <v>44543645.689999983</v>
      </c>
      <c r="K19" s="29">
        <v>47976685.089999981</v>
      </c>
      <c r="L19" s="29">
        <v>50775781.999999985</v>
      </c>
      <c r="M19" s="29">
        <v>52648924.579999991</v>
      </c>
      <c r="N19" s="29">
        <v>53698339.109999992</v>
      </c>
      <c r="O19" s="29">
        <v>54899565.049999997</v>
      </c>
      <c r="P19" s="29">
        <v>55811664.240000002</v>
      </c>
    </row>
    <row r="20" spans="1:17">
      <c r="A20" s="468">
        <v>15</v>
      </c>
      <c r="B20" s="226" t="s">
        <v>1162</v>
      </c>
    </row>
    <row r="21" spans="1:17">
      <c r="A21" s="468">
        <v>16</v>
      </c>
      <c r="B21" s="28" t="s">
        <v>288</v>
      </c>
      <c r="D21" s="29">
        <v>0</v>
      </c>
      <c r="E21" s="29">
        <v>466341.13</v>
      </c>
      <c r="F21" s="29">
        <v>722922.57</v>
      </c>
      <c r="G21" s="29">
        <v>729681.32</v>
      </c>
      <c r="H21" s="29">
        <v>1355597.69</v>
      </c>
      <c r="I21" s="29">
        <v>1409197.75</v>
      </c>
      <c r="J21" s="29">
        <v>1210248.72</v>
      </c>
      <c r="K21" s="29">
        <v>1370468.08</v>
      </c>
      <c r="L21" s="29">
        <v>1404085.84</v>
      </c>
      <c r="M21" s="29">
        <v>1483259.46</v>
      </c>
      <c r="N21" s="29">
        <v>1059750.2</v>
      </c>
      <c r="O21" s="29">
        <v>471654.07999999984</v>
      </c>
      <c r="P21" s="29">
        <v>476559.0399999998</v>
      </c>
    </row>
    <row r="22" spans="1:17">
      <c r="A22" s="468">
        <v>17</v>
      </c>
      <c r="B22" s="226" t="s">
        <v>1163</v>
      </c>
    </row>
    <row r="23" spans="1:17">
      <c r="A23" s="468">
        <v>18</v>
      </c>
      <c r="B23" s="3" t="s">
        <v>297</v>
      </c>
    </row>
    <row r="24" spans="1:17">
      <c r="A24" s="468">
        <v>19</v>
      </c>
      <c r="B24" s="28" t="s">
        <v>288</v>
      </c>
      <c r="D24" s="29">
        <v>59042365.61999999</v>
      </c>
      <c r="E24" s="29">
        <v>63947643.099999994</v>
      </c>
      <c r="F24" s="29">
        <v>67518935.339999989</v>
      </c>
      <c r="G24" s="29">
        <v>66934421.729999997</v>
      </c>
      <c r="H24" s="29">
        <v>69223675.699999988</v>
      </c>
      <c r="I24" s="29">
        <v>44523365.469999969</v>
      </c>
      <c r="J24" s="29">
        <v>45753894.409999989</v>
      </c>
      <c r="K24" s="29">
        <v>49347153.169999979</v>
      </c>
      <c r="L24" s="29">
        <v>52179867.839999981</v>
      </c>
      <c r="M24" s="29">
        <v>54132184.039999992</v>
      </c>
      <c r="N24" s="29">
        <v>54758089.309999995</v>
      </c>
      <c r="O24" s="29">
        <v>55371219.129999995</v>
      </c>
      <c r="P24" s="29">
        <v>56288223.280000001</v>
      </c>
    </row>
    <row r="25" spans="1:17">
      <c r="A25" s="468"/>
      <c r="B25" s="28"/>
    </row>
    <row r="26" spans="1:17">
      <c r="A26" s="468">
        <v>20</v>
      </c>
      <c r="B26" s="3" t="s">
        <v>290</v>
      </c>
      <c r="D26" s="31">
        <v>55769560.529999994</v>
      </c>
      <c r="E26" s="31">
        <v>60380374.749999993</v>
      </c>
      <c r="F26" s="31">
        <v>63638179.449999996</v>
      </c>
      <c r="G26" s="31">
        <v>62758925.689999998</v>
      </c>
      <c r="H26" s="31">
        <v>64692325.32</v>
      </c>
      <c r="I26" s="31">
        <v>41583315.390000001</v>
      </c>
      <c r="J26" s="31">
        <v>42588684.270000003</v>
      </c>
      <c r="K26" s="31">
        <v>45928539.510000005</v>
      </c>
      <c r="L26" s="31">
        <v>48502181.350000009</v>
      </c>
      <c r="M26" s="31">
        <v>50183281.100000009</v>
      </c>
      <c r="N26" s="31">
        <v>50506925.890000008</v>
      </c>
      <c r="O26" s="31">
        <v>50829176.900000006</v>
      </c>
      <c r="P26" s="31">
        <v>51448811.670000009</v>
      </c>
      <c r="Q26" s="3" t="s">
        <v>324</v>
      </c>
    </row>
    <row r="27" spans="1:17" ht="8.25" customHeight="1">
      <c r="B27" s="32"/>
      <c r="C27" s="32"/>
      <c r="D27" s="32"/>
      <c r="E27" s="32"/>
      <c r="F27" s="32"/>
      <c r="G27" s="32"/>
      <c r="H27" s="32"/>
      <c r="I27" s="32"/>
      <c r="J27" s="32"/>
      <c r="K27" s="32"/>
      <c r="L27" s="32"/>
      <c r="M27" s="32"/>
      <c r="N27" s="32"/>
      <c r="O27" s="32"/>
      <c r="P27" s="32"/>
    </row>
    <row r="28" spans="1:17">
      <c r="A28" s="468">
        <v>21</v>
      </c>
      <c r="B28" s="226" t="s">
        <v>1164</v>
      </c>
    </row>
    <row r="29" spans="1:17">
      <c r="A29" s="468">
        <v>22</v>
      </c>
      <c r="B29" s="28" t="s">
        <v>288</v>
      </c>
      <c r="D29" s="29">
        <v>3090309.59</v>
      </c>
      <c r="E29" s="29">
        <v>3390655.4499999997</v>
      </c>
      <c r="F29" s="29">
        <v>3620124.3699999996</v>
      </c>
      <c r="G29" s="29">
        <v>3845409.5999999996</v>
      </c>
      <c r="H29" s="29">
        <v>4042696.8599999994</v>
      </c>
      <c r="I29" s="29">
        <v>4113870.8799999994</v>
      </c>
      <c r="J29" s="29">
        <v>4076010.4299999992</v>
      </c>
      <c r="K29" s="29">
        <v>9.9999997764825821E-3</v>
      </c>
      <c r="L29" s="29">
        <v>9.9999997764825821E-3</v>
      </c>
      <c r="M29" s="29">
        <v>9.9999997764825821E-3</v>
      </c>
      <c r="N29" s="29">
        <v>9.9999997764825821E-3</v>
      </c>
      <c r="O29" s="29">
        <v>9.9999997764825821E-3</v>
      </c>
      <c r="P29" s="29">
        <v>9.9999997764825821E-3</v>
      </c>
    </row>
    <row r="30" spans="1:17">
      <c r="A30" s="468">
        <v>23</v>
      </c>
      <c r="B30" s="226" t="s">
        <v>1165</v>
      </c>
    </row>
    <row r="31" spans="1:17">
      <c r="A31" s="468">
        <v>24</v>
      </c>
      <c r="B31" s="28" t="s">
        <v>288</v>
      </c>
      <c r="D31" s="29">
        <v>8663667.8999999966</v>
      </c>
      <c r="E31" s="29">
        <v>8880734.799999997</v>
      </c>
      <c r="F31" s="29">
        <v>9456895.5799999963</v>
      </c>
      <c r="G31" s="29">
        <v>9624017.6199999973</v>
      </c>
      <c r="H31" s="29">
        <v>9930648.9499999955</v>
      </c>
      <c r="I31" s="29">
        <v>10035517.119999994</v>
      </c>
      <c r="J31" s="29">
        <v>10004851.699999994</v>
      </c>
      <c r="K31" s="29">
        <v>8788571.3299999945</v>
      </c>
      <c r="L31" s="29">
        <v>9015066.9999999944</v>
      </c>
      <c r="M31" s="29">
        <v>9537814.599999994</v>
      </c>
      <c r="N31" s="29">
        <v>9732105.5699999947</v>
      </c>
      <c r="O31" s="29">
        <v>10145265.889999995</v>
      </c>
      <c r="P31" s="29">
        <v>10541751.099999994</v>
      </c>
    </row>
    <row r="32" spans="1:17">
      <c r="A32" s="468">
        <v>25</v>
      </c>
      <c r="B32" s="226" t="s">
        <v>1166</v>
      </c>
    </row>
    <row r="33" spans="1:17">
      <c r="A33" s="468">
        <v>26</v>
      </c>
      <c r="B33" s="28" t="s">
        <v>288</v>
      </c>
      <c r="D33" s="29">
        <v>527049.84999999986</v>
      </c>
      <c r="E33" s="29">
        <v>532612.12999999989</v>
      </c>
      <c r="F33" s="29">
        <v>536184.2699999999</v>
      </c>
      <c r="G33" s="29">
        <v>1541073.6099999999</v>
      </c>
      <c r="H33" s="29">
        <v>1544518.41</v>
      </c>
      <c r="I33" s="29">
        <v>2549661.7199999997</v>
      </c>
      <c r="J33" s="29">
        <v>3063122.67</v>
      </c>
      <c r="K33" s="29">
        <v>3345946.97</v>
      </c>
      <c r="L33" s="29">
        <v>4160872.59</v>
      </c>
      <c r="M33" s="29">
        <v>4207804.18</v>
      </c>
      <c r="N33" s="29">
        <v>5021699.34</v>
      </c>
      <c r="O33" s="29">
        <v>870053.41000000015</v>
      </c>
      <c r="P33" s="29">
        <v>871473.03000000026</v>
      </c>
    </row>
    <row r="34" spans="1:17">
      <c r="A34" s="468">
        <v>27</v>
      </c>
      <c r="B34" s="226" t="s">
        <v>1159</v>
      </c>
    </row>
    <row r="35" spans="1:17">
      <c r="A35" s="468">
        <v>28</v>
      </c>
      <c r="B35" s="3" t="s">
        <v>297</v>
      </c>
    </row>
    <row r="36" spans="1:17">
      <c r="A36" s="468">
        <v>29</v>
      </c>
      <c r="B36" s="28" t="s">
        <v>288</v>
      </c>
      <c r="D36" s="29">
        <v>12281027.339999998</v>
      </c>
      <c r="E36" s="29">
        <v>12804002.379999995</v>
      </c>
      <c r="F36" s="29">
        <v>13613204.219999995</v>
      </c>
      <c r="G36" s="29">
        <v>15010500.829999994</v>
      </c>
      <c r="H36" s="29">
        <v>15517864.219999995</v>
      </c>
      <c r="I36" s="29">
        <v>16699049.719999995</v>
      </c>
      <c r="J36" s="29">
        <v>17143984.79999999</v>
      </c>
      <c r="K36" s="29">
        <v>12134518.309999993</v>
      </c>
      <c r="L36" s="29">
        <v>13175939.599999996</v>
      </c>
      <c r="M36" s="29">
        <v>13745618.789999994</v>
      </c>
      <c r="N36" s="29">
        <v>14753804.919999994</v>
      </c>
      <c r="O36" s="29">
        <v>11015319.309999995</v>
      </c>
      <c r="P36" s="29">
        <v>11413224.139999995</v>
      </c>
    </row>
    <row r="38" spans="1:17">
      <c r="A38" s="468">
        <v>30</v>
      </c>
      <c r="B38" s="3" t="s">
        <v>290</v>
      </c>
      <c r="D38" s="31">
        <v>10552524.100000003</v>
      </c>
      <c r="E38" s="31">
        <v>11017317.720000003</v>
      </c>
      <c r="F38" s="31">
        <v>11765515.230000002</v>
      </c>
      <c r="G38" s="31">
        <v>13098545.410000002</v>
      </c>
      <c r="H38" s="31">
        <v>13533057.500000002</v>
      </c>
      <c r="I38" s="31">
        <v>14640727.940000001</v>
      </c>
      <c r="J38" s="31">
        <v>15012994.430000002</v>
      </c>
      <c r="K38" s="31">
        <v>10171292.080000002</v>
      </c>
      <c r="L38" s="31">
        <v>11165802.710000003</v>
      </c>
      <c r="M38" s="31">
        <v>11686596.970000003</v>
      </c>
      <c r="N38" s="31">
        <v>12639707.630000003</v>
      </c>
      <c r="O38" s="31">
        <v>8847689.8900000025</v>
      </c>
      <c r="P38" s="31">
        <v>9189882.2300000042</v>
      </c>
      <c r="Q38" s="3" t="s">
        <v>324</v>
      </c>
    </row>
    <row r="39" spans="1:17" ht="8.25" customHeight="1">
      <c r="B39" s="32"/>
      <c r="C39" s="32"/>
      <c r="D39" s="32"/>
      <c r="E39" s="32"/>
      <c r="F39" s="32"/>
      <c r="G39" s="32"/>
      <c r="H39" s="32"/>
      <c r="I39" s="32"/>
      <c r="J39" s="32"/>
      <c r="K39" s="32"/>
      <c r="L39" s="32"/>
      <c r="M39" s="32"/>
      <c r="N39" s="32"/>
      <c r="O39" s="32"/>
      <c r="P39" s="32"/>
    </row>
    <row r="40" spans="1:17">
      <c r="A40" s="468">
        <v>31</v>
      </c>
      <c r="B40" s="226" t="s">
        <v>298</v>
      </c>
    </row>
    <row r="41" spans="1:17">
      <c r="A41" s="468">
        <v>32</v>
      </c>
      <c r="B41" s="28" t="s">
        <v>288</v>
      </c>
      <c r="D41" s="29">
        <v>8754436.8099999893</v>
      </c>
      <c r="E41" s="29">
        <v>10623671.37999999</v>
      </c>
      <c r="F41" s="29">
        <v>11312067.62999999</v>
      </c>
      <c r="G41" s="29">
        <v>11903473.34999999</v>
      </c>
      <c r="H41" s="29">
        <v>7930944.569999991</v>
      </c>
      <c r="I41" s="29">
        <v>8395158.8399999924</v>
      </c>
      <c r="J41" s="29">
        <v>10175741.499999991</v>
      </c>
      <c r="K41" s="29">
        <v>10635358.839999991</v>
      </c>
      <c r="L41" s="29">
        <v>11125796.469999989</v>
      </c>
      <c r="M41" s="29">
        <v>11646264.989999989</v>
      </c>
      <c r="N41" s="29">
        <v>11987406.749999989</v>
      </c>
      <c r="O41" s="29">
        <v>12280690.229999989</v>
      </c>
      <c r="P41" s="29">
        <v>44.869999988004565</v>
      </c>
    </row>
    <row r="42" spans="1:17">
      <c r="A42" s="468">
        <v>33</v>
      </c>
      <c r="B42" s="226" t="s">
        <v>299</v>
      </c>
    </row>
    <row r="43" spans="1:17">
      <c r="A43" s="468">
        <v>34</v>
      </c>
      <c r="B43" s="28" t="s">
        <v>288</v>
      </c>
      <c r="D43" s="29">
        <v>118505778.65999995</v>
      </c>
      <c r="E43" s="29">
        <v>124546373.33999996</v>
      </c>
      <c r="F43" s="29">
        <v>129057401.27999994</v>
      </c>
      <c r="G43" s="29">
        <v>133219487.32999994</v>
      </c>
      <c r="H43" s="29">
        <v>74504920.119999915</v>
      </c>
      <c r="I43" s="29">
        <v>76649281.85999991</v>
      </c>
      <c r="J43" s="29">
        <v>78557166.429999903</v>
      </c>
      <c r="K43" s="29">
        <v>81286358.169999927</v>
      </c>
      <c r="L43" s="29">
        <v>86221519.069999933</v>
      </c>
      <c r="M43" s="29">
        <v>91314579.719999909</v>
      </c>
      <c r="N43" s="29">
        <v>95695647.049999923</v>
      </c>
      <c r="O43" s="29">
        <v>97261311.60999991</v>
      </c>
      <c r="P43" s="29">
        <v>100314681.55999991</v>
      </c>
    </row>
    <row r="44" spans="1:17">
      <c r="A44" s="468">
        <v>35</v>
      </c>
      <c r="B44" s="226" t="s">
        <v>300</v>
      </c>
    </row>
    <row r="45" spans="1:17">
      <c r="A45" s="468">
        <v>36</v>
      </c>
      <c r="B45" s="28" t="s">
        <v>288</v>
      </c>
      <c r="D45" s="29">
        <v>0</v>
      </c>
      <c r="E45" s="29">
        <v>2656130.27</v>
      </c>
      <c r="F45" s="29">
        <v>2601903.06</v>
      </c>
      <c r="G45" s="29">
        <v>3200228.38</v>
      </c>
      <c r="H45" s="29">
        <v>3216606.2199999997</v>
      </c>
      <c r="I45" s="29">
        <v>3826600.2699999996</v>
      </c>
      <c r="J45" s="29">
        <v>3627721.7899999996</v>
      </c>
      <c r="K45" s="29">
        <v>3680368.21</v>
      </c>
      <c r="L45" s="29">
        <v>4539494.46</v>
      </c>
      <c r="M45" s="29">
        <v>4644628.13</v>
      </c>
      <c r="N45" s="29">
        <v>4701678.18</v>
      </c>
      <c r="O45" s="29">
        <v>136916.77999999933</v>
      </c>
      <c r="P45" s="29">
        <v>141272.78999999934</v>
      </c>
    </row>
    <row r="46" spans="1:17">
      <c r="A46" s="468">
        <v>37</v>
      </c>
      <c r="B46" s="226" t="s">
        <v>301</v>
      </c>
    </row>
    <row r="47" spans="1:17">
      <c r="A47" s="468">
        <v>38</v>
      </c>
      <c r="B47" s="3" t="s">
        <v>297</v>
      </c>
    </row>
    <row r="48" spans="1:17">
      <c r="A48" s="468">
        <v>39</v>
      </c>
      <c r="B48" s="28" t="s">
        <v>288</v>
      </c>
      <c r="D48" s="29">
        <v>127260215.46999992</v>
      </c>
      <c r="E48" s="29">
        <v>137826174.98999992</v>
      </c>
      <c r="F48" s="29">
        <v>142971371.96999997</v>
      </c>
      <c r="G48" s="29">
        <v>148323189.05999994</v>
      </c>
      <c r="H48" s="29">
        <v>85652470.909999892</v>
      </c>
      <c r="I48" s="29">
        <v>88871040.969999909</v>
      </c>
      <c r="J48" s="29">
        <v>92360629.71999988</v>
      </c>
      <c r="K48" s="29">
        <v>95602085.219999894</v>
      </c>
      <c r="L48" s="29">
        <v>101886809.99999991</v>
      </c>
      <c r="M48" s="29">
        <v>107605472.8399999</v>
      </c>
      <c r="N48" s="29">
        <v>112384731.9799999</v>
      </c>
      <c r="O48" s="29">
        <v>109678918.6199999</v>
      </c>
      <c r="P48" s="29">
        <v>100455999.21999989</v>
      </c>
    </row>
    <row r="50" spans="1:18">
      <c r="A50" s="468">
        <v>40</v>
      </c>
      <c r="B50" s="3" t="s">
        <v>290</v>
      </c>
      <c r="D50" s="31">
        <v>118602827.78000002</v>
      </c>
      <c r="E50" s="31">
        <v>128537243.24000002</v>
      </c>
      <c r="F50" s="31">
        <v>133019349.12000002</v>
      </c>
      <c r="G50" s="31">
        <v>137680025.75000003</v>
      </c>
      <c r="H50" s="31">
        <v>80872750.450000033</v>
      </c>
      <c r="I50" s="31">
        <v>83653546.790000036</v>
      </c>
      <c r="J50" s="31">
        <v>86695809.620000035</v>
      </c>
      <c r="K50" s="31">
        <v>89440665.680000037</v>
      </c>
      <c r="L50" s="31">
        <v>95226794.270000041</v>
      </c>
      <c r="M50" s="31">
        <v>100425239.66000004</v>
      </c>
      <c r="N50" s="31">
        <v>104603857.24000004</v>
      </c>
      <c r="O50" s="31">
        <v>101313155.10000004</v>
      </c>
      <c r="P50" s="31">
        <v>92170020.290000036</v>
      </c>
      <c r="Q50" s="3" t="s">
        <v>324</v>
      </c>
    </row>
    <row r="51" spans="1:18" ht="8.25" customHeight="1">
      <c r="B51" s="32"/>
      <c r="C51" s="32"/>
      <c r="D51" s="32"/>
      <c r="E51" s="32"/>
      <c r="F51" s="32"/>
      <c r="G51" s="32"/>
      <c r="H51" s="32"/>
      <c r="I51" s="32"/>
      <c r="J51" s="32"/>
      <c r="K51" s="32"/>
      <c r="L51" s="32"/>
      <c r="M51" s="32"/>
      <c r="N51" s="32"/>
      <c r="O51" s="32"/>
      <c r="P51" s="32"/>
    </row>
    <row r="52" spans="1:18">
      <c r="B52" s="30" t="s">
        <v>289</v>
      </c>
      <c r="R52" s="3" t="s">
        <v>291</v>
      </c>
    </row>
    <row r="53" spans="1:18">
      <c r="A53" s="468">
        <v>41</v>
      </c>
      <c r="B53" s="3" t="s">
        <v>302</v>
      </c>
      <c r="D53" s="3">
        <f>D14+D38+D50+D26</f>
        <v>470886476.31000006</v>
      </c>
      <c r="E53" s="3">
        <f t="shared" ref="E53:P53" si="0">E14+E38+E50+E26</f>
        <v>499633575.20000011</v>
      </c>
      <c r="F53" s="3">
        <f t="shared" si="0"/>
        <v>526194331.99000007</v>
      </c>
      <c r="G53" s="3">
        <f t="shared" si="0"/>
        <v>522762718.07000011</v>
      </c>
      <c r="H53" s="3">
        <f t="shared" si="0"/>
        <v>262222196.13000011</v>
      </c>
      <c r="I53" s="3">
        <f t="shared" si="0"/>
        <v>250357203.13000011</v>
      </c>
      <c r="J53" s="3">
        <f t="shared" si="0"/>
        <v>250056622.16000015</v>
      </c>
      <c r="K53" s="3">
        <f t="shared" si="0"/>
        <v>253507682.23000014</v>
      </c>
      <c r="L53" s="3">
        <f t="shared" si="0"/>
        <v>262953333.47000015</v>
      </c>
      <c r="M53" s="3">
        <f t="shared" si="0"/>
        <v>277437277.28000015</v>
      </c>
      <c r="N53" s="3">
        <f t="shared" si="0"/>
        <v>283140314.66000015</v>
      </c>
      <c r="O53" s="3">
        <f t="shared" si="0"/>
        <v>275429449.45000017</v>
      </c>
      <c r="P53" s="3">
        <f t="shared" si="0"/>
        <v>253364360.37000015</v>
      </c>
      <c r="Q53" s="3" t="s">
        <v>325</v>
      </c>
      <c r="R53" s="471">
        <f>SUM(D53:P53)/13</f>
        <v>337534272.34230793</v>
      </c>
    </row>
    <row r="54" spans="1:18">
      <c r="R54" s="467" t="s">
        <v>543</v>
      </c>
    </row>
    <row r="55" spans="1:18" ht="8.25" customHeight="1">
      <c r="B55" s="32"/>
      <c r="C55" s="32"/>
      <c r="D55" s="32"/>
      <c r="E55" s="32"/>
      <c r="F55" s="32"/>
      <c r="G55" s="32"/>
      <c r="H55" s="32"/>
      <c r="I55" s="32"/>
      <c r="J55" s="32"/>
      <c r="K55" s="32"/>
      <c r="L55" s="32"/>
      <c r="M55" s="32"/>
      <c r="N55" s="32"/>
      <c r="O55" s="32"/>
      <c r="P55" s="32"/>
    </row>
    <row r="56" spans="1:18" s="28" customFormat="1">
      <c r="A56" s="468">
        <v>42</v>
      </c>
      <c r="B56" s="226" t="s">
        <v>312</v>
      </c>
    </row>
    <row r="57" spans="1:18" s="28" customFormat="1">
      <c r="A57" s="468">
        <v>43</v>
      </c>
      <c r="B57" s="28" t="s">
        <v>288</v>
      </c>
      <c r="D57" s="29">
        <v>0</v>
      </c>
      <c r="E57" s="29">
        <v>59590.560000000005</v>
      </c>
      <c r="F57" s="29">
        <v>117289.85</v>
      </c>
      <c r="G57" s="29">
        <v>202925.71000000002</v>
      </c>
      <c r="H57" s="29">
        <v>288062.14000000007</v>
      </c>
      <c r="I57" s="29">
        <v>394023.45000000007</v>
      </c>
      <c r="J57" s="29">
        <v>407288.25000000006</v>
      </c>
      <c r="K57" s="29">
        <v>842740.99000000011</v>
      </c>
      <c r="L57" s="29">
        <v>1389387.8499999999</v>
      </c>
      <c r="M57" s="29">
        <v>2350431.0700000003</v>
      </c>
      <c r="N57" s="29">
        <v>2781396.93</v>
      </c>
      <c r="O57" s="29">
        <v>0</v>
      </c>
      <c r="P57" s="29">
        <v>0</v>
      </c>
      <c r="R57" s="3"/>
    </row>
    <row r="58" spans="1:18">
      <c r="A58" s="468">
        <v>44</v>
      </c>
      <c r="B58" s="226" t="s">
        <v>303</v>
      </c>
    </row>
    <row r="59" spans="1:18">
      <c r="A59" s="468">
        <v>45</v>
      </c>
      <c r="B59" s="28" t="s">
        <v>288</v>
      </c>
      <c r="D59" s="29">
        <v>17671426.850000005</v>
      </c>
      <c r="E59" s="29">
        <v>17886604.980000004</v>
      </c>
      <c r="F59" s="29">
        <v>18675934.150000002</v>
      </c>
      <c r="G59" s="29">
        <v>22502512.830000002</v>
      </c>
      <c r="H59" s="29">
        <v>22951313.130000003</v>
      </c>
      <c r="I59" s="29">
        <v>25755552.970000003</v>
      </c>
      <c r="J59" s="29">
        <v>29915224.580000002</v>
      </c>
      <c r="K59" s="29">
        <v>37385158.780000001</v>
      </c>
      <c r="L59" s="29">
        <v>46296886.18</v>
      </c>
      <c r="M59" s="29">
        <v>54272595.840000004</v>
      </c>
      <c r="N59" s="29">
        <v>63411938.910000004</v>
      </c>
      <c r="O59" s="29">
        <v>74466414.420000017</v>
      </c>
      <c r="P59" s="29">
        <v>83392423.080000028</v>
      </c>
    </row>
    <row r="60" spans="1:18" s="28" customFormat="1">
      <c r="A60" s="468">
        <v>46</v>
      </c>
      <c r="B60" s="226" t="s">
        <v>313</v>
      </c>
      <c r="R60" s="3"/>
    </row>
    <row r="61" spans="1:18">
      <c r="A61" s="468">
        <v>47</v>
      </c>
      <c r="B61" s="28" t="s">
        <v>288</v>
      </c>
      <c r="D61" s="29">
        <v>11973909.309999999</v>
      </c>
      <c r="E61" s="29">
        <v>12649364.199999997</v>
      </c>
      <c r="F61" s="29">
        <v>13170076.009999998</v>
      </c>
      <c r="G61" s="29">
        <v>14385074.329999996</v>
      </c>
      <c r="H61" s="29">
        <v>15131281.479999997</v>
      </c>
      <c r="I61" s="29">
        <v>15748918.329999996</v>
      </c>
      <c r="J61" s="29">
        <v>18073724.909999996</v>
      </c>
      <c r="K61" s="29">
        <v>19365351.749999996</v>
      </c>
      <c r="L61" s="29">
        <v>19931633.399999995</v>
      </c>
      <c r="M61" s="29">
        <v>20575632.889999997</v>
      </c>
      <c r="N61" s="29">
        <v>21088755.449999999</v>
      </c>
      <c r="O61" s="29">
        <v>21434427.640000001</v>
      </c>
      <c r="P61" s="29">
        <v>22636044.900000002</v>
      </c>
    </row>
    <row r="62" spans="1:18">
      <c r="A62" s="468">
        <v>48</v>
      </c>
      <c r="B62" s="226" t="s">
        <v>314</v>
      </c>
    </row>
    <row r="63" spans="1:18" ht="20.100000000000001" customHeight="1">
      <c r="A63" s="468">
        <v>49</v>
      </c>
      <c r="B63" s="3" t="s">
        <v>297</v>
      </c>
    </row>
    <row r="64" spans="1:18">
      <c r="A64" s="468">
        <v>50</v>
      </c>
      <c r="B64" s="28" t="s">
        <v>288</v>
      </c>
      <c r="D64" s="29">
        <v>29645336.160000004</v>
      </c>
      <c r="E64" s="29">
        <v>30595559.740000006</v>
      </c>
      <c r="F64" s="29">
        <v>31963300.009999998</v>
      </c>
      <c r="G64" s="29">
        <v>37090512.870000005</v>
      </c>
      <c r="H64" s="29">
        <v>38370656.75</v>
      </c>
      <c r="I64" s="29">
        <v>41898494.75</v>
      </c>
      <c r="J64" s="29">
        <v>48396237.739999995</v>
      </c>
      <c r="K64" s="29">
        <v>57593251.519999988</v>
      </c>
      <c r="L64" s="29">
        <v>67617907.429999992</v>
      </c>
      <c r="M64" s="29">
        <v>77198659.799999982</v>
      </c>
      <c r="N64" s="29">
        <v>87282091.290000021</v>
      </c>
      <c r="O64" s="29">
        <v>95900842.059999987</v>
      </c>
      <c r="P64" s="29">
        <v>106032167.61000003</v>
      </c>
    </row>
    <row r="65" spans="1:18">
      <c r="B65" s="33"/>
      <c r="R65" s="3" t="s">
        <v>291</v>
      </c>
    </row>
    <row r="66" spans="1:18">
      <c r="A66" s="468">
        <v>51</v>
      </c>
      <c r="B66" s="3" t="s">
        <v>353</v>
      </c>
      <c r="D66" s="28">
        <v>28857652.009999998</v>
      </c>
      <c r="E66" s="28">
        <v>29653866.25</v>
      </c>
      <c r="F66" s="28">
        <v>30861967.420000002</v>
      </c>
      <c r="G66" s="28">
        <v>35827860.93</v>
      </c>
      <c r="H66" s="28">
        <v>36934305.910000004</v>
      </c>
      <c r="I66" s="28">
        <v>40276095.240000002</v>
      </c>
      <c r="J66" s="28">
        <v>46562229.289999999</v>
      </c>
      <c r="K66" s="28">
        <v>55517334.939999998</v>
      </c>
      <c r="L66" s="28">
        <v>65254251.109999999</v>
      </c>
      <c r="M66" s="28">
        <v>74504683.769999996</v>
      </c>
      <c r="N66" s="28">
        <v>84159069.659999996</v>
      </c>
      <c r="O66" s="28">
        <v>92336459.390000001</v>
      </c>
      <c r="P66" s="28">
        <v>101973923.13000001</v>
      </c>
      <c r="R66" s="471">
        <f>SUM(D66:P66)/13</f>
        <v>55593823.003846154</v>
      </c>
    </row>
    <row r="67" spans="1:18">
      <c r="D67" s="28"/>
      <c r="E67" s="28"/>
      <c r="F67" s="28"/>
      <c r="G67" s="28"/>
      <c r="H67" s="28"/>
      <c r="I67" s="28"/>
      <c r="J67" s="28"/>
      <c r="K67" s="28"/>
      <c r="L67" s="28"/>
      <c r="M67" s="28"/>
      <c r="N67" s="28"/>
      <c r="O67" s="28"/>
      <c r="P67" s="28"/>
      <c r="R67" s="467" t="s">
        <v>543</v>
      </c>
    </row>
    <row r="68" spans="1:18" ht="8.25" customHeight="1">
      <c r="B68" s="32"/>
      <c r="C68" s="32"/>
      <c r="D68" s="32"/>
      <c r="E68" s="32"/>
      <c r="F68" s="32"/>
      <c r="G68" s="32"/>
      <c r="H68" s="32"/>
      <c r="I68" s="32"/>
      <c r="J68" s="32"/>
      <c r="K68" s="32"/>
      <c r="L68" s="32"/>
      <c r="M68" s="32"/>
      <c r="N68" s="32"/>
      <c r="O68" s="32"/>
      <c r="P68" s="32"/>
    </row>
  </sheetData>
  <phoneticPr fontId="13" type="noConversion"/>
  <pageMargins left="0.25" right="0.25" top="0.5" bottom="0.25" header="0.5" footer="0.5"/>
  <pageSetup paperSize="3" scale="72" orientation="landscape" r:id="rId1"/>
  <headerFooter alignWithMargins="0">
    <oddFooter>Page &amp;P of &amp;N</oddFooter>
  </headerFooter>
  <rowBreaks count="1" manualBreakCount="1">
    <brk id="33" min="1" max="17"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BFFFF"/>
    <pageSetUpPr autoPageBreaks="0" fitToPage="1"/>
  </sheetPr>
  <dimension ref="A1:R83"/>
  <sheetViews>
    <sheetView showGridLines="0" topLeftCell="A7" zoomScaleNormal="75" workbookViewId="0">
      <selection activeCell="S44" sqref="S44"/>
    </sheetView>
  </sheetViews>
  <sheetFormatPr defaultColWidth="14.44140625" defaultRowHeight="12.75"/>
  <cols>
    <col min="1" max="1" width="4.77734375" style="74" customWidth="1"/>
    <col min="2" max="2" width="2.77734375" style="4" customWidth="1"/>
    <col min="3" max="3" width="29" style="4" customWidth="1"/>
    <col min="4" max="4" width="13.77734375" style="4" customWidth="1"/>
    <col min="5" max="5" width="0.88671875" style="4" customWidth="1"/>
    <col min="6" max="6" width="15.77734375" style="4" customWidth="1"/>
    <col min="7" max="7" width="0.88671875" style="4" customWidth="1"/>
    <col min="8" max="8" width="15.109375" style="4" bestFit="1" customWidth="1"/>
    <col min="9" max="9" width="0.88671875" style="4" customWidth="1"/>
    <col min="10" max="10" width="15.5546875" style="4" bestFit="1" customWidth="1"/>
    <col min="11" max="11" width="0.88671875" style="4" customWidth="1"/>
    <col min="12" max="12" width="13.5546875" style="4" hidden="1" customWidth="1"/>
    <col min="13" max="13" width="0.88671875" style="4" hidden="1" customWidth="1"/>
    <col min="14" max="14" width="12.88671875" style="4" customWidth="1"/>
    <col min="15" max="15" width="0.88671875" style="4" customWidth="1"/>
    <col min="16" max="16" width="18.33203125" style="4" bestFit="1" customWidth="1"/>
    <col min="17" max="17" width="0.6640625" style="4" customWidth="1"/>
    <col min="18" max="18" width="16.21875" style="4" bestFit="1" customWidth="1"/>
    <col min="19" max="16384" width="14.44140625" style="4"/>
  </cols>
  <sheetData>
    <row r="1" spans="1:18">
      <c r="A1" s="71" t="s">
        <v>27</v>
      </c>
      <c r="B1" s="72"/>
      <c r="C1" s="72"/>
      <c r="D1" s="72"/>
      <c r="E1" s="72"/>
      <c r="F1" s="72"/>
      <c r="G1" s="72"/>
      <c r="H1" s="72"/>
      <c r="I1" s="72"/>
      <c r="J1" s="72"/>
      <c r="K1" s="72"/>
      <c r="L1" s="72"/>
      <c r="M1" s="72"/>
      <c r="N1" s="72"/>
      <c r="O1" s="72"/>
      <c r="P1" s="72"/>
      <c r="Q1" s="72"/>
      <c r="R1" s="482" t="s">
        <v>789</v>
      </c>
    </row>
    <row r="2" spans="1:18">
      <c r="A2" s="71" t="s">
        <v>34</v>
      </c>
      <c r="B2" s="72"/>
      <c r="C2" s="72"/>
      <c r="D2" s="72"/>
      <c r="E2" s="72"/>
      <c r="F2" s="72"/>
      <c r="G2" s="72"/>
      <c r="H2" s="72"/>
      <c r="I2" s="72"/>
      <c r="J2" s="72"/>
      <c r="K2" s="72"/>
      <c r="L2" s="72"/>
      <c r="M2" s="72"/>
      <c r="N2" s="72"/>
      <c r="O2" s="72"/>
      <c r="P2" s="72"/>
      <c r="Q2" s="72"/>
      <c r="R2" s="73"/>
    </row>
    <row r="3" spans="1:18">
      <c r="A3" s="483" t="s">
        <v>790</v>
      </c>
      <c r="B3" s="72"/>
      <c r="C3" s="72"/>
      <c r="D3" s="72"/>
      <c r="E3" s="72"/>
      <c r="F3" s="72"/>
      <c r="G3" s="72"/>
      <c r="H3" s="72"/>
      <c r="I3" s="72"/>
      <c r="J3" s="72"/>
      <c r="K3" s="72"/>
      <c r="L3" s="72"/>
      <c r="M3" s="72"/>
      <c r="N3" s="72"/>
      <c r="O3" s="72"/>
      <c r="P3" s="72"/>
      <c r="Q3" s="72"/>
    </row>
    <row r="4" spans="1:18">
      <c r="A4" s="503" t="s">
        <v>269</v>
      </c>
    </row>
    <row r="5" spans="1:18">
      <c r="B5" s="75"/>
    </row>
    <row r="6" spans="1:18">
      <c r="B6" s="75"/>
    </row>
    <row r="7" spans="1:18">
      <c r="A7" s="7"/>
      <c r="B7" s="7"/>
      <c r="C7" s="7"/>
      <c r="D7" s="7"/>
      <c r="E7" s="7"/>
      <c r="F7" s="7"/>
      <c r="G7" s="7"/>
      <c r="K7" s="76"/>
      <c r="M7" s="76"/>
      <c r="O7" s="76"/>
      <c r="P7" s="76"/>
      <c r="Q7" s="76"/>
      <c r="R7" s="77"/>
    </row>
    <row r="8" spans="1:18">
      <c r="D8" s="884" t="s">
        <v>35</v>
      </c>
      <c r="E8" s="884"/>
      <c r="F8" s="884"/>
      <c r="G8" s="884"/>
      <c r="H8" s="884"/>
      <c r="I8" s="884"/>
      <c r="J8" s="884"/>
      <c r="K8" s="76"/>
      <c r="L8" s="166" t="s">
        <v>222</v>
      </c>
      <c r="M8" s="76"/>
      <c r="N8" s="883" t="s">
        <v>36</v>
      </c>
      <c r="O8" s="883"/>
      <c r="P8" s="883"/>
      <c r="Q8" s="76"/>
      <c r="R8" s="77" t="s">
        <v>142</v>
      </c>
    </row>
    <row r="9" spans="1:18">
      <c r="A9" s="74" t="s">
        <v>165</v>
      </c>
      <c r="D9" s="76" t="s">
        <v>175</v>
      </c>
      <c r="E9" s="78"/>
      <c r="F9" s="76" t="s">
        <v>175</v>
      </c>
      <c r="G9" s="78"/>
      <c r="H9" s="78" t="s">
        <v>175</v>
      </c>
      <c r="I9" s="78"/>
      <c r="J9" s="76" t="s">
        <v>175</v>
      </c>
      <c r="L9" s="76" t="s">
        <v>175</v>
      </c>
      <c r="N9" s="78" t="s">
        <v>38</v>
      </c>
      <c r="O9" s="78"/>
      <c r="P9" s="78" t="s">
        <v>40</v>
      </c>
      <c r="R9" s="77" t="s">
        <v>160</v>
      </c>
    </row>
    <row r="10" spans="1:18">
      <c r="A10" s="79" t="s">
        <v>141</v>
      </c>
      <c r="D10" s="76">
        <v>281</v>
      </c>
      <c r="E10" s="78"/>
      <c r="F10" s="77">
        <v>282</v>
      </c>
      <c r="G10" s="78"/>
      <c r="H10" s="76">
        <v>283</v>
      </c>
      <c r="J10" s="76">
        <v>190</v>
      </c>
      <c r="L10" s="76">
        <v>255</v>
      </c>
      <c r="N10" s="76" t="s">
        <v>39</v>
      </c>
      <c r="P10" s="167" t="s">
        <v>41</v>
      </c>
      <c r="Q10" s="77"/>
      <c r="R10" s="167" t="s">
        <v>37</v>
      </c>
    </row>
    <row r="11" spans="1:18">
      <c r="A11" s="80" t="s">
        <v>145</v>
      </c>
      <c r="B11" s="81" t="s">
        <v>28</v>
      </c>
      <c r="C11" s="82"/>
      <c r="D11" s="35"/>
      <c r="F11" s="35"/>
      <c r="H11" s="35"/>
      <c r="J11" s="35"/>
      <c r="L11" s="35"/>
      <c r="N11" s="35"/>
      <c r="R11" s="35"/>
    </row>
    <row r="12" spans="1:18">
      <c r="A12" s="83">
        <f t="shared" ref="A12:A75" si="0">+A11+1</f>
        <v>2</v>
      </c>
      <c r="C12" s="484" t="s">
        <v>327</v>
      </c>
      <c r="D12" s="25">
        <f t="shared" ref="D12:D24" si="1">+D37+D62</f>
        <v>-38291111</v>
      </c>
      <c r="E12" s="26"/>
      <c r="F12" s="25">
        <f t="shared" ref="F12:F24" si="2">+F37+F62</f>
        <v>-2787170482</v>
      </c>
      <c r="G12" s="26"/>
      <c r="H12" s="25">
        <f t="shared" ref="H12:Q24" si="3">+H37+H62</f>
        <v>-209998731</v>
      </c>
      <c r="I12" s="25">
        <f t="shared" si="3"/>
        <v>0</v>
      </c>
      <c r="J12" s="25">
        <f t="shared" si="3"/>
        <v>729347074</v>
      </c>
      <c r="K12" s="25">
        <f t="shared" si="3"/>
        <v>0</v>
      </c>
      <c r="L12" s="25">
        <f t="shared" ref="L12:L24" si="4">+L37+L62</f>
        <v>0</v>
      </c>
      <c r="M12" s="25"/>
      <c r="N12" s="25">
        <f t="shared" si="3"/>
        <v>0</v>
      </c>
      <c r="O12" s="25">
        <f t="shared" si="3"/>
        <v>0</v>
      </c>
      <c r="P12" s="25">
        <f t="shared" si="3"/>
        <v>-7864019.9881124496</v>
      </c>
      <c r="Q12" s="25">
        <f t="shared" si="3"/>
        <v>0</v>
      </c>
      <c r="R12" s="25">
        <f>SUM(D12:Q12)</f>
        <v>-2313977269.9881124</v>
      </c>
    </row>
    <row r="13" spans="1:18">
      <c r="A13" s="83">
        <f t="shared" si="0"/>
        <v>3</v>
      </c>
      <c r="C13" s="484" t="s">
        <v>791</v>
      </c>
      <c r="D13" s="26">
        <f t="shared" si="1"/>
        <v>0</v>
      </c>
      <c r="E13" s="26"/>
      <c r="F13" s="26">
        <f t="shared" si="2"/>
        <v>0</v>
      </c>
      <c r="G13" s="26"/>
      <c r="H13" s="26">
        <f t="shared" si="3"/>
        <v>0</v>
      </c>
      <c r="I13" s="26">
        <f t="shared" si="3"/>
        <v>0</v>
      </c>
      <c r="J13" s="26">
        <f t="shared" si="3"/>
        <v>0</v>
      </c>
      <c r="K13" s="26">
        <f t="shared" si="3"/>
        <v>0</v>
      </c>
      <c r="L13" s="26">
        <f t="shared" si="4"/>
        <v>0</v>
      </c>
      <c r="M13" s="26"/>
      <c r="N13" s="26">
        <f t="shared" si="3"/>
        <v>0</v>
      </c>
      <c r="O13" s="26">
        <f t="shared" si="3"/>
        <v>0</v>
      </c>
      <c r="P13" s="38">
        <f t="shared" si="3"/>
        <v>-7869735.0909546539</v>
      </c>
      <c r="Q13" s="26">
        <f t="shared" si="3"/>
        <v>0</v>
      </c>
      <c r="R13" s="38">
        <f t="shared" ref="R13:R24" si="5">SUM(D13:Q13)</f>
        <v>-7869735.0909546539</v>
      </c>
    </row>
    <row r="14" spans="1:18">
      <c r="A14" s="83">
        <f t="shared" si="0"/>
        <v>4</v>
      </c>
      <c r="C14" s="84" t="s">
        <v>166</v>
      </c>
      <c r="D14" s="26">
        <f t="shared" si="1"/>
        <v>0</v>
      </c>
      <c r="E14" s="26"/>
      <c r="F14" s="26">
        <f t="shared" si="2"/>
        <v>0</v>
      </c>
      <c r="G14" s="26"/>
      <c r="H14" s="26">
        <f t="shared" si="3"/>
        <v>0</v>
      </c>
      <c r="I14" s="26">
        <f t="shared" si="3"/>
        <v>0</v>
      </c>
      <c r="J14" s="26">
        <f t="shared" si="3"/>
        <v>0</v>
      </c>
      <c r="K14" s="26">
        <f t="shared" si="3"/>
        <v>0</v>
      </c>
      <c r="L14" s="26">
        <f t="shared" si="4"/>
        <v>0</v>
      </c>
      <c r="M14" s="26"/>
      <c r="N14" s="26">
        <f t="shared" si="3"/>
        <v>0</v>
      </c>
      <c r="O14" s="26">
        <f t="shared" si="3"/>
        <v>0</v>
      </c>
      <c r="P14" s="38">
        <f t="shared" si="3"/>
        <v>-7858354.1937968582</v>
      </c>
      <c r="Q14" s="26">
        <f t="shared" si="3"/>
        <v>0</v>
      </c>
      <c r="R14" s="38">
        <f t="shared" si="5"/>
        <v>-7858354.1937968582</v>
      </c>
    </row>
    <row r="15" spans="1:18">
      <c r="A15" s="83">
        <f t="shared" si="0"/>
        <v>5</v>
      </c>
      <c r="C15" s="84" t="s">
        <v>167</v>
      </c>
      <c r="D15" s="26">
        <f t="shared" si="1"/>
        <v>0</v>
      </c>
      <c r="E15" s="26"/>
      <c r="F15" s="26">
        <f t="shared" si="2"/>
        <v>0</v>
      </c>
      <c r="G15" s="26"/>
      <c r="H15" s="26">
        <f t="shared" si="3"/>
        <v>0</v>
      </c>
      <c r="I15" s="26">
        <f t="shared" si="3"/>
        <v>0</v>
      </c>
      <c r="J15" s="26">
        <f t="shared" si="3"/>
        <v>0</v>
      </c>
      <c r="K15" s="26">
        <f t="shared" si="3"/>
        <v>0</v>
      </c>
      <c r="L15" s="26">
        <f t="shared" si="4"/>
        <v>0</v>
      </c>
      <c r="M15" s="26"/>
      <c r="N15" s="26">
        <f t="shared" si="3"/>
        <v>0</v>
      </c>
      <c r="O15" s="26">
        <f t="shared" si="3"/>
        <v>0</v>
      </c>
      <c r="P15" s="38">
        <f t="shared" si="3"/>
        <v>-10001714.016658925</v>
      </c>
      <c r="Q15" s="26">
        <f t="shared" si="3"/>
        <v>0</v>
      </c>
      <c r="R15" s="38">
        <f t="shared" si="5"/>
        <v>-10001714.016658925</v>
      </c>
    </row>
    <row r="16" spans="1:18">
      <c r="A16" s="83">
        <f t="shared" si="0"/>
        <v>6</v>
      </c>
      <c r="C16" s="84" t="s">
        <v>168</v>
      </c>
      <c r="D16" s="26">
        <f t="shared" si="1"/>
        <v>0</v>
      </c>
      <c r="E16" s="26"/>
      <c r="F16" s="26">
        <f t="shared" si="2"/>
        <v>0</v>
      </c>
      <c r="G16" s="26"/>
      <c r="H16" s="26">
        <f t="shared" si="3"/>
        <v>0</v>
      </c>
      <c r="I16" s="26">
        <f t="shared" si="3"/>
        <v>0</v>
      </c>
      <c r="J16" s="26">
        <f t="shared" si="3"/>
        <v>0</v>
      </c>
      <c r="K16" s="26">
        <f t="shared" si="3"/>
        <v>0</v>
      </c>
      <c r="L16" s="26">
        <f t="shared" si="4"/>
        <v>0</v>
      </c>
      <c r="M16" s="26"/>
      <c r="N16" s="26">
        <f t="shared" si="3"/>
        <v>0</v>
      </c>
      <c r="O16" s="26">
        <f t="shared" si="3"/>
        <v>0</v>
      </c>
      <c r="P16" s="38">
        <f t="shared" si="3"/>
        <v>-34815902.368539736</v>
      </c>
      <c r="Q16" s="26">
        <f t="shared" si="3"/>
        <v>0</v>
      </c>
      <c r="R16" s="38">
        <f t="shared" si="5"/>
        <v>-34815902.368539736</v>
      </c>
    </row>
    <row r="17" spans="1:18">
      <c r="A17" s="83">
        <f t="shared" si="0"/>
        <v>7</v>
      </c>
      <c r="C17" s="84" t="s">
        <v>140</v>
      </c>
      <c r="D17" s="26">
        <f t="shared" si="1"/>
        <v>0</v>
      </c>
      <c r="E17" s="26"/>
      <c r="F17" s="26">
        <f t="shared" si="2"/>
        <v>0</v>
      </c>
      <c r="G17" s="26"/>
      <c r="H17" s="26">
        <f t="shared" si="3"/>
        <v>0</v>
      </c>
      <c r="I17" s="26">
        <f t="shared" si="3"/>
        <v>0</v>
      </c>
      <c r="J17" s="26">
        <f t="shared" si="3"/>
        <v>0</v>
      </c>
      <c r="K17" s="26">
        <f t="shared" si="3"/>
        <v>0</v>
      </c>
      <c r="L17" s="26">
        <f t="shared" si="4"/>
        <v>0</v>
      </c>
      <c r="M17" s="26"/>
      <c r="N17" s="26">
        <f t="shared" si="3"/>
        <v>0</v>
      </c>
      <c r="O17" s="26">
        <f t="shared" si="3"/>
        <v>0</v>
      </c>
      <c r="P17" s="38">
        <f t="shared" si="3"/>
        <v>-36650910.887599818</v>
      </c>
      <c r="Q17" s="26">
        <f t="shared" si="3"/>
        <v>0</v>
      </c>
      <c r="R17" s="38">
        <f t="shared" si="5"/>
        <v>-36650910.887599818</v>
      </c>
    </row>
    <row r="18" spans="1:18">
      <c r="A18" s="83">
        <f t="shared" si="0"/>
        <v>8</v>
      </c>
      <c r="C18" s="84" t="s">
        <v>169</v>
      </c>
      <c r="D18" s="26">
        <f t="shared" si="1"/>
        <v>0</v>
      </c>
      <c r="E18" s="26"/>
      <c r="F18" s="26">
        <f t="shared" si="2"/>
        <v>0</v>
      </c>
      <c r="G18" s="26"/>
      <c r="H18" s="26">
        <f t="shared" si="3"/>
        <v>0</v>
      </c>
      <c r="I18" s="26">
        <f t="shared" si="3"/>
        <v>0</v>
      </c>
      <c r="J18" s="26">
        <f t="shared" si="3"/>
        <v>0</v>
      </c>
      <c r="K18" s="26">
        <f t="shared" si="3"/>
        <v>0</v>
      </c>
      <c r="L18" s="26">
        <f t="shared" si="4"/>
        <v>0</v>
      </c>
      <c r="M18" s="26"/>
      <c r="N18" s="26">
        <f t="shared" si="3"/>
        <v>0</v>
      </c>
      <c r="O18" s="26">
        <f t="shared" si="3"/>
        <v>0</v>
      </c>
      <c r="P18" s="38">
        <f t="shared" si="3"/>
        <v>-37935265.812340826</v>
      </c>
      <c r="Q18" s="26">
        <f t="shared" si="3"/>
        <v>0</v>
      </c>
      <c r="R18" s="38">
        <f t="shared" si="5"/>
        <v>-37935265.812340826</v>
      </c>
    </row>
    <row r="19" spans="1:18">
      <c r="A19" s="83">
        <f t="shared" si="0"/>
        <v>9</v>
      </c>
      <c r="C19" s="84" t="s">
        <v>170</v>
      </c>
      <c r="D19" s="26">
        <f t="shared" si="1"/>
        <v>0</v>
      </c>
      <c r="E19" s="26"/>
      <c r="F19" s="26">
        <f t="shared" si="2"/>
        <v>0</v>
      </c>
      <c r="G19" s="26"/>
      <c r="H19" s="26">
        <f t="shared" si="3"/>
        <v>0</v>
      </c>
      <c r="I19" s="26">
        <f t="shared" si="3"/>
        <v>0</v>
      </c>
      <c r="J19" s="26">
        <f t="shared" si="3"/>
        <v>0</v>
      </c>
      <c r="K19" s="26">
        <f t="shared" si="3"/>
        <v>0</v>
      </c>
      <c r="L19" s="26">
        <f t="shared" si="4"/>
        <v>0</v>
      </c>
      <c r="M19" s="26"/>
      <c r="N19" s="26">
        <f t="shared" si="3"/>
        <v>0</v>
      </c>
      <c r="O19" s="26">
        <f t="shared" si="3"/>
        <v>0</v>
      </c>
      <c r="P19" s="38">
        <f t="shared" si="3"/>
        <v>-38102467.932287842</v>
      </c>
      <c r="Q19" s="26">
        <f t="shared" si="3"/>
        <v>0</v>
      </c>
      <c r="R19" s="38">
        <f t="shared" si="5"/>
        <v>-38102467.932287842</v>
      </c>
    </row>
    <row r="20" spans="1:18">
      <c r="A20" s="83">
        <f t="shared" si="0"/>
        <v>10</v>
      </c>
      <c r="C20" s="84" t="s">
        <v>171</v>
      </c>
      <c r="D20" s="26">
        <f t="shared" si="1"/>
        <v>0</v>
      </c>
      <c r="E20" s="26"/>
      <c r="F20" s="26">
        <f t="shared" si="2"/>
        <v>0</v>
      </c>
      <c r="G20" s="26"/>
      <c r="H20" s="26">
        <f t="shared" si="3"/>
        <v>0</v>
      </c>
      <c r="I20" s="26">
        <f t="shared" si="3"/>
        <v>0</v>
      </c>
      <c r="J20" s="26">
        <f t="shared" si="3"/>
        <v>0</v>
      </c>
      <c r="K20" s="26">
        <f t="shared" si="3"/>
        <v>0</v>
      </c>
      <c r="L20" s="26">
        <f t="shared" si="4"/>
        <v>0</v>
      </c>
      <c r="M20" s="26"/>
      <c r="N20" s="26">
        <f t="shared" si="3"/>
        <v>0</v>
      </c>
      <c r="O20" s="26">
        <f t="shared" si="3"/>
        <v>0</v>
      </c>
      <c r="P20" s="38">
        <f t="shared" si="3"/>
        <v>-38622890.641941622</v>
      </c>
      <c r="Q20" s="26">
        <f t="shared" si="3"/>
        <v>0</v>
      </c>
      <c r="R20" s="38">
        <f t="shared" si="5"/>
        <v>-38622890.641941622</v>
      </c>
    </row>
    <row r="21" spans="1:18">
      <c r="A21" s="83">
        <f t="shared" si="0"/>
        <v>11</v>
      </c>
      <c r="C21" s="84" t="s">
        <v>172</v>
      </c>
      <c r="D21" s="26">
        <f t="shared" si="1"/>
        <v>0</v>
      </c>
      <c r="E21" s="26"/>
      <c r="F21" s="26">
        <f t="shared" si="2"/>
        <v>0</v>
      </c>
      <c r="G21" s="26"/>
      <c r="H21" s="26">
        <f t="shared" si="3"/>
        <v>0</v>
      </c>
      <c r="I21" s="26">
        <f t="shared" si="3"/>
        <v>0</v>
      </c>
      <c r="J21" s="26">
        <f t="shared" si="3"/>
        <v>0</v>
      </c>
      <c r="K21" s="26">
        <f t="shared" si="3"/>
        <v>0</v>
      </c>
      <c r="L21" s="26">
        <f t="shared" si="4"/>
        <v>0</v>
      </c>
      <c r="M21" s="26"/>
      <c r="N21" s="26">
        <f t="shared" si="3"/>
        <v>0</v>
      </c>
      <c r="O21" s="26">
        <f t="shared" si="3"/>
        <v>0</v>
      </c>
      <c r="P21" s="38">
        <f t="shared" si="3"/>
        <v>-38577224.424371175</v>
      </c>
      <c r="Q21" s="26">
        <f t="shared" si="3"/>
        <v>0</v>
      </c>
      <c r="R21" s="38">
        <f t="shared" si="5"/>
        <v>-38577224.424371175</v>
      </c>
    </row>
    <row r="22" spans="1:18">
      <c r="A22" s="83">
        <f t="shared" si="0"/>
        <v>12</v>
      </c>
      <c r="C22" s="84" t="s">
        <v>173</v>
      </c>
      <c r="D22" s="26">
        <f t="shared" si="1"/>
        <v>0</v>
      </c>
      <c r="E22" s="26"/>
      <c r="F22" s="26">
        <f t="shared" si="2"/>
        <v>0</v>
      </c>
      <c r="G22" s="26"/>
      <c r="H22" s="26">
        <f t="shared" si="3"/>
        <v>0</v>
      </c>
      <c r="I22" s="26">
        <f t="shared" si="3"/>
        <v>0</v>
      </c>
      <c r="J22" s="26">
        <f t="shared" si="3"/>
        <v>0</v>
      </c>
      <c r="K22" s="26">
        <f t="shared" si="3"/>
        <v>0</v>
      </c>
      <c r="L22" s="26">
        <f t="shared" si="4"/>
        <v>0</v>
      </c>
      <c r="M22" s="26"/>
      <c r="N22" s="26">
        <f t="shared" si="3"/>
        <v>0</v>
      </c>
      <c r="O22" s="26">
        <f t="shared" si="3"/>
        <v>0</v>
      </c>
      <c r="P22" s="38">
        <f t="shared" si="3"/>
        <v>-38562395.502741963</v>
      </c>
      <c r="Q22" s="26">
        <f t="shared" si="3"/>
        <v>0</v>
      </c>
      <c r="R22" s="38">
        <f t="shared" si="5"/>
        <v>-38562395.502741963</v>
      </c>
    </row>
    <row r="23" spans="1:18">
      <c r="A23" s="83">
        <f t="shared" si="0"/>
        <v>13</v>
      </c>
      <c r="C23" s="84" t="s">
        <v>174</v>
      </c>
      <c r="D23" s="26">
        <f t="shared" si="1"/>
        <v>0</v>
      </c>
      <c r="E23" s="26"/>
      <c r="F23" s="26">
        <f t="shared" si="2"/>
        <v>0</v>
      </c>
      <c r="G23" s="26"/>
      <c r="H23" s="26">
        <f t="shared" si="3"/>
        <v>0</v>
      </c>
      <c r="I23" s="26">
        <f t="shared" si="3"/>
        <v>0</v>
      </c>
      <c r="J23" s="26">
        <f t="shared" si="3"/>
        <v>0</v>
      </c>
      <c r="K23" s="26">
        <f t="shared" si="3"/>
        <v>0</v>
      </c>
      <c r="L23" s="26">
        <f t="shared" si="4"/>
        <v>0</v>
      </c>
      <c r="M23" s="26"/>
      <c r="N23" s="26">
        <f t="shared" si="3"/>
        <v>0</v>
      </c>
      <c r="O23" s="26">
        <f t="shared" si="3"/>
        <v>0</v>
      </c>
      <c r="P23" s="38">
        <f t="shared" si="3"/>
        <v>-35302760.023349985</v>
      </c>
      <c r="Q23" s="26">
        <f t="shared" si="3"/>
        <v>0</v>
      </c>
      <c r="R23" s="38">
        <f t="shared" si="5"/>
        <v>-35302760.023349985</v>
      </c>
    </row>
    <row r="24" spans="1:18">
      <c r="A24" s="83">
        <f t="shared" si="0"/>
        <v>14</v>
      </c>
      <c r="C24" s="484" t="s">
        <v>792</v>
      </c>
      <c r="D24" s="25">
        <f t="shared" si="1"/>
        <v>-38439611</v>
      </c>
      <c r="E24" s="26"/>
      <c r="F24" s="25">
        <f t="shared" si="2"/>
        <v>-3078831152</v>
      </c>
      <c r="G24" s="26"/>
      <c r="H24" s="25">
        <f t="shared" si="3"/>
        <v>-201371662</v>
      </c>
      <c r="I24" s="25">
        <f t="shared" si="3"/>
        <v>0</v>
      </c>
      <c r="J24" s="25">
        <f t="shared" si="3"/>
        <v>810224300</v>
      </c>
      <c r="K24" s="26">
        <f t="shared" si="3"/>
        <v>0</v>
      </c>
      <c r="L24" s="25">
        <f t="shared" si="4"/>
        <v>0</v>
      </c>
      <c r="M24" s="26"/>
      <c r="N24" s="26">
        <f t="shared" si="3"/>
        <v>0</v>
      </c>
      <c r="O24" s="26">
        <f t="shared" si="3"/>
        <v>0</v>
      </c>
      <c r="P24" s="38">
        <f t="shared" si="3"/>
        <v>-36763344.409899876</v>
      </c>
      <c r="Q24" s="26">
        <f t="shared" si="3"/>
        <v>0</v>
      </c>
      <c r="R24" s="25">
        <f t="shared" si="5"/>
        <v>-2545181469.4098997</v>
      </c>
    </row>
    <row r="25" spans="1:18">
      <c r="A25" s="83">
        <f t="shared" si="0"/>
        <v>15</v>
      </c>
      <c r="C25" s="84"/>
      <c r="D25" s="34"/>
      <c r="E25" s="18"/>
      <c r="F25" s="34"/>
      <c r="H25" s="34"/>
      <c r="J25" s="34"/>
      <c r="K25" s="18"/>
      <c r="L25" s="34"/>
      <c r="M25" s="18"/>
      <c r="N25" s="34"/>
      <c r="O25" s="18"/>
      <c r="P25" s="168"/>
      <c r="Q25" s="105"/>
      <c r="R25" s="34"/>
    </row>
    <row r="26" spans="1:18">
      <c r="A26" s="83">
        <f t="shared" si="0"/>
        <v>16</v>
      </c>
      <c r="C26" s="85" t="s">
        <v>201</v>
      </c>
      <c r="D26" s="40">
        <f>SUM(D12:D24)/2</f>
        <v>-38365361</v>
      </c>
      <c r="E26" s="162"/>
      <c r="F26" s="40">
        <f>SUM(F12:F24)/2</f>
        <v>-2933000817</v>
      </c>
      <c r="G26" s="26"/>
      <c r="H26" s="40">
        <f>SUM(H12:H24)/2</f>
        <v>-205685196.5</v>
      </c>
      <c r="I26" s="169"/>
      <c r="J26" s="40">
        <f>SUM(J12:J24)/2</f>
        <v>769785687</v>
      </c>
      <c r="K26" s="170"/>
      <c r="L26" s="40">
        <f>SUM(L12:L24)/2</f>
        <v>0</v>
      </c>
      <c r="M26" s="170"/>
      <c r="N26" s="40">
        <f>SUM(N12:N24)/2</f>
        <v>0</v>
      </c>
      <c r="O26" s="164"/>
      <c r="P26" s="40">
        <f>SUM(P12:P24)/13</f>
        <v>-28378998.868661217</v>
      </c>
      <c r="Q26" s="108"/>
      <c r="R26" s="40">
        <f>SUM(D26:P26)</f>
        <v>-2435644686.3686614</v>
      </c>
    </row>
    <row r="27" spans="1:18">
      <c r="A27" s="83">
        <f t="shared" si="0"/>
        <v>17</v>
      </c>
      <c r="C27" s="85" t="s">
        <v>46</v>
      </c>
      <c r="D27" s="26">
        <f t="shared" ref="D27:F28" si="6">+D52+D77</f>
        <v>0</v>
      </c>
      <c r="E27" s="162"/>
      <c r="F27" s="26">
        <v>0</v>
      </c>
      <c r="G27" s="26"/>
      <c r="H27" s="26">
        <f>+H52+H77</f>
        <v>0</v>
      </c>
      <c r="I27" s="169"/>
      <c r="J27" s="26">
        <f>+J52+J77</f>
        <v>30863312</v>
      </c>
      <c r="K27" s="170"/>
      <c r="L27" s="26">
        <v>0</v>
      </c>
      <c r="M27" s="170"/>
      <c r="N27" s="26">
        <f>+N52+N77</f>
        <v>0</v>
      </c>
      <c r="O27" s="164"/>
      <c r="P27" s="26">
        <f>+P52+P77</f>
        <v>0</v>
      </c>
      <c r="Q27" s="108"/>
      <c r="R27" s="26">
        <f>+R52+R77</f>
        <v>30863312</v>
      </c>
    </row>
    <row r="28" spans="1:18">
      <c r="A28" s="83">
        <f t="shared" si="0"/>
        <v>18</v>
      </c>
      <c r="C28" s="85" t="s">
        <v>47</v>
      </c>
      <c r="D28" s="41">
        <f t="shared" si="6"/>
        <v>0</v>
      </c>
      <c r="E28" s="162"/>
      <c r="F28" s="42">
        <f t="shared" si="6"/>
        <v>-185430023.5</v>
      </c>
      <c r="G28" s="26"/>
      <c r="H28" s="42">
        <f>+H53+H78</f>
        <v>-2908622.5</v>
      </c>
      <c r="I28" s="169"/>
      <c r="J28" s="41">
        <f>+J53+J78</f>
        <v>31032256.5</v>
      </c>
      <c r="K28" s="170"/>
      <c r="L28" s="41">
        <v>0</v>
      </c>
      <c r="M28" s="170"/>
      <c r="N28" s="41">
        <f>+N53+N78</f>
        <v>0</v>
      </c>
      <c r="O28" s="164"/>
      <c r="P28" s="41">
        <f>+P53+P78</f>
        <v>0</v>
      </c>
      <c r="Q28" s="108"/>
      <c r="R28" s="42">
        <f>+R53+R78</f>
        <v>-157306389.5</v>
      </c>
    </row>
    <row r="29" spans="1:18">
      <c r="A29" s="83">
        <f t="shared" si="0"/>
        <v>19</v>
      </c>
      <c r="C29" s="85"/>
      <c r="D29" s="40"/>
      <c r="E29" s="162"/>
      <c r="F29" s="40"/>
      <c r="G29" s="26"/>
      <c r="H29" s="40"/>
      <c r="I29" s="169"/>
      <c r="J29" s="40"/>
      <c r="K29" s="170"/>
      <c r="L29" s="40"/>
      <c r="M29" s="170"/>
      <c r="N29" s="40"/>
      <c r="O29" s="164"/>
      <c r="P29" s="40"/>
      <c r="Q29" s="108"/>
      <c r="R29" s="40"/>
    </row>
    <row r="30" spans="1:18" ht="13.5" thickBot="1">
      <c r="A30" s="83">
        <f t="shared" si="0"/>
        <v>20</v>
      </c>
      <c r="C30" s="85" t="s">
        <v>202</v>
      </c>
      <c r="D30" s="36">
        <f>+D26-D27-D28</f>
        <v>-38365361</v>
      </c>
      <c r="E30" s="162"/>
      <c r="F30" s="36">
        <f>+F26-F27-F28</f>
        <v>-2747570793.5</v>
      </c>
      <c r="G30" s="26"/>
      <c r="H30" s="36">
        <f>+H26-H27-H28</f>
        <v>-202776574</v>
      </c>
      <c r="I30" s="169"/>
      <c r="J30" s="36">
        <f>+J26-J27-J28</f>
        <v>707890118.5</v>
      </c>
      <c r="K30" s="170"/>
      <c r="L30" s="36">
        <f>+L26-L27-L28</f>
        <v>0</v>
      </c>
      <c r="M30" s="170"/>
      <c r="N30" s="36">
        <f>+N26-N27-N28</f>
        <v>0</v>
      </c>
      <c r="O30" s="164"/>
      <c r="P30" s="36">
        <f>+P26-P27-P28</f>
        <v>-28378998.868661217</v>
      </c>
      <c r="Q30" s="108"/>
      <c r="R30" s="36">
        <f>+R26-R27-R28</f>
        <v>-2309201608.8686614</v>
      </c>
    </row>
    <row r="31" spans="1:18" ht="13.5" thickTop="1">
      <c r="A31" s="83">
        <f t="shared" si="0"/>
        <v>21</v>
      </c>
      <c r="D31" s="18"/>
      <c r="E31" s="18"/>
      <c r="F31" s="18"/>
      <c r="H31" s="18"/>
      <c r="J31" s="18"/>
      <c r="K31" s="18"/>
      <c r="L31" s="18"/>
      <c r="M31" s="18"/>
      <c r="N31" s="18"/>
      <c r="O31" s="18"/>
      <c r="P31" s="18"/>
      <c r="Q31" s="18"/>
      <c r="R31" s="18"/>
    </row>
    <row r="32" spans="1:18">
      <c r="A32" s="83">
        <f t="shared" si="0"/>
        <v>22</v>
      </c>
      <c r="D32" s="7"/>
      <c r="E32" s="7"/>
      <c r="F32" s="7"/>
      <c r="G32" s="7"/>
      <c r="K32" s="76"/>
      <c r="M32" s="76"/>
      <c r="O32" s="76"/>
      <c r="P32" s="76"/>
      <c r="Q32" s="76"/>
      <c r="R32" s="77"/>
    </row>
    <row r="33" spans="1:18">
      <c r="A33" s="83">
        <f t="shared" si="0"/>
        <v>23</v>
      </c>
      <c r="D33" s="884" t="s">
        <v>35</v>
      </c>
      <c r="E33" s="884"/>
      <c r="F33" s="884"/>
      <c r="G33" s="884"/>
      <c r="H33" s="884"/>
      <c r="I33" s="884"/>
      <c r="J33" s="884"/>
      <c r="K33" s="76"/>
      <c r="L33" s="166" t="s">
        <v>222</v>
      </c>
      <c r="M33" s="76"/>
      <c r="N33" s="883" t="s">
        <v>36</v>
      </c>
      <c r="O33" s="883"/>
      <c r="P33" s="883"/>
      <c r="Q33" s="76"/>
      <c r="R33" s="77" t="s">
        <v>142</v>
      </c>
    </row>
    <row r="34" spans="1:18" ht="13.5" customHeight="1">
      <c r="A34" s="83">
        <f t="shared" si="0"/>
        <v>24</v>
      </c>
      <c r="D34" s="76" t="s">
        <v>175</v>
      </c>
      <c r="E34" s="78"/>
      <c r="F34" s="76" t="s">
        <v>175</v>
      </c>
      <c r="G34" s="78"/>
      <c r="H34" s="78" t="s">
        <v>175</v>
      </c>
      <c r="I34" s="78"/>
      <c r="J34" s="76" t="s">
        <v>175</v>
      </c>
      <c r="L34" s="76" t="s">
        <v>175</v>
      </c>
      <c r="N34" s="78" t="s">
        <v>38</v>
      </c>
      <c r="O34" s="78"/>
      <c r="P34" s="78" t="s">
        <v>40</v>
      </c>
      <c r="R34" s="77" t="s">
        <v>160</v>
      </c>
    </row>
    <row r="35" spans="1:18">
      <c r="A35" s="83">
        <f t="shared" si="0"/>
        <v>25</v>
      </c>
      <c r="C35" s="7"/>
      <c r="D35" s="76">
        <v>281</v>
      </c>
      <c r="E35" s="78"/>
      <c r="F35" s="77">
        <v>282</v>
      </c>
      <c r="G35" s="78"/>
      <c r="H35" s="76">
        <v>283</v>
      </c>
      <c r="J35" s="76">
        <v>190</v>
      </c>
      <c r="L35" s="76">
        <v>255</v>
      </c>
      <c r="N35" s="76" t="s">
        <v>39</v>
      </c>
      <c r="P35" s="167" t="s">
        <v>244</v>
      </c>
      <c r="Q35" s="77"/>
      <c r="R35" s="167" t="s">
        <v>37</v>
      </c>
    </row>
    <row r="36" spans="1:18">
      <c r="A36" s="83">
        <f t="shared" si="0"/>
        <v>26</v>
      </c>
      <c r="B36" s="81" t="s">
        <v>30</v>
      </c>
      <c r="C36" s="82"/>
      <c r="D36" s="35"/>
      <c r="F36" s="35"/>
      <c r="H36" s="35"/>
      <c r="J36" s="35"/>
      <c r="L36" s="35"/>
      <c r="N36" s="35"/>
      <c r="R36" s="35"/>
    </row>
    <row r="37" spans="1:18">
      <c r="A37" s="83">
        <f t="shared" si="0"/>
        <v>27</v>
      </c>
      <c r="C37" s="484" t="s">
        <v>327</v>
      </c>
      <c r="D37" s="25">
        <v>-37477632</v>
      </c>
      <c r="E37" s="26"/>
      <c r="F37" s="25">
        <v>-2494783194</v>
      </c>
      <c r="G37" s="26"/>
      <c r="H37" s="25">
        <v>-176455657</v>
      </c>
      <c r="I37" s="26"/>
      <c r="J37" s="25">
        <v>667764258</v>
      </c>
      <c r="K37" s="26"/>
      <c r="L37" s="25">
        <f>-36069010+36069010</f>
        <v>0</v>
      </c>
      <c r="M37" s="26"/>
      <c r="N37" s="25">
        <v>0</v>
      </c>
      <c r="O37" s="18"/>
      <c r="P37" s="462">
        <f>-'WP PreFunded AFUDC Rev 1'!H5</f>
        <v>-7864019.9881124496</v>
      </c>
      <c r="Q37" s="25"/>
      <c r="R37" s="25">
        <f>SUM(D37:Q37)</f>
        <v>-2048816244.9881124</v>
      </c>
    </row>
    <row r="38" spans="1:18">
      <c r="A38" s="83">
        <f t="shared" si="0"/>
        <v>28</v>
      </c>
      <c r="C38" s="484" t="s">
        <v>791</v>
      </c>
      <c r="D38" s="26"/>
      <c r="E38" s="26"/>
      <c r="F38" s="26"/>
      <c r="G38" s="26"/>
      <c r="H38" s="26"/>
      <c r="I38" s="26"/>
      <c r="J38" s="26"/>
      <c r="K38" s="26"/>
      <c r="L38" s="26"/>
      <c r="M38" s="26"/>
      <c r="N38" s="26"/>
      <c r="O38" s="18"/>
      <c r="P38" s="518">
        <f>-'WP PreFunded AFUDC Rev 1'!H6</f>
        <v>-7869735.0909546539</v>
      </c>
      <c r="Q38" s="105"/>
      <c r="R38" s="25">
        <f t="shared" ref="R38:R49" si="7">SUM(D38:Q38)</f>
        <v>-7869735.0909546539</v>
      </c>
    </row>
    <row r="39" spans="1:18">
      <c r="A39" s="83">
        <f t="shared" si="0"/>
        <v>29</v>
      </c>
      <c r="C39" s="84" t="s">
        <v>166</v>
      </c>
      <c r="D39" s="26"/>
      <c r="E39" s="26"/>
      <c r="F39" s="26"/>
      <c r="G39" s="26"/>
      <c r="H39" s="26"/>
      <c r="I39" s="26"/>
      <c r="J39" s="26"/>
      <c r="K39" s="26"/>
      <c r="L39" s="26"/>
      <c r="M39" s="26"/>
      <c r="N39" s="26"/>
      <c r="O39" s="18"/>
      <c r="P39" s="518">
        <f>-'WP PreFunded AFUDC Rev 1'!H7</f>
        <v>-7858354.1937968582</v>
      </c>
      <c r="Q39" s="105"/>
      <c r="R39" s="25">
        <f t="shared" si="7"/>
        <v>-7858354.1937968582</v>
      </c>
    </row>
    <row r="40" spans="1:18">
      <c r="A40" s="83">
        <f t="shared" si="0"/>
        <v>30</v>
      </c>
      <c r="C40" s="84" t="s">
        <v>167</v>
      </c>
      <c r="D40" s="26"/>
      <c r="E40" s="26"/>
      <c r="F40" s="26"/>
      <c r="G40" s="26"/>
      <c r="H40" s="26"/>
      <c r="I40" s="26"/>
      <c r="J40" s="26"/>
      <c r="K40" s="26"/>
      <c r="L40" s="26"/>
      <c r="M40" s="26"/>
      <c r="N40" s="26"/>
      <c r="O40" s="18"/>
      <c r="P40" s="518">
        <f>-'WP PreFunded AFUDC Rev 1'!H8</f>
        <v>-10001714.016658925</v>
      </c>
      <c r="Q40" s="105"/>
      <c r="R40" s="25">
        <f t="shared" si="7"/>
        <v>-10001714.016658925</v>
      </c>
    </row>
    <row r="41" spans="1:18">
      <c r="A41" s="83">
        <f t="shared" si="0"/>
        <v>31</v>
      </c>
      <c r="C41" s="84" t="s">
        <v>168</v>
      </c>
      <c r="D41" s="26"/>
      <c r="E41" s="26"/>
      <c r="F41" s="26"/>
      <c r="G41" s="26"/>
      <c r="H41" s="26"/>
      <c r="I41" s="26"/>
      <c r="J41" s="26"/>
      <c r="K41" s="26"/>
      <c r="L41" s="26"/>
      <c r="M41" s="26"/>
      <c r="N41" s="26"/>
      <c r="O41" s="18"/>
      <c r="P41" s="518">
        <f>-'WP PreFunded AFUDC Rev 1'!H9</f>
        <v>-34815902.368539736</v>
      </c>
      <c r="Q41" s="105"/>
      <c r="R41" s="25">
        <f t="shared" si="7"/>
        <v>-34815902.368539736</v>
      </c>
    </row>
    <row r="42" spans="1:18">
      <c r="A42" s="83">
        <f t="shared" si="0"/>
        <v>32</v>
      </c>
      <c r="C42" s="84" t="s">
        <v>140</v>
      </c>
      <c r="D42" s="26"/>
      <c r="E42" s="26"/>
      <c r="F42" s="26"/>
      <c r="G42" s="26"/>
      <c r="H42" s="26"/>
      <c r="I42" s="26"/>
      <c r="J42" s="26"/>
      <c r="K42" s="26"/>
      <c r="L42" s="26"/>
      <c r="M42" s="26"/>
      <c r="N42" s="26"/>
      <c r="O42" s="18"/>
      <c r="P42" s="518">
        <f>-'WP PreFunded AFUDC Rev 1'!H10</f>
        <v>-36650910.887599818</v>
      </c>
      <c r="Q42" s="105"/>
      <c r="R42" s="25">
        <f t="shared" si="7"/>
        <v>-36650910.887599818</v>
      </c>
    </row>
    <row r="43" spans="1:18">
      <c r="A43" s="83">
        <f t="shared" si="0"/>
        <v>33</v>
      </c>
      <c r="C43" s="84" t="s">
        <v>169</v>
      </c>
      <c r="D43" s="26"/>
      <c r="E43" s="26"/>
      <c r="F43" s="26"/>
      <c r="G43" s="26"/>
      <c r="H43" s="26"/>
      <c r="I43" s="26"/>
      <c r="J43" s="26"/>
      <c r="K43" s="26"/>
      <c r="L43" s="26"/>
      <c r="M43" s="26"/>
      <c r="N43" s="26"/>
      <c r="O43" s="18"/>
      <c r="P43" s="518">
        <f>-'WP PreFunded AFUDC Rev 1'!H11</f>
        <v>-37935265.812340826</v>
      </c>
      <c r="Q43" s="105"/>
      <c r="R43" s="25">
        <f t="shared" si="7"/>
        <v>-37935265.812340826</v>
      </c>
    </row>
    <row r="44" spans="1:18">
      <c r="A44" s="83">
        <f t="shared" si="0"/>
        <v>34</v>
      </c>
      <c r="C44" s="84" t="s">
        <v>170</v>
      </c>
      <c r="D44" s="26"/>
      <c r="E44" s="26"/>
      <c r="F44" s="26"/>
      <c r="G44" s="26"/>
      <c r="H44" s="26"/>
      <c r="I44" s="26"/>
      <c r="J44" s="26"/>
      <c r="K44" s="26"/>
      <c r="L44" s="26"/>
      <c r="M44" s="26"/>
      <c r="N44" s="26"/>
      <c r="O44" s="18"/>
      <c r="P44" s="518">
        <f>-'WP PreFunded AFUDC Rev 1'!H12</f>
        <v>-38102467.932287842</v>
      </c>
      <c r="Q44" s="105"/>
      <c r="R44" s="25">
        <f t="shared" si="7"/>
        <v>-38102467.932287842</v>
      </c>
    </row>
    <row r="45" spans="1:18">
      <c r="A45" s="83">
        <f t="shared" si="0"/>
        <v>35</v>
      </c>
      <c r="C45" s="84" t="s">
        <v>171</v>
      </c>
      <c r="D45" s="26"/>
      <c r="E45" s="26"/>
      <c r="F45" s="26"/>
      <c r="G45" s="26"/>
      <c r="H45" s="26"/>
      <c r="I45" s="26"/>
      <c r="J45" s="26"/>
      <c r="K45" s="26"/>
      <c r="L45" s="26"/>
      <c r="M45" s="26"/>
      <c r="N45" s="26"/>
      <c r="O45" s="18"/>
      <c r="P45" s="518">
        <f>-'WP PreFunded AFUDC Rev 1'!H13</f>
        <v>-38622890.641941622</v>
      </c>
      <c r="Q45" s="105"/>
      <c r="R45" s="25">
        <f t="shared" si="7"/>
        <v>-38622890.641941622</v>
      </c>
    </row>
    <row r="46" spans="1:18">
      <c r="A46" s="83">
        <f t="shared" si="0"/>
        <v>36</v>
      </c>
      <c r="C46" s="84" t="s">
        <v>172</v>
      </c>
      <c r="D46" s="26"/>
      <c r="E46" s="26"/>
      <c r="F46" s="26"/>
      <c r="G46" s="26"/>
      <c r="H46" s="26"/>
      <c r="I46" s="26"/>
      <c r="J46" s="26"/>
      <c r="K46" s="26"/>
      <c r="L46" s="26"/>
      <c r="M46" s="26"/>
      <c r="N46" s="26"/>
      <c r="O46" s="18"/>
      <c r="P46" s="518">
        <f>-'WP PreFunded AFUDC Rev 1'!H14</f>
        <v>-38577224.424371175</v>
      </c>
      <c r="Q46" s="105"/>
      <c r="R46" s="25">
        <f t="shared" si="7"/>
        <v>-38577224.424371175</v>
      </c>
    </row>
    <row r="47" spans="1:18">
      <c r="A47" s="83">
        <f t="shared" si="0"/>
        <v>37</v>
      </c>
      <c r="C47" s="84" t="s">
        <v>173</v>
      </c>
      <c r="D47" s="26"/>
      <c r="E47" s="26"/>
      <c r="F47" s="26"/>
      <c r="G47" s="26"/>
      <c r="H47" s="26"/>
      <c r="I47" s="26"/>
      <c r="J47" s="26"/>
      <c r="K47" s="26"/>
      <c r="L47" s="26"/>
      <c r="M47" s="26"/>
      <c r="N47" s="26"/>
      <c r="O47" s="18"/>
      <c r="P47" s="518">
        <f>-'WP PreFunded AFUDC Rev 1'!H15</f>
        <v>-38562395.502741963</v>
      </c>
      <c r="Q47" s="105"/>
      <c r="R47" s="25">
        <f t="shared" si="7"/>
        <v>-38562395.502741963</v>
      </c>
    </row>
    <row r="48" spans="1:18">
      <c r="A48" s="83">
        <f t="shared" si="0"/>
        <v>38</v>
      </c>
      <c r="C48" s="84" t="s">
        <v>174</v>
      </c>
      <c r="D48" s="26"/>
      <c r="E48" s="26"/>
      <c r="F48" s="26"/>
      <c r="G48" s="26"/>
      <c r="H48" s="26"/>
      <c r="I48" s="26"/>
      <c r="J48" s="26"/>
      <c r="K48" s="26"/>
      <c r="L48" s="26"/>
      <c r="M48" s="26"/>
      <c r="N48" s="26"/>
      <c r="O48" s="18"/>
      <c r="P48" s="518">
        <f>-'WP PreFunded AFUDC Rev 1'!H16</f>
        <v>-35302760.023349985</v>
      </c>
      <c r="Q48" s="105"/>
      <c r="R48" s="25">
        <f t="shared" si="7"/>
        <v>-35302760.023349985</v>
      </c>
    </row>
    <row r="49" spans="1:18">
      <c r="A49" s="83">
        <f t="shared" si="0"/>
        <v>39</v>
      </c>
      <c r="C49" s="484" t="s">
        <v>792</v>
      </c>
      <c r="D49" s="25">
        <v>-37729105</v>
      </c>
      <c r="E49" s="26"/>
      <c r="F49" s="25">
        <v>-2753662213</v>
      </c>
      <c r="G49" s="26"/>
      <c r="H49" s="25">
        <v>-163523802</v>
      </c>
      <c r="I49" s="26"/>
      <c r="J49" s="25">
        <v>743977350</v>
      </c>
      <c r="K49" s="26"/>
      <c r="L49" s="25">
        <f>-36069010+36069010</f>
        <v>0</v>
      </c>
      <c r="M49" s="26"/>
      <c r="N49" s="25">
        <v>0</v>
      </c>
      <c r="O49" s="18"/>
      <c r="P49" s="518">
        <f>-'WP PreFunded AFUDC Rev 1'!H17</f>
        <v>-36763344.409899876</v>
      </c>
      <c r="Q49" s="105"/>
      <c r="R49" s="25">
        <f t="shared" si="7"/>
        <v>-2247701114.4098997</v>
      </c>
    </row>
    <row r="50" spans="1:18">
      <c r="A50" s="83">
        <f t="shared" si="0"/>
        <v>40</v>
      </c>
      <c r="C50" s="84"/>
      <c r="D50" s="34"/>
      <c r="E50" s="18"/>
      <c r="F50" s="34"/>
      <c r="H50" s="34"/>
      <c r="J50" s="34"/>
      <c r="K50" s="18"/>
      <c r="L50" s="34"/>
      <c r="M50" s="18"/>
      <c r="N50" s="34"/>
      <c r="O50" s="18"/>
      <c r="P50" s="168"/>
      <c r="Q50" s="105"/>
      <c r="R50" s="34"/>
    </row>
    <row r="51" spans="1:18">
      <c r="A51" s="83">
        <f t="shared" si="0"/>
        <v>41</v>
      </c>
      <c r="C51" s="85" t="s">
        <v>201</v>
      </c>
      <c r="D51" s="40">
        <f>SUM(D37:D49)/2</f>
        <v>-37603368.5</v>
      </c>
      <c r="E51" s="162"/>
      <c r="F51" s="40">
        <f>SUM(F37:F49)/2</f>
        <v>-2624222703.5</v>
      </c>
      <c r="G51" s="26"/>
      <c r="H51" s="40">
        <f>SUM(H37:H49)/2</f>
        <v>-169989729.5</v>
      </c>
      <c r="I51" s="169"/>
      <c r="J51" s="40">
        <f>SUM(J37:J49)/2</f>
        <v>705870804</v>
      </c>
      <c r="K51" s="170"/>
      <c r="L51" s="40">
        <f>SUM(L37:L49)/2</f>
        <v>0</v>
      </c>
      <c r="M51" s="170"/>
      <c r="N51" s="40">
        <f>SUM(N37:N49)/2</f>
        <v>0</v>
      </c>
      <c r="O51" s="164"/>
      <c r="P51" s="40">
        <f>SUM(P37:P49)/13</f>
        <v>-28378998.868661217</v>
      </c>
      <c r="Q51" s="108"/>
      <c r="R51" s="40">
        <f>SUM(D51:P51)</f>
        <v>-2154323996.3686614</v>
      </c>
    </row>
    <row r="52" spans="1:18">
      <c r="A52" s="83">
        <f t="shared" si="0"/>
        <v>42</v>
      </c>
      <c r="C52" s="85" t="s">
        <v>46</v>
      </c>
      <c r="D52" s="26">
        <v>0</v>
      </c>
      <c r="E52" s="162"/>
      <c r="F52" s="26">
        <v>0</v>
      </c>
      <c r="G52" s="26"/>
      <c r="H52" s="26">
        <v>0</v>
      </c>
      <c r="I52" s="169"/>
      <c r="J52" s="26">
        <f>(28425642+27631779)/2</f>
        <v>28028710.5</v>
      </c>
      <c r="K52" s="170"/>
      <c r="L52" s="38">
        <v>0</v>
      </c>
      <c r="M52" s="170"/>
      <c r="N52" s="26">
        <v>0</v>
      </c>
      <c r="O52" s="164"/>
      <c r="P52" s="26">
        <v>0</v>
      </c>
      <c r="Q52" s="108"/>
      <c r="R52" s="26">
        <f>SUM(D52:P52)</f>
        <v>28028710.5</v>
      </c>
    </row>
    <row r="53" spans="1:18">
      <c r="A53" s="83">
        <f t="shared" si="0"/>
        <v>43</v>
      </c>
      <c r="C53" s="85" t="s">
        <v>47</v>
      </c>
      <c r="D53" s="42">
        <v>0</v>
      </c>
      <c r="E53" s="18"/>
      <c r="F53" s="506">
        <f>(-192270956+25479328-193944792+25997117)/2</f>
        <v>-167369651.5</v>
      </c>
      <c r="G53" s="66"/>
      <c r="H53" s="42">
        <f>-(2955232+2862013)/2</f>
        <v>-2908622.5</v>
      </c>
      <c r="I53" s="87"/>
      <c r="J53" s="41">
        <f>(20242042-242243+213386+19151230)/2</f>
        <v>19682207.5</v>
      </c>
      <c r="K53" s="171"/>
      <c r="L53" s="42">
        <v>0</v>
      </c>
      <c r="M53" s="171"/>
      <c r="N53" s="42">
        <v>0</v>
      </c>
      <c r="O53" s="18"/>
      <c r="P53" s="42">
        <v>0</v>
      </c>
      <c r="Q53" s="108"/>
      <c r="R53" s="42">
        <f>SUM(D53:P53)</f>
        <v>-150596066.5</v>
      </c>
    </row>
    <row r="54" spans="1:18">
      <c r="A54" s="83">
        <f t="shared" si="0"/>
        <v>44</v>
      </c>
      <c r="C54" s="85"/>
      <c r="D54" s="40"/>
      <c r="E54" s="18"/>
      <c r="F54" s="40"/>
      <c r="H54" s="40"/>
      <c r="I54" s="72"/>
      <c r="J54" s="40"/>
      <c r="K54" s="171"/>
      <c r="L54" s="40"/>
      <c r="M54" s="171"/>
      <c r="N54" s="40"/>
      <c r="O54" s="25"/>
      <c r="P54" s="40"/>
      <c r="Q54" s="108"/>
      <c r="R54" s="40"/>
    </row>
    <row r="55" spans="1:18" ht="13.5" thickBot="1">
      <c r="A55" s="83">
        <f t="shared" si="0"/>
        <v>45</v>
      </c>
      <c r="C55" s="85" t="s">
        <v>202</v>
      </c>
      <c r="D55" s="36">
        <f>+D51-D52-D53</f>
        <v>-37603368.5</v>
      </c>
      <c r="E55" s="25"/>
      <c r="F55" s="36">
        <f>+F51-F52-F53</f>
        <v>-2456853052</v>
      </c>
      <c r="G55" s="172"/>
      <c r="H55" s="36">
        <f>+H51-H52-H53</f>
        <v>-167081107</v>
      </c>
      <c r="I55" s="173"/>
      <c r="J55" s="36">
        <f>+J51-J52-J53</f>
        <v>658159886</v>
      </c>
      <c r="K55" s="174"/>
      <c r="L55" s="36">
        <f>+L51-L52-L53</f>
        <v>0</v>
      </c>
      <c r="M55" s="174"/>
      <c r="N55" s="36">
        <f>+N51-N52-N53</f>
        <v>0</v>
      </c>
      <c r="O55" s="25"/>
      <c r="P55" s="36">
        <f>+P51-P52-P53</f>
        <v>-28378998.868661217</v>
      </c>
      <c r="Q55" s="175"/>
      <c r="R55" s="36">
        <f>+R51-R52-R53</f>
        <v>-2031756640.3686614</v>
      </c>
    </row>
    <row r="56" spans="1:18" ht="13.5" thickTop="1">
      <c r="A56" s="83">
        <f t="shared" si="0"/>
        <v>46</v>
      </c>
      <c r="C56" s="176"/>
      <c r="D56" s="40"/>
      <c r="E56" s="18"/>
      <c r="F56" s="40"/>
      <c r="H56" s="40"/>
      <c r="I56" s="72"/>
      <c r="J56" s="43"/>
      <c r="K56" s="171"/>
      <c r="L56" s="40"/>
      <c r="M56" s="171"/>
      <c r="N56" s="40"/>
      <c r="O56" s="25"/>
      <c r="P56" s="40"/>
      <c r="Q56" s="108"/>
      <c r="R56" s="43"/>
    </row>
    <row r="57" spans="1:18">
      <c r="A57" s="83">
        <f t="shared" si="0"/>
        <v>47</v>
      </c>
      <c r="C57" s="44"/>
      <c r="D57" s="7"/>
      <c r="E57" s="7"/>
      <c r="F57" s="7"/>
      <c r="G57" s="7"/>
      <c r="H57" s="7"/>
      <c r="I57" s="7"/>
      <c r="J57" s="7"/>
      <c r="K57" s="7"/>
      <c r="L57" s="7"/>
      <c r="M57" s="7"/>
      <c r="N57" s="7"/>
      <c r="O57" s="7"/>
      <c r="P57" s="7"/>
      <c r="Q57" s="7"/>
      <c r="R57" s="7"/>
    </row>
    <row r="58" spans="1:18">
      <c r="A58" s="83">
        <f t="shared" si="0"/>
        <v>48</v>
      </c>
      <c r="C58" s="7"/>
      <c r="D58" s="884" t="s">
        <v>35</v>
      </c>
      <c r="E58" s="884"/>
      <c r="F58" s="884"/>
      <c r="G58" s="884"/>
      <c r="H58" s="884"/>
      <c r="I58" s="884"/>
      <c r="J58" s="884"/>
      <c r="K58" s="76"/>
      <c r="L58" s="166" t="s">
        <v>222</v>
      </c>
      <c r="M58" s="76"/>
      <c r="N58" s="883" t="s">
        <v>36</v>
      </c>
      <c r="O58" s="883"/>
      <c r="P58" s="883"/>
      <c r="Q58" s="76"/>
      <c r="R58" s="77" t="s">
        <v>142</v>
      </c>
    </row>
    <row r="59" spans="1:18">
      <c r="A59" s="83">
        <f t="shared" si="0"/>
        <v>49</v>
      </c>
      <c r="C59" s="7"/>
      <c r="D59" s="76" t="s">
        <v>175</v>
      </c>
      <c r="E59" s="78"/>
      <c r="F59" s="76" t="s">
        <v>175</v>
      </c>
      <c r="G59" s="78"/>
      <c r="H59" s="78" t="s">
        <v>175</v>
      </c>
      <c r="I59" s="78"/>
      <c r="J59" s="76" t="s">
        <v>175</v>
      </c>
      <c r="L59" s="76" t="s">
        <v>175</v>
      </c>
      <c r="N59" s="78" t="s">
        <v>38</v>
      </c>
      <c r="O59" s="78"/>
      <c r="P59" s="78" t="s">
        <v>40</v>
      </c>
      <c r="R59" s="77" t="s">
        <v>160</v>
      </c>
    </row>
    <row r="60" spans="1:18">
      <c r="A60" s="83">
        <f t="shared" si="0"/>
        <v>50</v>
      </c>
      <c r="C60" s="7"/>
      <c r="D60" s="76">
        <v>281</v>
      </c>
      <c r="E60" s="78"/>
      <c r="F60" s="77">
        <v>282</v>
      </c>
      <c r="G60" s="78"/>
      <c r="H60" s="76">
        <v>283</v>
      </c>
      <c r="J60" s="76">
        <v>190</v>
      </c>
      <c r="L60" s="76">
        <v>255</v>
      </c>
      <c r="N60" s="76" t="s">
        <v>39</v>
      </c>
      <c r="P60" s="167" t="s">
        <v>244</v>
      </c>
      <c r="Q60" s="77"/>
      <c r="R60" s="167" t="s">
        <v>37</v>
      </c>
    </row>
    <row r="61" spans="1:18">
      <c r="A61" s="83">
        <f t="shared" si="0"/>
        <v>51</v>
      </c>
      <c r="B61" s="81" t="s">
        <v>31</v>
      </c>
      <c r="C61" s="82"/>
      <c r="D61" s="35"/>
      <c r="F61" s="35"/>
      <c r="H61" s="35"/>
      <c r="J61" s="35"/>
      <c r="L61" s="35"/>
      <c r="N61" s="35"/>
      <c r="R61" s="35"/>
    </row>
    <row r="62" spans="1:18">
      <c r="A62" s="83">
        <f t="shared" si="0"/>
        <v>52</v>
      </c>
      <c r="C62" s="484" t="s">
        <v>327</v>
      </c>
      <c r="D62" s="25">
        <v>-813479</v>
      </c>
      <c r="E62" s="209"/>
      <c r="F62" s="25">
        <v>-292387288</v>
      </c>
      <c r="G62" s="209"/>
      <c r="H62" s="25">
        <v>-33543074</v>
      </c>
      <c r="I62" s="209"/>
      <c r="J62" s="25">
        <v>61582816</v>
      </c>
      <c r="K62" s="26"/>
      <c r="L62" s="25">
        <f>-10007033+10007033</f>
        <v>0</v>
      </c>
      <c r="M62" s="26"/>
      <c r="N62" s="25">
        <v>0</v>
      </c>
      <c r="O62" s="18"/>
      <c r="P62" s="25">
        <v>0</v>
      </c>
      <c r="Q62" s="25"/>
      <c r="R62" s="25">
        <f>SUM(D62:Q62)</f>
        <v>-265161025</v>
      </c>
    </row>
    <row r="63" spans="1:18">
      <c r="A63" s="83">
        <f t="shared" si="0"/>
        <v>53</v>
      </c>
      <c r="C63" s="484" t="s">
        <v>791</v>
      </c>
      <c r="D63" s="26"/>
      <c r="E63" s="26"/>
      <c r="F63" s="26"/>
      <c r="G63" s="26"/>
      <c r="H63" s="26"/>
      <c r="I63" s="26"/>
      <c r="J63" s="26"/>
      <c r="K63" s="26"/>
      <c r="L63" s="26"/>
      <c r="M63" s="26"/>
      <c r="N63" s="26"/>
      <c r="O63" s="18"/>
      <c r="P63" s="26">
        <v>0</v>
      </c>
      <c r="Q63" s="105"/>
      <c r="R63" s="25">
        <f t="shared" ref="R63:R74" si="8">SUM(D63:Q63)</f>
        <v>0</v>
      </c>
    </row>
    <row r="64" spans="1:18">
      <c r="A64" s="83">
        <f t="shared" si="0"/>
        <v>54</v>
      </c>
      <c r="C64" s="84" t="s">
        <v>166</v>
      </c>
      <c r="D64" s="26"/>
      <c r="E64" s="26"/>
      <c r="F64" s="26"/>
      <c r="G64" s="26"/>
      <c r="H64" s="26"/>
      <c r="I64" s="26"/>
      <c r="J64" s="26"/>
      <c r="K64" s="26"/>
      <c r="L64" s="26"/>
      <c r="M64" s="26"/>
      <c r="N64" s="26"/>
      <c r="O64" s="18"/>
      <c r="P64" s="26">
        <v>0</v>
      </c>
      <c r="Q64" s="105"/>
      <c r="R64" s="25">
        <f t="shared" si="8"/>
        <v>0</v>
      </c>
    </row>
    <row r="65" spans="1:18">
      <c r="A65" s="83">
        <f t="shared" si="0"/>
        <v>55</v>
      </c>
      <c r="C65" s="84" t="s">
        <v>167</v>
      </c>
      <c r="D65" s="26"/>
      <c r="E65" s="26"/>
      <c r="F65" s="26"/>
      <c r="G65" s="26"/>
      <c r="H65" s="26"/>
      <c r="I65" s="26"/>
      <c r="J65" s="26"/>
      <c r="K65" s="26"/>
      <c r="L65" s="26"/>
      <c r="M65" s="26"/>
      <c r="N65" s="26"/>
      <c r="O65" s="18"/>
      <c r="P65" s="26">
        <v>0</v>
      </c>
      <c r="Q65" s="105"/>
      <c r="R65" s="25">
        <f t="shared" si="8"/>
        <v>0</v>
      </c>
    </row>
    <row r="66" spans="1:18">
      <c r="A66" s="83">
        <f t="shared" si="0"/>
        <v>56</v>
      </c>
      <c r="C66" s="84" t="s">
        <v>168</v>
      </c>
      <c r="D66" s="26"/>
      <c r="E66" s="26"/>
      <c r="F66" s="26"/>
      <c r="G66" s="26"/>
      <c r="H66" s="26"/>
      <c r="I66" s="26"/>
      <c r="J66" s="26"/>
      <c r="K66" s="26"/>
      <c r="L66" s="26"/>
      <c r="M66" s="26"/>
      <c r="N66" s="26"/>
      <c r="O66" s="18"/>
      <c r="P66" s="26">
        <v>0</v>
      </c>
      <c r="Q66" s="105"/>
      <c r="R66" s="25">
        <f t="shared" si="8"/>
        <v>0</v>
      </c>
    </row>
    <row r="67" spans="1:18">
      <c r="A67" s="83">
        <f t="shared" si="0"/>
        <v>57</v>
      </c>
      <c r="C67" s="84" t="s">
        <v>140</v>
      </c>
      <c r="D67" s="26"/>
      <c r="E67" s="26"/>
      <c r="F67" s="26"/>
      <c r="G67" s="26"/>
      <c r="H67" s="26"/>
      <c r="I67" s="26"/>
      <c r="J67" s="26"/>
      <c r="K67" s="26"/>
      <c r="L67" s="26"/>
      <c r="M67" s="26"/>
      <c r="N67" s="26"/>
      <c r="O67" s="18"/>
      <c r="P67" s="26">
        <v>0</v>
      </c>
      <c r="Q67" s="105"/>
      <c r="R67" s="25">
        <f t="shared" si="8"/>
        <v>0</v>
      </c>
    </row>
    <row r="68" spans="1:18">
      <c r="A68" s="83">
        <f t="shared" si="0"/>
        <v>58</v>
      </c>
      <c r="C68" s="84" t="s">
        <v>169</v>
      </c>
      <c r="D68" s="26"/>
      <c r="E68" s="26"/>
      <c r="F68" s="26"/>
      <c r="G68" s="26"/>
      <c r="H68" s="26"/>
      <c r="I68" s="26"/>
      <c r="J68" s="26"/>
      <c r="K68" s="26"/>
      <c r="L68" s="26"/>
      <c r="M68" s="26"/>
      <c r="N68" s="26"/>
      <c r="O68" s="18"/>
      <c r="P68" s="26">
        <v>0</v>
      </c>
      <c r="Q68" s="105"/>
      <c r="R68" s="25">
        <f t="shared" si="8"/>
        <v>0</v>
      </c>
    </row>
    <row r="69" spans="1:18">
      <c r="A69" s="83">
        <f t="shared" si="0"/>
        <v>59</v>
      </c>
      <c r="C69" s="84" t="s">
        <v>170</v>
      </c>
      <c r="D69" s="26"/>
      <c r="E69" s="26"/>
      <c r="F69" s="26"/>
      <c r="G69" s="26"/>
      <c r="H69" s="26"/>
      <c r="I69" s="26"/>
      <c r="J69" s="26"/>
      <c r="K69" s="26"/>
      <c r="L69" s="26"/>
      <c r="M69" s="26"/>
      <c r="N69" s="26"/>
      <c r="O69" s="18"/>
      <c r="P69" s="26">
        <v>0</v>
      </c>
      <c r="Q69" s="105"/>
      <c r="R69" s="25">
        <f t="shared" si="8"/>
        <v>0</v>
      </c>
    </row>
    <row r="70" spans="1:18">
      <c r="A70" s="83">
        <f t="shared" si="0"/>
        <v>60</v>
      </c>
      <c r="C70" s="84" t="s">
        <v>171</v>
      </c>
      <c r="D70" s="26"/>
      <c r="E70" s="26"/>
      <c r="F70" s="26"/>
      <c r="G70" s="26"/>
      <c r="H70" s="26"/>
      <c r="I70" s="26"/>
      <c r="J70" s="26"/>
      <c r="K70" s="26"/>
      <c r="L70" s="26"/>
      <c r="M70" s="26"/>
      <c r="N70" s="26"/>
      <c r="O70" s="18"/>
      <c r="P70" s="26">
        <v>0</v>
      </c>
      <c r="Q70" s="105"/>
      <c r="R70" s="25">
        <f t="shared" si="8"/>
        <v>0</v>
      </c>
    </row>
    <row r="71" spans="1:18">
      <c r="A71" s="83">
        <f t="shared" si="0"/>
        <v>61</v>
      </c>
      <c r="C71" s="84" t="s">
        <v>172</v>
      </c>
      <c r="D71" s="26"/>
      <c r="E71" s="26"/>
      <c r="F71" s="26"/>
      <c r="G71" s="26"/>
      <c r="H71" s="26"/>
      <c r="I71" s="26"/>
      <c r="J71" s="26"/>
      <c r="K71" s="26"/>
      <c r="L71" s="26"/>
      <c r="M71" s="26"/>
      <c r="N71" s="26"/>
      <c r="O71" s="18"/>
      <c r="P71" s="26">
        <v>0</v>
      </c>
      <c r="Q71" s="105"/>
      <c r="R71" s="25">
        <f t="shared" si="8"/>
        <v>0</v>
      </c>
    </row>
    <row r="72" spans="1:18">
      <c r="A72" s="83">
        <f t="shared" si="0"/>
        <v>62</v>
      </c>
      <c r="C72" s="84" t="s">
        <v>173</v>
      </c>
      <c r="D72" s="26"/>
      <c r="E72" s="26"/>
      <c r="F72" s="26"/>
      <c r="G72" s="26"/>
      <c r="H72" s="26"/>
      <c r="I72" s="26"/>
      <c r="J72" s="26"/>
      <c r="K72" s="26"/>
      <c r="L72" s="26"/>
      <c r="M72" s="26"/>
      <c r="N72" s="26"/>
      <c r="O72" s="18"/>
      <c r="P72" s="26">
        <v>0</v>
      </c>
      <c r="Q72" s="105"/>
      <c r="R72" s="25">
        <f t="shared" si="8"/>
        <v>0</v>
      </c>
    </row>
    <row r="73" spans="1:18">
      <c r="A73" s="83">
        <f t="shared" si="0"/>
        <v>63</v>
      </c>
      <c r="C73" s="84" t="s">
        <v>174</v>
      </c>
      <c r="D73" s="26"/>
      <c r="E73" s="26"/>
      <c r="F73" s="26"/>
      <c r="G73" s="26"/>
      <c r="H73" s="26"/>
      <c r="I73" s="26"/>
      <c r="J73" s="26"/>
      <c r="K73" s="26"/>
      <c r="L73" s="26"/>
      <c r="M73" s="26"/>
      <c r="N73" s="26"/>
      <c r="O73" s="18"/>
      <c r="P73" s="26">
        <v>0</v>
      </c>
      <c r="Q73" s="105"/>
      <c r="R73" s="25">
        <f t="shared" si="8"/>
        <v>0</v>
      </c>
    </row>
    <row r="74" spans="1:18">
      <c r="A74" s="83">
        <f t="shared" si="0"/>
        <v>64</v>
      </c>
      <c r="C74" s="484" t="s">
        <v>792</v>
      </c>
      <c r="D74" s="25">
        <v>-710506</v>
      </c>
      <c r="E74" s="209"/>
      <c r="F74" s="25">
        <v>-325168939</v>
      </c>
      <c r="G74" s="209"/>
      <c r="H74" s="25">
        <v>-37847860</v>
      </c>
      <c r="I74" s="209"/>
      <c r="J74" s="25">
        <v>66246950</v>
      </c>
      <c r="K74" s="26"/>
      <c r="L74" s="25">
        <f>-10007033+10007033</f>
        <v>0</v>
      </c>
      <c r="M74" s="26"/>
      <c r="N74" s="25">
        <v>0</v>
      </c>
      <c r="O74" s="18"/>
      <c r="P74" s="25">
        <v>0</v>
      </c>
      <c r="Q74" s="105"/>
      <c r="R74" s="45">
        <f t="shared" si="8"/>
        <v>-297480355</v>
      </c>
    </row>
    <row r="75" spans="1:18">
      <c r="A75" s="83">
        <f t="shared" si="0"/>
        <v>65</v>
      </c>
      <c r="C75" s="84"/>
      <c r="D75" s="34"/>
      <c r="E75" s="18"/>
      <c r="F75" s="34"/>
      <c r="H75" s="34"/>
      <c r="J75" s="34"/>
      <c r="K75" s="18"/>
      <c r="L75" s="34"/>
      <c r="M75" s="18"/>
      <c r="N75" s="34"/>
      <c r="O75" s="18"/>
      <c r="P75" s="168"/>
      <c r="Q75" s="105"/>
      <c r="R75" s="34"/>
    </row>
    <row r="76" spans="1:18">
      <c r="A76" s="83">
        <f>+A75+1</f>
        <v>66</v>
      </c>
      <c r="C76" s="85" t="s">
        <v>201</v>
      </c>
      <c r="D76" s="40">
        <f>SUM(D62:D74)/2</f>
        <v>-761992.5</v>
      </c>
      <c r="E76" s="18"/>
      <c r="F76" s="40">
        <f>SUM(F62:F74)/2</f>
        <v>-308778113.5</v>
      </c>
      <c r="H76" s="40">
        <f>SUM(H62:H74)/2</f>
        <v>-35695467</v>
      </c>
      <c r="I76" s="72"/>
      <c r="J76" s="40">
        <f>SUM(J62:J74)/2</f>
        <v>63914883</v>
      </c>
      <c r="K76" s="171"/>
      <c r="L76" s="40">
        <f>SUM(L62:L74)/2</f>
        <v>0</v>
      </c>
      <c r="M76" s="171"/>
      <c r="N76" s="40">
        <f>SUM(N62:N74)/2</f>
        <v>0</v>
      </c>
      <c r="O76" s="25"/>
      <c r="P76" s="40">
        <f>SUM(P62:P74)/13</f>
        <v>0</v>
      </c>
      <c r="Q76" s="108"/>
      <c r="R76" s="40">
        <f>SUM(R62:R74)/2</f>
        <v>-281320690</v>
      </c>
    </row>
    <row r="77" spans="1:18">
      <c r="A77" s="83">
        <f>+A76+1</f>
        <v>67</v>
      </c>
      <c r="C77" s="85" t="s">
        <v>46</v>
      </c>
      <c r="D77" s="26">
        <v>0</v>
      </c>
      <c r="E77" s="162"/>
      <c r="F77" s="26">
        <v>0</v>
      </c>
      <c r="G77" s="26"/>
      <c r="H77" s="26">
        <v>0</v>
      </c>
      <c r="I77" s="169"/>
      <c r="J77" s="26">
        <f>(2818309+2850894)/2</f>
        <v>2834601.5</v>
      </c>
      <c r="K77" s="170"/>
      <c r="L77" s="26">
        <v>0</v>
      </c>
      <c r="M77" s="170"/>
      <c r="N77" s="26">
        <v>0</v>
      </c>
      <c r="O77" s="164"/>
      <c r="P77" s="26">
        <v>0</v>
      </c>
      <c r="Q77" s="108"/>
      <c r="R77" s="26">
        <f>SUM(D77:P77)</f>
        <v>2834601.5</v>
      </c>
    </row>
    <row r="78" spans="1:18">
      <c r="A78" s="83">
        <f>+A77+1</f>
        <v>68</v>
      </c>
      <c r="C78" s="85" t="s">
        <v>47</v>
      </c>
      <c r="D78" s="42">
        <v>0</v>
      </c>
      <c r="E78" s="18"/>
      <c r="F78" s="506">
        <f>-(12097416+4052362+16126669+3844297)/2</f>
        <v>-18060372</v>
      </c>
      <c r="G78" s="66"/>
      <c r="H78" s="42">
        <v>0</v>
      </c>
      <c r="I78" s="87"/>
      <c r="J78" s="41">
        <f>(1736721+9903496+1729099+9330782)/2</f>
        <v>11350049</v>
      </c>
      <c r="K78" s="171"/>
      <c r="L78" s="42">
        <v>0</v>
      </c>
      <c r="M78" s="171"/>
      <c r="N78" s="42">
        <v>0</v>
      </c>
      <c r="O78" s="18"/>
      <c r="P78" s="42">
        <v>0</v>
      </c>
      <c r="Q78" s="108"/>
      <c r="R78" s="42">
        <f>SUM(D78:P78)</f>
        <v>-6710323</v>
      </c>
    </row>
    <row r="79" spans="1:18">
      <c r="A79" s="83">
        <f>+A78+1</f>
        <v>69</v>
      </c>
      <c r="C79" s="85"/>
      <c r="D79" s="40"/>
      <c r="E79" s="18"/>
      <c r="F79" s="40"/>
      <c r="H79" s="40"/>
      <c r="I79" s="72"/>
      <c r="J79" s="40"/>
      <c r="K79" s="171"/>
      <c r="L79" s="40"/>
      <c r="M79" s="171"/>
      <c r="N79" s="40"/>
      <c r="O79" s="25"/>
      <c r="P79" s="40"/>
      <c r="Q79" s="108"/>
      <c r="R79" s="40"/>
    </row>
    <row r="80" spans="1:18" ht="13.5" thickBot="1">
      <c r="A80" s="83">
        <f>+A79+1</f>
        <v>70</v>
      </c>
      <c r="C80" s="85" t="s">
        <v>202</v>
      </c>
      <c r="D80" s="36">
        <f>+D76-D77-D78</f>
        <v>-761992.5</v>
      </c>
      <c r="E80" s="18"/>
      <c r="F80" s="36">
        <f>+F76-F77-F78</f>
        <v>-290717741.5</v>
      </c>
      <c r="H80" s="36">
        <f>+H76-H77-H78</f>
        <v>-35695467</v>
      </c>
      <c r="I80" s="72"/>
      <c r="J80" s="36">
        <f>+J76-J77-J78</f>
        <v>49730232.5</v>
      </c>
      <c r="K80" s="171"/>
      <c r="L80" s="36">
        <f>+L76-L77-L78</f>
        <v>0</v>
      </c>
      <c r="M80" s="171"/>
      <c r="N80" s="36">
        <f>+N76-N77-N78</f>
        <v>0</v>
      </c>
      <c r="O80" s="25"/>
      <c r="P80" s="36">
        <f>+P76-P77-P78</f>
        <v>0</v>
      </c>
      <c r="Q80" s="108"/>
      <c r="R80" s="36">
        <f>+R76-R77-R78</f>
        <v>-277444968.5</v>
      </c>
    </row>
    <row r="81" spans="3:3" ht="13.5" thickTop="1"/>
    <row r="83" spans="3:3">
      <c r="C83" s="4" t="s">
        <v>245</v>
      </c>
    </row>
  </sheetData>
  <mergeCells count="6">
    <mergeCell ref="N8:P8"/>
    <mergeCell ref="D33:J33"/>
    <mergeCell ref="N33:P33"/>
    <mergeCell ref="D58:J58"/>
    <mergeCell ref="N58:P58"/>
    <mergeCell ref="D8:J8"/>
  </mergeCells>
  <phoneticPr fontId="10" type="noConversion"/>
  <printOptions horizontalCentered="1"/>
  <pageMargins left="0.75" right="0.25" top="0.75" bottom="0.4" header="0" footer="0.25"/>
  <pageSetup scale="53" orientation="portrait" r:id="rId1"/>
  <headerFooter alignWithMargins="0">
    <oddFooter>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A1:O47"/>
  <sheetViews>
    <sheetView showGridLines="0" topLeftCell="A13" workbookViewId="0">
      <selection activeCell="H40" sqref="H40:H43"/>
    </sheetView>
  </sheetViews>
  <sheetFormatPr defaultRowHeight="12.75"/>
  <cols>
    <col min="1" max="1" width="4" style="1" customWidth="1"/>
    <col min="2" max="2" width="12.77734375" style="1" customWidth="1"/>
    <col min="3" max="3" width="3.77734375" style="1" customWidth="1"/>
    <col min="4" max="4" width="11.21875" style="1" bestFit="1" customWidth="1"/>
    <col min="5" max="5" width="3.77734375" style="1" customWidth="1"/>
    <col min="6" max="6" width="12.44140625" style="1" bestFit="1" customWidth="1"/>
    <col min="7" max="7" width="3.77734375" style="1" customWidth="1"/>
    <col min="8" max="8" width="10.44140625" style="1" customWidth="1"/>
    <col min="9" max="10" width="8.88671875" style="1"/>
    <col min="11" max="11" width="11.21875" style="1" bestFit="1" customWidth="1"/>
    <col min="12" max="12" width="8.88671875" style="1"/>
    <col min="13" max="13" width="11.21875" style="1" bestFit="1" customWidth="1"/>
    <col min="14" max="14" width="8.88671875" style="1"/>
    <col min="15" max="15" width="11.21875" style="1" bestFit="1" customWidth="1"/>
    <col min="16" max="16384" width="8.88671875" style="1"/>
  </cols>
  <sheetData>
    <row r="1" spans="1:15">
      <c r="A1" s="71" t="s">
        <v>27</v>
      </c>
      <c r="I1" s="482" t="s">
        <v>789</v>
      </c>
    </row>
    <row r="2" spans="1:15">
      <c r="A2" s="71" t="s">
        <v>536</v>
      </c>
    </row>
    <row r="3" spans="1:15">
      <c r="A3" s="503" t="s">
        <v>269</v>
      </c>
    </row>
    <row r="4" spans="1:15" s="454" customFormat="1" ht="38.25">
      <c r="A4" s="469" t="s">
        <v>165</v>
      </c>
      <c r="D4" s="455" t="s">
        <v>16</v>
      </c>
      <c r="F4" s="455" t="s">
        <v>13</v>
      </c>
      <c r="H4" s="455" t="s">
        <v>14</v>
      </c>
    </row>
    <row r="5" spans="1:15" ht="20.25" customHeight="1">
      <c r="A5" s="464">
        <v>1</v>
      </c>
      <c r="B5" s="484" t="s">
        <v>327</v>
      </c>
      <c r="D5" s="460">
        <v>41973108.855875567</v>
      </c>
      <c r="F5" s="460">
        <v>34109088.867763117</v>
      </c>
      <c r="H5" s="461">
        <f>D5-F5</f>
        <v>7864019.9881124496</v>
      </c>
      <c r="K5" s="454"/>
      <c r="L5" s="454"/>
      <c r="M5" s="454"/>
      <c r="N5" s="454"/>
      <c r="O5" s="454"/>
    </row>
    <row r="6" spans="1:15">
      <c r="A6" s="465">
        <v>2</v>
      </c>
      <c r="B6" s="484" t="s">
        <v>791</v>
      </c>
      <c r="D6" s="460">
        <v>44384960.671390004</v>
      </c>
      <c r="F6" s="460">
        <v>36515225.580435351</v>
      </c>
      <c r="H6" s="461">
        <f t="shared" ref="H6:H17" si="0">D6-F6</f>
        <v>7869735.0909546539</v>
      </c>
      <c r="K6" s="454"/>
      <c r="L6" s="454"/>
      <c r="M6" s="454"/>
      <c r="N6" s="454"/>
      <c r="O6" s="454"/>
    </row>
    <row r="7" spans="1:15">
      <c r="A7" s="465">
        <v>3</v>
      </c>
      <c r="B7" s="84" t="s">
        <v>166</v>
      </c>
      <c r="D7" s="460">
        <v>46943546.47189717</v>
      </c>
      <c r="F7" s="460">
        <v>39085192.278100312</v>
      </c>
      <c r="H7" s="461">
        <f t="shared" si="0"/>
        <v>7858354.1937968582</v>
      </c>
      <c r="K7" s="454"/>
      <c r="L7" s="454"/>
      <c r="M7" s="454"/>
      <c r="N7" s="454"/>
      <c r="O7" s="454"/>
    </row>
    <row r="8" spans="1:15">
      <c r="A8" s="465">
        <v>4</v>
      </c>
      <c r="B8" s="84" t="s">
        <v>167</v>
      </c>
      <c r="D8" s="460">
        <v>49563268.723833427</v>
      </c>
      <c r="F8" s="460">
        <v>39561554.707174502</v>
      </c>
      <c r="H8" s="461">
        <f t="shared" si="0"/>
        <v>10001714.016658925</v>
      </c>
      <c r="K8" s="454"/>
      <c r="L8" s="454"/>
      <c r="M8" s="454"/>
      <c r="N8" s="454"/>
      <c r="O8" s="454"/>
    </row>
    <row r="9" spans="1:15">
      <c r="A9" s="465">
        <v>5</v>
      </c>
      <c r="B9" s="84" t="s">
        <v>168</v>
      </c>
      <c r="D9" s="460">
        <v>51183959.152605623</v>
      </c>
      <c r="F9" s="460">
        <v>16368056.784065885</v>
      </c>
      <c r="H9" s="461">
        <f t="shared" si="0"/>
        <v>34815902.368539736</v>
      </c>
      <c r="K9" s="454"/>
      <c r="L9" s="454"/>
      <c r="M9" s="454"/>
      <c r="N9" s="454"/>
      <c r="O9" s="454"/>
    </row>
    <row r="10" spans="1:15">
      <c r="A10" s="465">
        <v>6</v>
      </c>
      <c r="B10" s="84" t="s">
        <v>140</v>
      </c>
      <c r="D10" s="460">
        <v>52431081.656706318</v>
      </c>
      <c r="F10" s="460">
        <v>15780170.769106498</v>
      </c>
      <c r="H10" s="461">
        <f t="shared" si="0"/>
        <v>36650910.887599818</v>
      </c>
      <c r="K10" s="454"/>
      <c r="L10" s="454"/>
      <c r="M10" s="454"/>
      <c r="N10" s="454"/>
      <c r="O10" s="454"/>
    </row>
    <row r="11" spans="1:15">
      <c r="A11" s="465">
        <v>7</v>
      </c>
      <c r="B11" s="84" t="s">
        <v>169</v>
      </c>
      <c r="D11" s="460">
        <v>53578947.965352044</v>
      </c>
      <c r="F11" s="460">
        <v>15643682.153011218</v>
      </c>
      <c r="H11" s="461">
        <f t="shared" si="0"/>
        <v>37935265.812340826</v>
      </c>
      <c r="K11" s="454"/>
      <c r="L11" s="454"/>
      <c r="M11" s="454"/>
      <c r="N11" s="454"/>
      <c r="O11" s="454"/>
    </row>
    <row r="12" spans="1:15">
      <c r="A12" s="465">
        <v>8</v>
      </c>
      <c r="B12" s="84" t="s">
        <v>170</v>
      </c>
      <c r="D12" s="460">
        <v>54784368.971697897</v>
      </c>
      <c r="F12" s="460">
        <v>16681901.039410058</v>
      </c>
      <c r="H12" s="461">
        <f t="shared" si="0"/>
        <v>38102467.932287842</v>
      </c>
      <c r="K12" s="454"/>
      <c r="L12" s="454"/>
      <c r="M12" s="454"/>
      <c r="N12" s="454"/>
      <c r="O12" s="454"/>
    </row>
    <row r="13" spans="1:15">
      <c r="A13" s="465">
        <v>9</v>
      </c>
      <c r="B13" s="84" t="s">
        <v>171</v>
      </c>
      <c r="D13" s="460">
        <v>56021605.14420218</v>
      </c>
      <c r="F13" s="460">
        <v>17398714.502260555</v>
      </c>
      <c r="H13" s="461">
        <f t="shared" si="0"/>
        <v>38622890.641941622</v>
      </c>
      <c r="K13" s="454"/>
      <c r="L13" s="454"/>
      <c r="M13" s="454"/>
      <c r="N13" s="454"/>
      <c r="O13" s="454"/>
    </row>
    <row r="14" spans="1:15">
      <c r="A14" s="465">
        <v>10</v>
      </c>
      <c r="B14" s="84" t="s">
        <v>172</v>
      </c>
      <c r="D14" s="460">
        <v>57362446.36386697</v>
      </c>
      <c r="F14" s="460">
        <v>18785221.939495794</v>
      </c>
      <c r="H14" s="461">
        <f t="shared" si="0"/>
        <v>38577224.424371175</v>
      </c>
      <c r="K14" s="454"/>
      <c r="L14" s="454"/>
      <c r="M14" s="454"/>
      <c r="N14" s="454"/>
      <c r="O14" s="454"/>
    </row>
    <row r="15" spans="1:15">
      <c r="A15" s="465">
        <v>11</v>
      </c>
      <c r="B15" s="84" t="s">
        <v>173</v>
      </c>
      <c r="D15" s="460">
        <v>58884389.564512998</v>
      </c>
      <c r="F15" s="460">
        <v>20321994.061771031</v>
      </c>
      <c r="H15" s="461">
        <f t="shared" si="0"/>
        <v>38562395.502741963</v>
      </c>
      <c r="K15" s="454"/>
      <c r="L15" s="454"/>
      <c r="M15" s="454"/>
      <c r="N15" s="454"/>
      <c r="O15" s="454"/>
    </row>
    <row r="16" spans="1:15">
      <c r="A16" s="465">
        <v>12</v>
      </c>
      <c r="B16" s="84" t="s">
        <v>174</v>
      </c>
      <c r="D16" s="460">
        <v>59801116.844428107</v>
      </c>
      <c r="F16" s="460">
        <v>24498356.821078122</v>
      </c>
      <c r="H16" s="461">
        <f t="shared" si="0"/>
        <v>35302760.023349985</v>
      </c>
      <c r="K16" s="454"/>
      <c r="L16" s="454"/>
      <c r="M16" s="454"/>
      <c r="N16" s="454"/>
      <c r="O16" s="454"/>
    </row>
    <row r="17" spans="1:15">
      <c r="A17" s="465">
        <v>13</v>
      </c>
      <c r="B17" s="484" t="s">
        <v>792</v>
      </c>
      <c r="D17" s="460">
        <v>61149503.497340024</v>
      </c>
      <c r="F17" s="460">
        <v>24386159.087440144</v>
      </c>
      <c r="H17" s="461">
        <f t="shared" si="0"/>
        <v>36763344.409899876</v>
      </c>
      <c r="K17" s="454"/>
      <c r="L17" s="454"/>
      <c r="M17" s="454"/>
      <c r="N17" s="454"/>
      <c r="O17" s="454"/>
    </row>
    <row r="18" spans="1:15">
      <c r="A18" s="465"/>
      <c r="B18" s="84"/>
      <c r="D18" s="460"/>
      <c r="F18" s="460"/>
      <c r="H18" s="461"/>
      <c r="K18" s="454"/>
      <c r="L18" s="454"/>
      <c r="M18" s="454"/>
      <c r="N18" s="454"/>
      <c r="O18" s="454"/>
    </row>
    <row r="19" spans="1:15" ht="15" customHeight="1">
      <c r="A19" s="465">
        <v>14</v>
      </c>
      <c r="B19" s="1" t="s">
        <v>147</v>
      </c>
      <c r="D19" s="470">
        <f>SUM(D5:D17)/13</f>
        <v>52927869.529516019</v>
      </c>
      <c r="F19" s="470">
        <f>SUM(F5:F17)/13</f>
        <v>24548870.660854816</v>
      </c>
      <c r="H19" s="470">
        <f>SUM(H5:H17)/13</f>
        <v>28378998.868661217</v>
      </c>
      <c r="K19" s="454"/>
      <c r="L19" s="454"/>
      <c r="M19" s="454"/>
      <c r="N19" s="454"/>
      <c r="O19" s="454"/>
    </row>
    <row r="20" spans="1:15">
      <c r="D20" s="514"/>
      <c r="E20" s="514"/>
      <c r="F20" s="514"/>
      <c r="G20" s="514"/>
      <c r="H20" s="514"/>
      <c r="K20" s="454"/>
      <c r="L20" s="454"/>
      <c r="M20" s="454"/>
      <c r="N20" s="454"/>
      <c r="O20" s="454"/>
    </row>
    <row r="22" spans="1:15">
      <c r="B22" s="84" t="s">
        <v>15</v>
      </c>
    </row>
    <row r="23" spans="1:15">
      <c r="B23" s="84" t="s">
        <v>526</v>
      </c>
    </row>
    <row r="24" spans="1:15">
      <c r="B24" s="84" t="s">
        <v>17</v>
      </c>
    </row>
    <row r="26" spans="1:15">
      <c r="B26" s="486" t="s">
        <v>817</v>
      </c>
    </row>
    <row r="27" spans="1:15">
      <c r="D27" s="514"/>
      <c r="E27" s="514"/>
      <c r="F27" s="514"/>
      <c r="G27" s="514"/>
      <c r="H27" s="514"/>
    </row>
    <row r="28" spans="1:15">
      <c r="B28" s="513" t="s">
        <v>825</v>
      </c>
      <c r="D28" s="516" t="s">
        <v>142</v>
      </c>
      <c r="E28" s="514"/>
      <c r="F28" s="516" t="s">
        <v>197</v>
      </c>
      <c r="G28" s="517"/>
      <c r="H28" s="516" t="s">
        <v>824</v>
      </c>
    </row>
    <row r="29" spans="1:15">
      <c r="B29" s="486" t="s">
        <v>818</v>
      </c>
      <c r="D29" s="514">
        <v>30687715.666483901</v>
      </c>
      <c r="E29" s="514"/>
      <c r="F29" s="514">
        <v>9333173.1966435798</v>
      </c>
      <c r="G29" s="514"/>
      <c r="H29" s="514">
        <f>D29-F29</f>
        <v>21354542.469840322</v>
      </c>
    </row>
    <row r="30" spans="1:15">
      <c r="B30" s="486" t="s">
        <v>819</v>
      </c>
      <c r="D30" s="514">
        <v>1901313.8004159201</v>
      </c>
      <c r="E30" s="514"/>
      <c r="F30" s="514">
        <v>341701.01477908198</v>
      </c>
      <c r="G30" s="514"/>
      <c r="H30" s="514">
        <f t="shared" ref="H30:H35" si="1">D30-F30</f>
        <v>1559612.7856368381</v>
      </c>
    </row>
    <row r="31" spans="1:15">
      <c r="B31" s="486" t="s">
        <v>820</v>
      </c>
      <c r="D31" s="514">
        <v>15823405.095553599</v>
      </c>
      <c r="E31" s="514"/>
      <c r="F31" s="514">
        <v>8443619.0884467307</v>
      </c>
      <c r="G31" s="514"/>
      <c r="H31" s="514">
        <f t="shared" si="1"/>
        <v>7379786.0071068686</v>
      </c>
    </row>
    <row r="32" spans="1:15">
      <c r="B32" s="486" t="s">
        <v>821</v>
      </c>
      <c r="D32" s="514">
        <v>8158576.5686990703</v>
      </c>
      <c r="E32" s="514"/>
      <c r="F32" s="514">
        <v>6267589.8918479998</v>
      </c>
      <c r="G32" s="514"/>
      <c r="H32" s="514">
        <f t="shared" si="1"/>
        <v>1890986.6768510705</v>
      </c>
    </row>
    <row r="33" spans="2:8">
      <c r="B33" s="486" t="s">
        <v>1158</v>
      </c>
      <c r="D33" s="514">
        <v>383.57565306265798</v>
      </c>
      <c r="E33" s="514"/>
      <c r="F33" s="514">
        <v>187.57134373334699</v>
      </c>
      <c r="G33" s="514"/>
      <c r="H33" s="514">
        <f t="shared" si="1"/>
        <v>196.00430932931098</v>
      </c>
    </row>
    <row r="34" spans="2:8">
      <c r="B34" s="486" t="s">
        <v>822</v>
      </c>
      <c r="D34" s="514">
        <v>2761120.0746780299</v>
      </c>
      <c r="E34" s="514"/>
      <c r="F34" s="514">
        <v>0</v>
      </c>
      <c r="G34" s="514"/>
      <c r="H34" s="514">
        <f t="shared" si="1"/>
        <v>2761120.0746780299</v>
      </c>
    </row>
    <row r="35" spans="2:8">
      <c r="B35" s="486" t="s">
        <v>823</v>
      </c>
      <c r="D35" s="514">
        <v>1816988.71585636</v>
      </c>
      <c r="E35" s="514"/>
      <c r="F35" s="514">
        <v>-111.67562098408401</v>
      </c>
      <c r="G35" s="514"/>
      <c r="H35" s="514">
        <f t="shared" si="1"/>
        <v>1817100.3914773441</v>
      </c>
    </row>
    <row r="36" spans="2:8" ht="13.5" thickBot="1">
      <c r="D36" s="515">
        <f>SUM(D29:D35)</f>
        <v>61149503.497339934</v>
      </c>
      <c r="E36" s="514"/>
      <c r="F36" s="515">
        <f>SUM(F29:F35)</f>
        <v>24386159.087440144</v>
      </c>
      <c r="G36" s="514"/>
      <c r="H36" s="515">
        <f>SUM(H29:H35)</f>
        <v>36763344.409899808</v>
      </c>
    </row>
    <row r="37" spans="2:8">
      <c r="D37" s="514"/>
      <c r="E37" s="514"/>
      <c r="F37" s="514"/>
      <c r="G37" s="514"/>
      <c r="H37" s="514"/>
    </row>
    <row r="38" spans="2:8">
      <c r="D38" s="514"/>
      <c r="E38" s="514"/>
      <c r="F38" s="514"/>
      <c r="G38" s="514"/>
      <c r="H38" s="514"/>
    </row>
    <row r="39" spans="2:8">
      <c r="B39" s="511" t="s">
        <v>147</v>
      </c>
      <c r="D39" s="510" t="s">
        <v>142</v>
      </c>
      <c r="F39" s="510" t="s">
        <v>197</v>
      </c>
      <c r="G39" s="512"/>
      <c r="H39" s="510" t="s">
        <v>824</v>
      </c>
    </row>
    <row r="40" spans="2:8">
      <c r="B40" s="486" t="s">
        <v>818</v>
      </c>
      <c r="D40" s="514">
        <v>27120928.755883299</v>
      </c>
      <c r="E40" s="514"/>
      <c r="F40" s="514">
        <v>11495239.990408501</v>
      </c>
      <c r="G40" s="514"/>
      <c r="H40" s="514">
        <f>D40-F40</f>
        <v>15625688.765474798</v>
      </c>
    </row>
    <row r="41" spans="2:8">
      <c r="B41" s="486" t="s">
        <v>819</v>
      </c>
      <c r="D41" s="514">
        <v>1914268.5841815199</v>
      </c>
      <c r="E41" s="514"/>
      <c r="F41" s="514">
        <v>341701.01477908198</v>
      </c>
      <c r="G41" s="514"/>
      <c r="H41" s="514">
        <f t="shared" ref="H41:H46" si="2">D41-F41</f>
        <v>1572567.5694024379</v>
      </c>
    </row>
    <row r="42" spans="2:8">
      <c r="B42" s="486" t="s">
        <v>820</v>
      </c>
      <c r="D42" s="514">
        <v>12861635.9035511</v>
      </c>
      <c r="E42" s="514"/>
      <c r="F42" s="514">
        <v>7473057.4182595396</v>
      </c>
      <c r="G42" s="514"/>
      <c r="H42" s="514">
        <f t="shared" si="2"/>
        <v>5388578.4852915602</v>
      </c>
    </row>
    <row r="43" spans="2:8">
      <c r="B43" s="486" t="s">
        <v>821</v>
      </c>
      <c r="D43" s="514">
        <v>6410335.8904457996</v>
      </c>
      <c r="E43" s="514"/>
      <c r="F43" s="514">
        <v>5236785.07875707</v>
      </c>
      <c r="G43" s="514"/>
      <c r="H43" s="514">
        <f t="shared" si="2"/>
        <v>1173550.8116887296</v>
      </c>
    </row>
    <row r="44" spans="2:8">
      <c r="B44" s="486" t="s">
        <v>1158</v>
      </c>
      <c r="D44" s="514">
        <v>383.57565306265798</v>
      </c>
      <c r="E44" s="514"/>
      <c r="F44" s="514">
        <v>247.88036198852001</v>
      </c>
      <c r="G44" s="514"/>
      <c r="H44" s="514">
        <f t="shared" si="2"/>
        <v>135.69529107413797</v>
      </c>
    </row>
    <row r="45" spans="2:8">
      <c r="B45" s="486" t="s">
        <v>822</v>
      </c>
      <c r="D45" s="514">
        <v>2786682.0818137801</v>
      </c>
      <c r="E45" s="514"/>
      <c r="F45" s="514">
        <v>1950.9539096410599</v>
      </c>
      <c r="G45" s="514"/>
      <c r="H45" s="514">
        <f t="shared" si="2"/>
        <v>2784731.127904139</v>
      </c>
    </row>
    <row r="46" spans="2:8">
      <c r="B46" s="486" t="s">
        <v>823</v>
      </c>
      <c r="D46" s="514">
        <v>1833634.7379874799</v>
      </c>
      <c r="E46" s="514"/>
      <c r="F46" s="514">
        <v>-111.67562098408401</v>
      </c>
      <c r="G46" s="514"/>
      <c r="H46" s="514">
        <f t="shared" si="2"/>
        <v>1833746.4136084639</v>
      </c>
    </row>
    <row r="47" spans="2:8" ht="13.5" thickBot="1">
      <c r="D47" s="515">
        <f>SUM(D40:D46)</f>
        <v>52927869.529516041</v>
      </c>
      <c r="E47" s="514"/>
      <c r="F47" s="515">
        <f>SUM(F40:F46)</f>
        <v>24548870.660854835</v>
      </c>
      <c r="G47" s="514"/>
      <c r="H47" s="515">
        <f>SUM(H40:H46)</f>
        <v>28378998.868661206</v>
      </c>
    </row>
  </sheetData>
  <phoneticPr fontId="13" type="noConversion"/>
  <pageMargins left="0.75" right="0.75" top="1" bottom="1" header="0.5" footer="0.5"/>
  <pageSetup orientation="portrait" r:id="rId1"/>
  <headerFooter alignWithMargins="0">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P64"/>
  <sheetViews>
    <sheetView showGridLines="0" topLeftCell="A19" zoomScaleNormal="75" workbookViewId="0">
      <selection activeCell="C33" sqref="C33"/>
    </sheetView>
  </sheetViews>
  <sheetFormatPr defaultColWidth="14.44140625" defaultRowHeight="12.75"/>
  <cols>
    <col min="1" max="1" width="4.77734375" style="74" customWidth="1"/>
    <col min="2" max="2" width="2.77734375" style="4" customWidth="1"/>
    <col min="3" max="3" width="34.6640625" style="4" customWidth="1"/>
    <col min="4" max="4" width="14.44140625" style="4" customWidth="1"/>
    <col min="5" max="5" width="0.88671875" style="4" customWidth="1"/>
    <col min="6" max="6" width="12.88671875" style="4" bestFit="1" customWidth="1"/>
    <col min="7" max="7" width="0.88671875" style="4" customWidth="1"/>
    <col min="8" max="8" width="12.88671875" style="4" bestFit="1" customWidth="1"/>
    <col min="9" max="9" width="0.88671875" style="4" customWidth="1"/>
    <col min="10" max="10" width="12.88671875" style="4" bestFit="1" customWidth="1"/>
    <col min="11" max="11" width="0.88671875" style="4" customWidth="1"/>
    <col min="12" max="12" width="12.88671875" style="4" customWidth="1"/>
    <col min="13" max="13" width="0.88671875" style="4" customWidth="1"/>
    <col min="14" max="14" width="18.109375" style="4" bestFit="1" customWidth="1"/>
    <col min="15" max="15" width="0.6640625" style="4" customWidth="1"/>
    <col min="16" max="16" width="14.44140625" style="4" bestFit="1" customWidth="1"/>
    <col min="17" max="16384" width="14.44140625" style="4"/>
  </cols>
  <sheetData>
    <row r="1" spans="1:16">
      <c r="A1" s="71" t="s">
        <v>27</v>
      </c>
      <c r="B1" s="72"/>
      <c r="C1" s="72"/>
      <c r="D1" s="72"/>
      <c r="E1" s="72"/>
      <c r="F1" s="482" t="s">
        <v>789</v>
      </c>
      <c r="G1" s="72"/>
      <c r="H1" s="72"/>
      <c r="I1" s="72"/>
      <c r="J1" s="72"/>
      <c r="K1" s="72"/>
      <c r="L1" s="72"/>
      <c r="M1" s="72"/>
      <c r="N1" s="72"/>
      <c r="O1" s="72"/>
    </row>
    <row r="2" spans="1:16">
      <c r="A2" s="71" t="s">
        <v>42</v>
      </c>
      <c r="B2" s="72"/>
      <c r="C2" s="72"/>
      <c r="D2" s="72"/>
      <c r="E2" s="72"/>
      <c r="F2" s="73"/>
      <c r="G2" s="72"/>
      <c r="H2" s="72"/>
      <c r="I2" s="72"/>
      <c r="J2" s="72"/>
      <c r="K2" s="72"/>
      <c r="L2" s="72"/>
      <c r="M2" s="72"/>
      <c r="N2" s="72"/>
      <c r="O2" s="72"/>
    </row>
    <row r="3" spans="1:16">
      <c r="A3" s="483" t="s">
        <v>790</v>
      </c>
      <c r="B3" s="72"/>
      <c r="C3" s="72"/>
      <c r="D3" s="72" t="s">
        <v>124</v>
      </c>
      <c r="E3" s="72"/>
      <c r="F3" s="72"/>
      <c r="G3" s="72"/>
      <c r="H3" s="72"/>
      <c r="I3" s="72"/>
      <c r="J3" s="72"/>
      <c r="K3" s="72"/>
      <c r="L3" s="72"/>
      <c r="M3" s="72"/>
      <c r="N3" s="72"/>
      <c r="O3" s="72"/>
    </row>
    <row r="4" spans="1:16">
      <c r="A4" s="503" t="s">
        <v>269</v>
      </c>
    </row>
    <row r="5" spans="1:16" ht="4.5" customHeight="1">
      <c r="B5" s="75"/>
    </row>
    <row r="6" spans="1:16">
      <c r="A6" s="74" t="s">
        <v>165</v>
      </c>
      <c r="D6" s="76" t="s">
        <v>185</v>
      </c>
      <c r="E6" s="78"/>
      <c r="F6" s="7"/>
      <c r="G6" s="7"/>
      <c r="H6" s="7"/>
      <c r="I6" s="7"/>
      <c r="J6" s="7"/>
      <c r="K6" s="7"/>
      <c r="L6" s="7"/>
      <c r="M6" s="7"/>
      <c r="N6" s="7"/>
      <c r="O6" s="7"/>
      <c r="P6" s="7"/>
    </row>
    <row r="7" spans="1:16">
      <c r="A7" s="79" t="s">
        <v>141</v>
      </c>
      <c r="D7" s="76">
        <v>105</v>
      </c>
      <c r="E7" s="78"/>
      <c r="F7" s="7"/>
      <c r="G7" s="7"/>
      <c r="H7" s="7"/>
      <c r="I7" s="7"/>
      <c r="J7" s="7"/>
      <c r="K7" s="7"/>
      <c r="L7" s="7"/>
      <c r="M7" s="7"/>
      <c r="N7" s="7"/>
      <c r="O7" s="7"/>
      <c r="P7" s="7"/>
    </row>
    <row r="8" spans="1:16">
      <c r="A8" s="80" t="s">
        <v>145</v>
      </c>
      <c r="B8" s="81" t="s">
        <v>28</v>
      </c>
      <c r="C8" s="82"/>
      <c r="D8" s="35"/>
      <c r="F8" s="7"/>
      <c r="G8" s="7"/>
      <c r="H8" s="7"/>
      <c r="I8" s="7"/>
      <c r="J8" s="7"/>
      <c r="K8" s="7"/>
      <c r="L8" s="7"/>
      <c r="M8" s="7"/>
      <c r="N8" s="7"/>
      <c r="O8" s="7"/>
      <c r="P8" s="7"/>
    </row>
    <row r="9" spans="1:16">
      <c r="A9" s="83">
        <f t="shared" ref="A9:A37" si="0">+A8+1</f>
        <v>2</v>
      </c>
      <c r="C9" s="484" t="s">
        <v>327</v>
      </c>
      <c r="D9" s="25">
        <f t="shared" ref="D9:D21" si="1">+D28+D47</f>
        <v>8103</v>
      </c>
      <c r="E9" s="26"/>
      <c r="F9" s="7"/>
      <c r="G9" s="7"/>
      <c r="H9" s="7"/>
      <c r="I9" s="7"/>
      <c r="J9" s="7"/>
      <c r="K9" s="7"/>
      <c r="L9" s="7"/>
      <c r="M9" s="7"/>
      <c r="N9" s="7"/>
      <c r="O9" s="7"/>
      <c r="P9" s="7"/>
    </row>
    <row r="10" spans="1:16">
      <c r="A10" s="83">
        <f t="shared" si="0"/>
        <v>3</v>
      </c>
      <c r="C10" s="484" t="s">
        <v>791</v>
      </c>
      <c r="D10" s="26">
        <f t="shared" si="1"/>
        <v>8103</v>
      </c>
      <c r="E10" s="26"/>
      <c r="F10" s="7"/>
      <c r="G10" s="7"/>
      <c r="H10" s="7"/>
      <c r="I10" s="7"/>
      <c r="J10" s="7"/>
      <c r="K10" s="7"/>
      <c r="L10" s="7"/>
      <c r="M10" s="7"/>
      <c r="N10" s="7"/>
      <c r="O10" s="7"/>
      <c r="P10" s="7"/>
    </row>
    <row r="11" spans="1:16">
      <c r="A11" s="83">
        <f t="shared" si="0"/>
        <v>4</v>
      </c>
      <c r="C11" s="84" t="s">
        <v>166</v>
      </c>
      <c r="D11" s="26">
        <f t="shared" si="1"/>
        <v>8103</v>
      </c>
      <c r="E11" s="26"/>
      <c r="F11" s="7"/>
      <c r="G11" s="7"/>
      <c r="H11" s="7"/>
      <c r="I11" s="7"/>
      <c r="J11" s="7"/>
      <c r="K11" s="7"/>
      <c r="L11" s="7"/>
      <c r="M11" s="7"/>
      <c r="N11" s="7"/>
      <c r="O11" s="7"/>
      <c r="P11" s="7"/>
    </row>
    <row r="12" spans="1:16">
      <c r="A12" s="83">
        <f t="shared" si="0"/>
        <v>5</v>
      </c>
      <c r="C12" s="84" t="s">
        <v>167</v>
      </c>
      <c r="D12" s="26">
        <f t="shared" si="1"/>
        <v>8103</v>
      </c>
      <c r="E12" s="26"/>
      <c r="F12" s="7"/>
      <c r="G12" s="7"/>
      <c r="H12" s="7"/>
      <c r="I12" s="7"/>
      <c r="J12" s="7"/>
      <c r="K12" s="7"/>
      <c r="L12" s="7"/>
      <c r="M12" s="7"/>
      <c r="N12" s="7"/>
      <c r="O12" s="7"/>
      <c r="P12" s="7"/>
    </row>
    <row r="13" spans="1:16">
      <c r="A13" s="83">
        <f t="shared" si="0"/>
        <v>6</v>
      </c>
      <c r="C13" s="84" t="s">
        <v>168</v>
      </c>
      <c r="D13" s="26">
        <f t="shared" si="1"/>
        <v>8103</v>
      </c>
      <c r="E13" s="26"/>
      <c r="F13" s="7"/>
      <c r="G13" s="7"/>
      <c r="H13" s="7"/>
      <c r="I13" s="7"/>
      <c r="J13" s="7"/>
      <c r="K13" s="7"/>
      <c r="L13" s="7"/>
      <c r="M13" s="7"/>
      <c r="N13" s="7"/>
      <c r="O13" s="7"/>
      <c r="P13" s="7"/>
    </row>
    <row r="14" spans="1:16">
      <c r="A14" s="83">
        <f t="shared" si="0"/>
        <v>7</v>
      </c>
      <c r="C14" s="84" t="s">
        <v>140</v>
      </c>
      <c r="D14" s="26">
        <f t="shared" si="1"/>
        <v>8103</v>
      </c>
      <c r="E14" s="26"/>
      <c r="F14" s="7"/>
      <c r="G14" s="7"/>
      <c r="H14" s="7"/>
      <c r="I14" s="7"/>
      <c r="J14" s="7"/>
      <c r="K14" s="7"/>
      <c r="L14" s="7"/>
      <c r="M14" s="7"/>
      <c r="N14" s="7"/>
      <c r="O14" s="7"/>
      <c r="P14" s="7"/>
    </row>
    <row r="15" spans="1:16">
      <c r="A15" s="83">
        <f t="shared" si="0"/>
        <v>8</v>
      </c>
      <c r="C15" s="84" t="s">
        <v>169</v>
      </c>
      <c r="D15" s="26">
        <f t="shared" si="1"/>
        <v>8103</v>
      </c>
      <c r="E15" s="26"/>
      <c r="F15" s="7"/>
      <c r="G15" s="7"/>
      <c r="H15" s="7"/>
      <c r="I15" s="7"/>
      <c r="J15" s="7"/>
      <c r="K15" s="7"/>
      <c r="L15" s="7"/>
      <c r="M15" s="7"/>
      <c r="N15" s="7"/>
      <c r="O15" s="7"/>
      <c r="P15" s="7"/>
    </row>
    <row r="16" spans="1:16">
      <c r="A16" s="83">
        <f t="shared" si="0"/>
        <v>9</v>
      </c>
      <c r="C16" s="84" t="s">
        <v>170</v>
      </c>
      <c r="D16" s="26">
        <f t="shared" si="1"/>
        <v>8103</v>
      </c>
      <c r="E16" s="26"/>
      <c r="F16" s="7"/>
      <c r="G16" s="7"/>
      <c r="H16" s="7"/>
      <c r="I16" s="7"/>
      <c r="J16" s="7"/>
      <c r="K16" s="7"/>
      <c r="L16" s="7"/>
      <c r="M16" s="7"/>
      <c r="N16" s="7"/>
      <c r="O16" s="7"/>
      <c r="P16" s="7"/>
    </row>
    <row r="17" spans="1:16">
      <c r="A17" s="83">
        <f t="shared" si="0"/>
        <v>10</v>
      </c>
      <c r="C17" s="84" t="s">
        <v>171</v>
      </c>
      <c r="D17" s="26">
        <f t="shared" si="1"/>
        <v>8103</v>
      </c>
      <c r="E17" s="26"/>
      <c r="F17" s="7"/>
      <c r="G17" s="7"/>
      <c r="H17" s="7"/>
      <c r="I17" s="7"/>
      <c r="J17" s="7"/>
      <c r="K17" s="7"/>
      <c r="L17" s="7"/>
      <c r="M17" s="7"/>
      <c r="N17" s="7"/>
      <c r="O17" s="7"/>
      <c r="P17" s="7"/>
    </row>
    <row r="18" spans="1:16">
      <c r="A18" s="83">
        <f t="shared" si="0"/>
        <v>11</v>
      </c>
      <c r="C18" s="84" t="s">
        <v>172</v>
      </c>
      <c r="D18" s="26">
        <f t="shared" si="1"/>
        <v>8103</v>
      </c>
      <c r="E18" s="26"/>
      <c r="F18" s="7"/>
      <c r="G18" s="7"/>
      <c r="H18" s="7"/>
      <c r="I18" s="7"/>
      <c r="J18" s="7"/>
      <c r="K18" s="7"/>
      <c r="L18" s="7"/>
      <c r="M18" s="7"/>
      <c r="N18" s="7"/>
      <c r="O18" s="7"/>
      <c r="P18" s="7"/>
    </row>
    <row r="19" spans="1:16">
      <c r="A19" s="83">
        <f t="shared" si="0"/>
        <v>12</v>
      </c>
      <c r="C19" s="84" t="s">
        <v>173</v>
      </c>
      <c r="D19" s="26">
        <f t="shared" si="1"/>
        <v>8103</v>
      </c>
      <c r="E19" s="26"/>
      <c r="F19" s="7"/>
      <c r="G19" s="7"/>
      <c r="H19" s="7"/>
      <c r="I19" s="7"/>
      <c r="J19" s="7"/>
      <c r="K19" s="7"/>
      <c r="L19" s="7"/>
      <c r="M19" s="7"/>
      <c r="N19" s="7"/>
      <c r="O19" s="7"/>
      <c r="P19" s="7"/>
    </row>
    <row r="20" spans="1:16">
      <c r="A20" s="83">
        <f t="shared" si="0"/>
        <v>13</v>
      </c>
      <c r="C20" s="84" t="s">
        <v>174</v>
      </c>
      <c r="D20" s="26">
        <f t="shared" si="1"/>
        <v>8103</v>
      </c>
      <c r="E20" s="26"/>
      <c r="F20" s="7"/>
      <c r="G20" s="7"/>
      <c r="H20" s="7"/>
      <c r="I20" s="7"/>
      <c r="J20" s="7"/>
      <c r="K20" s="7"/>
      <c r="L20" s="7"/>
      <c r="M20" s="7"/>
      <c r="N20" s="7"/>
      <c r="O20" s="7"/>
      <c r="P20" s="7"/>
    </row>
    <row r="21" spans="1:16">
      <c r="A21" s="83">
        <f t="shared" si="0"/>
        <v>14</v>
      </c>
      <c r="C21" s="484" t="s">
        <v>792</v>
      </c>
      <c r="D21" s="26">
        <f t="shared" si="1"/>
        <v>8103</v>
      </c>
      <c r="E21" s="26"/>
      <c r="F21" s="7"/>
      <c r="G21" s="7"/>
      <c r="H21" s="7"/>
      <c r="I21" s="7"/>
      <c r="J21" s="7"/>
      <c r="K21" s="7"/>
      <c r="L21" s="7"/>
      <c r="M21" s="7"/>
      <c r="N21" s="7"/>
      <c r="O21" s="7"/>
      <c r="P21" s="7"/>
    </row>
    <row r="22" spans="1:16">
      <c r="A22" s="83">
        <f t="shared" si="0"/>
        <v>15</v>
      </c>
      <c r="C22" s="84"/>
      <c r="D22" s="34"/>
      <c r="E22" s="18"/>
      <c r="F22" s="7"/>
      <c r="G22" s="7"/>
      <c r="H22" s="7"/>
      <c r="I22" s="7"/>
      <c r="J22" s="7"/>
      <c r="K22" s="7"/>
      <c r="L22" s="7"/>
      <c r="M22" s="7"/>
      <c r="N22" s="7"/>
      <c r="O22" s="7"/>
      <c r="P22" s="7"/>
    </row>
    <row r="23" spans="1:16" ht="13.5" thickBot="1">
      <c r="A23" s="83">
        <f t="shared" si="0"/>
        <v>16</v>
      </c>
      <c r="C23" s="85" t="s">
        <v>201</v>
      </c>
      <c r="D23" s="36">
        <f>SUM(D9:D21)/13</f>
        <v>8103</v>
      </c>
      <c r="E23" s="18"/>
      <c r="F23" s="7"/>
      <c r="G23" s="7"/>
      <c r="H23" s="7"/>
      <c r="I23" s="7"/>
      <c r="J23" s="7"/>
      <c r="K23" s="7"/>
      <c r="L23" s="7"/>
      <c r="M23" s="7"/>
      <c r="N23" s="7"/>
      <c r="O23" s="7"/>
      <c r="P23" s="7"/>
    </row>
    <row r="24" spans="1:16" ht="13.5" thickTop="1">
      <c r="A24" s="83"/>
      <c r="D24" s="18"/>
      <c r="E24" s="18"/>
      <c r="F24" s="7"/>
      <c r="G24" s="7"/>
      <c r="H24" s="7"/>
      <c r="I24" s="7"/>
      <c r="J24" s="7"/>
      <c r="K24" s="7"/>
      <c r="L24" s="7"/>
      <c r="M24" s="7"/>
      <c r="N24" s="7"/>
      <c r="O24" s="7"/>
      <c r="P24" s="7"/>
    </row>
    <row r="25" spans="1:16">
      <c r="A25" s="83"/>
      <c r="D25" s="76" t="s">
        <v>185</v>
      </c>
      <c r="E25" s="78"/>
      <c r="F25" s="7"/>
      <c r="G25" s="7"/>
      <c r="H25" s="7"/>
      <c r="I25" s="7"/>
      <c r="J25" s="7"/>
      <c r="K25" s="7"/>
      <c r="L25" s="7"/>
      <c r="M25" s="7"/>
      <c r="N25" s="7"/>
      <c r="O25" s="7"/>
      <c r="P25" s="7"/>
    </row>
    <row r="26" spans="1:16">
      <c r="A26" s="83"/>
      <c r="C26" s="7"/>
      <c r="D26" s="76">
        <v>105</v>
      </c>
      <c r="E26" s="78"/>
      <c r="F26" s="7"/>
      <c r="G26" s="7"/>
      <c r="H26" s="7"/>
      <c r="I26" s="7"/>
      <c r="J26" s="7"/>
      <c r="K26" s="7"/>
      <c r="L26" s="7"/>
      <c r="M26" s="7"/>
      <c r="N26" s="7"/>
      <c r="O26" s="7"/>
      <c r="P26" s="7"/>
    </row>
    <row r="27" spans="1:16">
      <c r="A27" s="83">
        <f>A23+1</f>
        <v>17</v>
      </c>
      <c r="B27" s="81" t="s">
        <v>30</v>
      </c>
      <c r="C27" s="82"/>
      <c r="D27" s="35"/>
      <c r="F27" s="7"/>
      <c r="G27" s="7"/>
      <c r="H27" s="7"/>
      <c r="I27" s="7"/>
      <c r="J27" s="7"/>
      <c r="K27" s="7"/>
      <c r="L27" s="7"/>
      <c r="M27" s="7"/>
      <c r="N27" s="7"/>
      <c r="O27" s="7"/>
      <c r="P27" s="7"/>
    </row>
    <row r="28" spans="1:16" ht="13.5" customHeight="1">
      <c r="A28" s="83">
        <f t="shared" si="0"/>
        <v>18</v>
      </c>
      <c r="C28" s="484" t="s">
        <v>327</v>
      </c>
      <c r="D28" s="25">
        <v>0</v>
      </c>
      <c r="E28" s="26"/>
      <c r="F28" s="7"/>
      <c r="G28" s="7"/>
      <c r="H28" s="7"/>
      <c r="I28" s="7"/>
      <c r="J28" s="7"/>
      <c r="K28" s="7"/>
      <c r="L28" s="7"/>
      <c r="M28" s="7"/>
      <c r="N28" s="7"/>
      <c r="O28" s="7"/>
      <c r="P28" s="7"/>
    </row>
    <row r="29" spans="1:16">
      <c r="A29" s="83">
        <f t="shared" si="0"/>
        <v>19</v>
      </c>
      <c r="C29" s="484" t="s">
        <v>791</v>
      </c>
      <c r="D29" s="26">
        <v>0</v>
      </c>
      <c r="E29" s="26"/>
      <c r="F29" s="7"/>
      <c r="G29" s="7"/>
      <c r="H29" s="7"/>
      <c r="I29" s="7"/>
      <c r="J29" s="7"/>
      <c r="K29" s="7"/>
      <c r="L29" s="7"/>
      <c r="M29" s="7"/>
      <c r="N29" s="7"/>
      <c r="O29" s="7"/>
      <c r="P29" s="7"/>
    </row>
    <row r="30" spans="1:16">
      <c r="A30" s="83">
        <f t="shared" si="0"/>
        <v>20</v>
      </c>
      <c r="C30" s="84" t="s">
        <v>166</v>
      </c>
      <c r="D30" s="26">
        <v>0</v>
      </c>
      <c r="E30" s="26"/>
      <c r="F30" s="7"/>
      <c r="G30" s="7"/>
      <c r="H30" s="7"/>
      <c r="I30" s="7"/>
      <c r="J30" s="7"/>
      <c r="K30" s="7"/>
      <c r="L30" s="7"/>
      <c r="M30" s="7"/>
      <c r="N30" s="7"/>
      <c r="O30" s="7"/>
      <c r="P30" s="7"/>
    </row>
    <row r="31" spans="1:16">
      <c r="A31" s="83">
        <f t="shared" si="0"/>
        <v>21</v>
      </c>
      <c r="C31" s="84" t="s">
        <v>167</v>
      </c>
      <c r="D31" s="26">
        <v>0</v>
      </c>
      <c r="E31" s="26"/>
      <c r="F31" s="7"/>
      <c r="G31" s="7"/>
      <c r="H31" s="7"/>
      <c r="I31" s="7"/>
      <c r="J31" s="7"/>
      <c r="K31" s="7"/>
      <c r="L31" s="7"/>
      <c r="M31" s="7"/>
      <c r="N31" s="7"/>
      <c r="O31" s="7"/>
      <c r="P31" s="7"/>
    </row>
    <row r="32" spans="1:16">
      <c r="A32" s="83">
        <f t="shared" si="0"/>
        <v>22</v>
      </c>
      <c r="C32" s="84" t="s">
        <v>168</v>
      </c>
      <c r="D32" s="26">
        <v>0</v>
      </c>
      <c r="E32" s="26"/>
      <c r="F32" s="7"/>
      <c r="G32" s="7"/>
      <c r="H32" s="7"/>
      <c r="I32" s="7"/>
      <c r="J32" s="7"/>
      <c r="K32" s="7"/>
      <c r="L32" s="7"/>
      <c r="M32" s="7"/>
      <c r="N32" s="7"/>
      <c r="O32" s="7"/>
      <c r="P32" s="7"/>
    </row>
    <row r="33" spans="1:16">
      <c r="A33" s="83">
        <f t="shared" si="0"/>
        <v>23</v>
      </c>
      <c r="C33" s="84" t="s">
        <v>140</v>
      </c>
      <c r="D33" s="26">
        <v>0</v>
      </c>
      <c r="E33" s="26"/>
      <c r="F33" s="7"/>
      <c r="G33" s="7"/>
      <c r="H33" s="7"/>
      <c r="I33" s="7"/>
      <c r="J33" s="7"/>
      <c r="K33" s="7"/>
      <c r="L33" s="7"/>
      <c r="M33" s="7"/>
      <c r="N33" s="7"/>
      <c r="O33" s="7"/>
      <c r="P33" s="7"/>
    </row>
    <row r="34" spans="1:16">
      <c r="A34" s="83">
        <f t="shared" si="0"/>
        <v>24</v>
      </c>
      <c r="C34" s="84" t="s">
        <v>169</v>
      </c>
      <c r="D34" s="26">
        <v>0</v>
      </c>
      <c r="E34" s="26"/>
      <c r="F34" s="7"/>
      <c r="G34" s="7"/>
      <c r="H34" s="7"/>
      <c r="I34" s="7"/>
      <c r="J34" s="7"/>
      <c r="K34" s="7"/>
      <c r="L34" s="7"/>
      <c r="M34" s="7"/>
      <c r="N34" s="7"/>
      <c r="O34" s="7"/>
      <c r="P34" s="7"/>
    </row>
    <row r="35" spans="1:16">
      <c r="A35" s="83">
        <f t="shared" si="0"/>
        <v>25</v>
      </c>
      <c r="C35" s="84" t="s">
        <v>170</v>
      </c>
      <c r="D35" s="26">
        <v>0</v>
      </c>
      <c r="E35" s="26"/>
      <c r="F35" s="7"/>
      <c r="G35" s="7"/>
      <c r="H35" s="7"/>
      <c r="I35" s="7"/>
      <c r="J35" s="7"/>
      <c r="K35" s="7"/>
      <c r="L35" s="7"/>
      <c r="M35" s="7"/>
      <c r="N35" s="7"/>
      <c r="O35" s="7"/>
      <c r="P35" s="7"/>
    </row>
    <row r="36" spans="1:16">
      <c r="A36" s="83">
        <f t="shared" si="0"/>
        <v>26</v>
      </c>
      <c r="C36" s="84" t="s">
        <v>171</v>
      </c>
      <c r="D36" s="26">
        <v>0</v>
      </c>
      <c r="E36" s="26"/>
      <c r="F36" s="7"/>
      <c r="G36" s="7"/>
      <c r="H36" s="7"/>
      <c r="I36" s="7"/>
      <c r="J36" s="7"/>
      <c r="K36" s="7"/>
      <c r="L36" s="7"/>
      <c r="M36" s="7"/>
      <c r="N36" s="7"/>
      <c r="O36" s="7"/>
      <c r="P36" s="7"/>
    </row>
    <row r="37" spans="1:16">
      <c r="A37" s="83">
        <f t="shared" si="0"/>
        <v>27</v>
      </c>
      <c r="C37" s="84" t="s">
        <v>172</v>
      </c>
      <c r="D37" s="26">
        <v>0</v>
      </c>
      <c r="E37" s="26"/>
      <c r="F37" s="7"/>
      <c r="G37" s="7"/>
      <c r="H37" s="7"/>
      <c r="I37" s="7"/>
      <c r="J37" s="7"/>
      <c r="K37" s="7"/>
      <c r="L37" s="7"/>
      <c r="M37" s="7"/>
      <c r="N37" s="7"/>
      <c r="O37" s="7"/>
      <c r="P37" s="7"/>
    </row>
    <row r="38" spans="1:16">
      <c r="A38" s="83">
        <f t="shared" ref="A38:A61" si="2">+A37+1</f>
        <v>28</v>
      </c>
      <c r="C38" s="84" t="s">
        <v>173</v>
      </c>
      <c r="D38" s="26">
        <v>0</v>
      </c>
      <c r="E38" s="26"/>
      <c r="F38" s="7"/>
      <c r="G38" s="7"/>
      <c r="H38" s="7"/>
      <c r="I38" s="7"/>
      <c r="J38" s="7"/>
      <c r="K38" s="7"/>
      <c r="L38" s="7"/>
      <c r="M38" s="7"/>
      <c r="N38" s="7"/>
      <c r="O38" s="7"/>
      <c r="P38" s="7"/>
    </row>
    <row r="39" spans="1:16">
      <c r="A39" s="83">
        <f t="shared" si="2"/>
        <v>29</v>
      </c>
      <c r="C39" s="84" t="s">
        <v>174</v>
      </c>
      <c r="D39" s="26">
        <v>0</v>
      </c>
      <c r="E39" s="26"/>
      <c r="F39" s="7"/>
      <c r="G39" s="7"/>
      <c r="H39" s="7"/>
      <c r="I39" s="7"/>
      <c r="J39" s="7"/>
      <c r="K39" s="7"/>
      <c r="L39" s="7"/>
      <c r="M39" s="7"/>
      <c r="N39" s="7"/>
      <c r="O39" s="7"/>
      <c r="P39" s="7"/>
    </row>
    <row r="40" spans="1:16">
      <c r="A40" s="83">
        <f t="shared" si="2"/>
        <v>30</v>
      </c>
      <c r="C40" s="484" t="s">
        <v>792</v>
      </c>
      <c r="D40" s="26">
        <v>0</v>
      </c>
      <c r="E40" s="26"/>
      <c r="F40" s="7"/>
      <c r="G40" s="7"/>
      <c r="H40" s="7"/>
      <c r="I40" s="7"/>
      <c r="J40" s="7"/>
      <c r="K40" s="7"/>
      <c r="L40" s="7"/>
      <c r="M40" s="7"/>
      <c r="N40" s="7"/>
      <c r="O40" s="7"/>
      <c r="P40" s="7"/>
    </row>
    <row r="41" spans="1:16">
      <c r="A41" s="83">
        <f t="shared" si="2"/>
        <v>31</v>
      </c>
      <c r="C41" s="84"/>
      <c r="D41" s="34"/>
      <c r="E41" s="18"/>
      <c r="F41" s="7"/>
      <c r="G41" s="7"/>
      <c r="H41" s="7"/>
      <c r="I41" s="7"/>
      <c r="J41" s="7"/>
      <c r="K41" s="7"/>
      <c r="L41" s="7"/>
      <c r="M41" s="7"/>
      <c r="N41" s="7"/>
      <c r="O41" s="7"/>
      <c r="P41" s="7"/>
    </row>
    <row r="42" spans="1:16" ht="13.5" thickBot="1">
      <c r="A42" s="83">
        <f t="shared" si="2"/>
        <v>32</v>
      </c>
      <c r="C42" s="85" t="s">
        <v>201</v>
      </c>
      <c r="D42" s="36">
        <f>SUM(D28:D40)/13</f>
        <v>0</v>
      </c>
      <c r="E42" s="18"/>
      <c r="F42" s="7"/>
      <c r="G42" s="7"/>
      <c r="H42" s="7"/>
      <c r="I42" s="7"/>
      <c r="J42" s="7"/>
      <c r="K42" s="7"/>
      <c r="L42" s="7"/>
      <c r="M42" s="7"/>
      <c r="N42" s="7"/>
      <c r="O42" s="7"/>
      <c r="P42" s="7"/>
    </row>
    <row r="43" spans="1:16" ht="13.5" thickTop="1">
      <c r="A43" s="83"/>
      <c r="C43" s="7"/>
      <c r="D43" s="7"/>
      <c r="E43" s="7"/>
      <c r="F43" s="7"/>
      <c r="G43" s="7"/>
      <c r="H43" s="7"/>
      <c r="I43" s="7"/>
      <c r="J43" s="7"/>
      <c r="K43" s="7"/>
      <c r="L43" s="7"/>
      <c r="M43" s="7"/>
      <c r="N43" s="7"/>
      <c r="O43" s="7"/>
      <c r="P43" s="7"/>
    </row>
    <row r="44" spans="1:16">
      <c r="A44" s="83"/>
      <c r="C44" s="7"/>
      <c r="D44" s="76" t="s">
        <v>185</v>
      </c>
      <c r="E44" s="78"/>
      <c r="F44" s="7"/>
      <c r="G44" s="7"/>
      <c r="H44" s="7"/>
      <c r="I44" s="7"/>
      <c r="J44" s="7"/>
      <c r="K44" s="7"/>
      <c r="L44" s="7"/>
      <c r="M44" s="7"/>
      <c r="N44" s="7"/>
      <c r="O44" s="7"/>
      <c r="P44" s="7"/>
    </row>
    <row r="45" spans="1:16">
      <c r="A45" s="83"/>
      <c r="C45" s="7"/>
      <c r="D45" s="76">
        <v>105</v>
      </c>
      <c r="E45" s="78"/>
      <c r="F45" s="7"/>
      <c r="G45" s="7"/>
      <c r="H45" s="7"/>
      <c r="I45" s="7"/>
      <c r="J45" s="7"/>
      <c r="K45" s="7"/>
      <c r="L45" s="7"/>
      <c r="M45" s="7"/>
      <c r="N45" s="7"/>
      <c r="O45" s="7"/>
      <c r="P45" s="7"/>
    </row>
    <row r="46" spans="1:16">
      <c r="A46" s="83">
        <f>A42+1</f>
        <v>33</v>
      </c>
      <c r="B46" s="81" t="s">
        <v>31</v>
      </c>
      <c r="C46" s="82"/>
      <c r="D46" s="35"/>
      <c r="F46" s="7"/>
      <c r="G46" s="7"/>
      <c r="H46" s="7"/>
      <c r="I46" s="7"/>
      <c r="J46" s="7"/>
      <c r="K46" s="7"/>
      <c r="L46" s="7"/>
      <c r="M46" s="7"/>
      <c r="N46" s="7"/>
      <c r="O46" s="7"/>
      <c r="P46" s="7"/>
    </row>
    <row r="47" spans="1:16">
      <c r="A47" s="83">
        <f t="shared" si="2"/>
        <v>34</v>
      </c>
      <c r="C47" s="484" t="s">
        <v>327</v>
      </c>
      <c r="D47" s="25">
        <v>8103</v>
      </c>
      <c r="E47" s="26"/>
      <c r="F47" s="7"/>
      <c r="G47" s="7"/>
      <c r="H47" s="7"/>
      <c r="I47" s="7"/>
      <c r="J47" s="7"/>
      <c r="K47" s="7"/>
      <c r="L47" s="7"/>
      <c r="M47" s="7"/>
      <c r="N47" s="7"/>
      <c r="O47" s="7"/>
      <c r="P47" s="7"/>
    </row>
    <row r="48" spans="1:16">
      <c r="A48" s="83">
        <f t="shared" si="2"/>
        <v>35</v>
      </c>
      <c r="C48" s="484" t="s">
        <v>791</v>
      </c>
      <c r="D48" s="26">
        <v>8103</v>
      </c>
      <c r="E48" s="26"/>
      <c r="F48" s="7"/>
      <c r="G48" s="7"/>
      <c r="H48" s="7"/>
      <c r="I48" s="7"/>
      <c r="J48" s="7"/>
      <c r="K48" s="7"/>
      <c r="L48" s="7"/>
      <c r="M48" s="7"/>
      <c r="N48" s="7"/>
      <c r="O48" s="7"/>
      <c r="P48" s="7"/>
    </row>
    <row r="49" spans="1:16">
      <c r="A49" s="83">
        <f t="shared" si="2"/>
        <v>36</v>
      </c>
      <c r="C49" s="84" t="s">
        <v>166</v>
      </c>
      <c r="D49" s="26">
        <v>8103</v>
      </c>
      <c r="E49" s="26"/>
      <c r="F49" s="7"/>
      <c r="G49" s="7"/>
      <c r="H49" s="7"/>
      <c r="I49" s="7"/>
      <c r="J49" s="7"/>
      <c r="K49" s="7"/>
      <c r="L49" s="7"/>
      <c r="M49" s="7"/>
      <c r="N49" s="7"/>
      <c r="O49" s="7"/>
      <c r="P49" s="7"/>
    </row>
    <row r="50" spans="1:16">
      <c r="A50" s="83">
        <f t="shared" si="2"/>
        <v>37</v>
      </c>
      <c r="C50" s="84" t="s">
        <v>167</v>
      </c>
      <c r="D50" s="26">
        <v>8103</v>
      </c>
      <c r="E50" s="26"/>
      <c r="F50" s="7"/>
      <c r="G50" s="7"/>
      <c r="H50" s="7"/>
      <c r="I50" s="7"/>
      <c r="J50" s="7"/>
      <c r="K50" s="7"/>
      <c r="L50" s="7"/>
      <c r="M50" s="7"/>
      <c r="N50" s="7"/>
      <c r="O50" s="7"/>
      <c r="P50" s="7"/>
    </row>
    <row r="51" spans="1:16">
      <c r="A51" s="83">
        <f t="shared" si="2"/>
        <v>38</v>
      </c>
      <c r="C51" s="84" t="s">
        <v>168</v>
      </c>
      <c r="D51" s="26">
        <v>8103</v>
      </c>
      <c r="E51" s="26"/>
      <c r="F51" s="7"/>
      <c r="G51" s="7"/>
      <c r="H51" s="7"/>
      <c r="I51" s="7"/>
      <c r="J51" s="7"/>
      <c r="K51" s="7"/>
      <c r="L51" s="7"/>
      <c r="M51" s="7"/>
      <c r="N51" s="7"/>
      <c r="O51" s="7"/>
      <c r="P51" s="7"/>
    </row>
    <row r="52" spans="1:16">
      <c r="A52" s="83">
        <f t="shared" si="2"/>
        <v>39</v>
      </c>
      <c r="C52" s="84" t="s">
        <v>140</v>
      </c>
      <c r="D52" s="26">
        <v>8103</v>
      </c>
      <c r="E52" s="26"/>
      <c r="F52" s="7"/>
      <c r="G52" s="7"/>
      <c r="H52" s="7"/>
      <c r="I52" s="7"/>
      <c r="J52" s="7"/>
      <c r="K52" s="7"/>
      <c r="L52" s="7"/>
      <c r="M52" s="7"/>
      <c r="N52" s="7"/>
      <c r="O52" s="7"/>
      <c r="P52" s="7"/>
    </row>
    <row r="53" spans="1:16">
      <c r="A53" s="83">
        <f t="shared" si="2"/>
        <v>40</v>
      </c>
      <c r="C53" s="84" t="s">
        <v>169</v>
      </c>
      <c r="D53" s="26">
        <v>8103</v>
      </c>
      <c r="E53" s="26"/>
      <c r="F53" s="7"/>
      <c r="G53" s="7"/>
      <c r="H53" s="7"/>
      <c r="I53" s="7"/>
      <c r="J53" s="7"/>
      <c r="K53" s="7"/>
      <c r="L53" s="7"/>
      <c r="M53" s="7"/>
      <c r="N53" s="7"/>
      <c r="O53" s="7"/>
      <c r="P53" s="7"/>
    </row>
    <row r="54" spans="1:16">
      <c r="A54" s="83">
        <f t="shared" si="2"/>
        <v>41</v>
      </c>
      <c r="C54" s="84" t="s">
        <v>170</v>
      </c>
      <c r="D54" s="26">
        <v>8103</v>
      </c>
      <c r="E54" s="26"/>
      <c r="F54" s="7"/>
      <c r="G54" s="7"/>
      <c r="H54" s="7"/>
      <c r="I54" s="7"/>
      <c r="J54" s="7"/>
      <c r="K54" s="7"/>
      <c r="L54" s="7"/>
      <c r="M54" s="7"/>
      <c r="N54" s="7"/>
      <c r="O54" s="7"/>
      <c r="P54" s="7"/>
    </row>
    <row r="55" spans="1:16">
      <c r="A55" s="83">
        <f t="shared" si="2"/>
        <v>42</v>
      </c>
      <c r="C55" s="84" t="s">
        <v>171</v>
      </c>
      <c r="D55" s="26">
        <v>8103</v>
      </c>
      <c r="E55" s="26"/>
      <c r="F55" s="7"/>
      <c r="G55" s="7"/>
      <c r="H55" s="7"/>
      <c r="I55" s="7"/>
      <c r="J55" s="7"/>
      <c r="K55" s="7"/>
      <c r="L55" s="7"/>
      <c r="M55" s="7"/>
      <c r="N55" s="7"/>
      <c r="O55" s="7"/>
      <c r="P55" s="7"/>
    </row>
    <row r="56" spans="1:16">
      <c r="A56" s="83">
        <f t="shared" si="2"/>
        <v>43</v>
      </c>
      <c r="C56" s="84" t="s">
        <v>172</v>
      </c>
      <c r="D56" s="26">
        <v>8103</v>
      </c>
      <c r="E56" s="26"/>
      <c r="F56" s="7"/>
      <c r="G56" s="7"/>
      <c r="H56" s="7"/>
      <c r="I56" s="7"/>
      <c r="J56" s="7"/>
      <c r="K56" s="7"/>
      <c r="L56" s="7"/>
      <c r="M56" s="7"/>
      <c r="N56" s="7"/>
      <c r="O56" s="7"/>
      <c r="P56" s="7"/>
    </row>
    <row r="57" spans="1:16">
      <c r="A57" s="83">
        <f t="shared" si="2"/>
        <v>44</v>
      </c>
      <c r="C57" s="84" t="s">
        <v>173</v>
      </c>
      <c r="D57" s="26">
        <v>8103</v>
      </c>
      <c r="E57" s="26"/>
      <c r="F57" s="7"/>
      <c r="G57" s="7"/>
      <c r="H57" s="7"/>
      <c r="I57" s="7"/>
      <c r="J57" s="7"/>
      <c r="K57" s="7"/>
      <c r="L57" s="7"/>
      <c r="M57" s="7"/>
      <c r="N57" s="7"/>
      <c r="O57" s="7"/>
      <c r="P57" s="7"/>
    </row>
    <row r="58" spans="1:16">
      <c r="A58" s="83">
        <f t="shared" si="2"/>
        <v>45</v>
      </c>
      <c r="C58" s="84" t="s">
        <v>174</v>
      </c>
      <c r="D58" s="26">
        <v>8103</v>
      </c>
      <c r="E58" s="26"/>
      <c r="F58" s="7"/>
      <c r="G58" s="7"/>
      <c r="H58" s="7"/>
      <c r="I58" s="7"/>
      <c r="J58" s="7"/>
      <c r="K58" s="7"/>
      <c r="L58" s="7"/>
      <c r="M58" s="7"/>
      <c r="N58" s="7"/>
      <c r="O58" s="7"/>
      <c r="P58" s="7"/>
    </row>
    <row r="59" spans="1:16">
      <c r="A59" s="83">
        <f t="shared" si="2"/>
        <v>46</v>
      </c>
      <c r="C59" s="484" t="s">
        <v>792</v>
      </c>
      <c r="D59" s="26">
        <v>8103</v>
      </c>
      <c r="E59" s="26"/>
      <c r="F59" s="7"/>
      <c r="G59" s="7"/>
      <c r="H59" s="7"/>
      <c r="I59" s="7"/>
      <c r="J59" s="7"/>
      <c r="K59" s="7"/>
      <c r="L59" s="7"/>
      <c r="M59" s="7"/>
      <c r="N59" s="7"/>
      <c r="O59" s="7"/>
      <c r="P59" s="7"/>
    </row>
    <row r="60" spans="1:16">
      <c r="A60" s="83">
        <f t="shared" si="2"/>
        <v>47</v>
      </c>
      <c r="C60" s="84"/>
      <c r="D60" s="34"/>
      <c r="E60" s="18"/>
      <c r="F60" s="7"/>
      <c r="G60" s="7"/>
      <c r="H60" s="7"/>
      <c r="I60" s="7"/>
      <c r="J60" s="7"/>
      <c r="K60" s="7"/>
      <c r="L60" s="7"/>
      <c r="M60" s="7"/>
      <c r="N60" s="7"/>
      <c r="O60" s="7"/>
      <c r="P60" s="7"/>
    </row>
    <row r="61" spans="1:16" ht="13.5" thickBot="1">
      <c r="A61" s="83">
        <f t="shared" si="2"/>
        <v>48</v>
      </c>
      <c r="C61" s="85" t="s">
        <v>201</v>
      </c>
      <c r="D61" s="36">
        <f>SUM(D47:D59)/13</f>
        <v>8103</v>
      </c>
      <c r="E61" s="18"/>
      <c r="F61" s="7"/>
      <c r="G61" s="7"/>
      <c r="H61" s="7"/>
      <c r="I61" s="7"/>
      <c r="J61" s="7"/>
      <c r="K61" s="7"/>
      <c r="L61" s="7"/>
      <c r="M61" s="7"/>
      <c r="N61" s="7"/>
      <c r="O61" s="7"/>
      <c r="P61" s="7"/>
    </row>
    <row r="62" spans="1:16" ht="13.5" thickTop="1"/>
    <row r="64" spans="1:16">
      <c r="C64" s="72"/>
    </row>
  </sheetData>
  <phoneticPr fontId="10" type="noConversion"/>
  <printOptions horizontalCentered="1"/>
  <pageMargins left="0.75" right="0.25" top="0.75" bottom="0.4" header="0" footer="0.25"/>
  <pageSetup scale="93" orientation="portrait" r:id="rId1"/>
  <headerFooter alignWithMargins="0">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P66"/>
  <sheetViews>
    <sheetView showGridLines="0" topLeftCell="A22" zoomScaleNormal="75" workbookViewId="0">
      <selection activeCell="C71" sqref="C71"/>
    </sheetView>
  </sheetViews>
  <sheetFormatPr defaultColWidth="14.44140625" defaultRowHeight="12.75"/>
  <cols>
    <col min="1" max="1" width="5.44140625" style="74" customWidth="1"/>
    <col min="2" max="2" width="2.88671875" style="4" customWidth="1"/>
    <col min="3" max="3" width="34.6640625" style="4" customWidth="1"/>
    <col min="4" max="4" width="14.44140625" style="4" customWidth="1"/>
    <col min="5" max="5" width="0.88671875" style="4" customWidth="1"/>
    <col min="6" max="6" width="16.33203125" style="4" bestFit="1" customWidth="1"/>
    <col min="7" max="7" width="0.88671875" style="4" customWidth="1"/>
    <col min="8" max="8" width="12.88671875" style="4" bestFit="1" customWidth="1"/>
    <col min="9" max="9" width="0.88671875" style="4" customWidth="1"/>
    <col min="10" max="10" width="12.88671875" style="4" bestFit="1" customWidth="1"/>
    <col min="11" max="11" width="0.88671875" style="4" customWidth="1"/>
    <col min="12" max="12" width="12.88671875" style="4" customWidth="1"/>
    <col min="13" max="13" width="0.88671875" style="4" customWidth="1"/>
    <col min="14" max="14" width="18.109375" style="4" bestFit="1" customWidth="1"/>
    <col min="15" max="15" width="0.6640625" style="4" customWidth="1"/>
    <col min="16" max="16" width="14.44140625" style="4" bestFit="1" customWidth="1"/>
    <col min="17" max="16384" width="14.44140625" style="4"/>
  </cols>
  <sheetData>
    <row r="1" spans="1:16">
      <c r="A1" s="71" t="s">
        <v>27</v>
      </c>
      <c r="B1" s="72"/>
      <c r="C1" s="72"/>
      <c r="D1" s="72"/>
      <c r="E1" s="72"/>
      <c r="F1" s="482" t="s">
        <v>789</v>
      </c>
      <c r="G1" s="72"/>
      <c r="H1" s="72"/>
      <c r="I1" s="72"/>
      <c r="J1" s="72"/>
      <c r="K1" s="72"/>
      <c r="L1" s="72"/>
      <c r="M1" s="72"/>
      <c r="N1" s="72"/>
      <c r="O1" s="72"/>
    </row>
    <row r="2" spans="1:16">
      <c r="A2" s="71" t="s">
        <v>24</v>
      </c>
      <c r="B2" s="72"/>
      <c r="C2" s="72"/>
      <c r="D2" s="72"/>
      <c r="E2" s="72"/>
      <c r="F2" s="73"/>
      <c r="G2" s="72"/>
      <c r="H2" s="72"/>
      <c r="I2" s="72"/>
      <c r="J2" s="72"/>
      <c r="K2" s="72"/>
      <c r="L2" s="72"/>
      <c r="M2" s="72"/>
      <c r="N2" s="72"/>
      <c r="O2" s="72"/>
    </row>
    <row r="3" spans="1:16">
      <c r="A3" s="483" t="s">
        <v>790</v>
      </c>
      <c r="B3" s="72"/>
      <c r="C3" s="72"/>
      <c r="E3" s="72"/>
      <c r="F3" s="72"/>
      <c r="G3" s="72"/>
      <c r="H3" s="72"/>
      <c r="I3" s="72"/>
      <c r="J3" s="72"/>
      <c r="K3" s="72"/>
      <c r="L3" s="72"/>
      <c r="M3" s="72"/>
      <c r="N3" s="72"/>
      <c r="O3" s="72"/>
    </row>
    <row r="4" spans="1:16">
      <c r="A4" s="503" t="s">
        <v>269</v>
      </c>
    </row>
    <row r="5" spans="1:16" ht="9.75" customHeight="1">
      <c r="D5" s="7"/>
      <c r="E5" s="7"/>
      <c r="F5" s="7"/>
      <c r="G5" s="7"/>
      <c r="H5" s="7"/>
      <c r="I5" s="7"/>
      <c r="J5" s="7"/>
      <c r="K5" s="7"/>
      <c r="L5" s="7"/>
      <c r="M5" s="7"/>
      <c r="N5" s="7"/>
      <c r="O5" s="7"/>
      <c r="P5" s="7"/>
    </row>
    <row r="6" spans="1:16">
      <c r="A6" s="74" t="s">
        <v>165</v>
      </c>
      <c r="D6" s="76" t="s">
        <v>43</v>
      </c>
      <c r="E6" s="78"/>
      <c r="F6" s="46" t="s">
        <v>164</v>
      </c>
      <c r="G6" s="7"/>
      <c r="H6" s="7"/>
      <c r="I6" s="7"/>
      <c r="J6" s="7"/>
      <c r="K6" s="7"/>
      <c r="L6" s="7"/>
      <c r="M6" s="7"/>
      <c r="N6" s="7"/>
      <c r="O6" s="7"/>
      <c r="P6" s="7"/>
    </row>
    <row r="7" spans="1:16">
      <c r="A7" s="79" t="s">
        <v>141</v>
      </c>
      <c r="D7" s="76" t="s">
        <v>44</v>
      </c>
      <c r="E7" s="78"/>
      <c r="F7" s="39" t="s">
        <v>45</v>
      </c>
      <c r="G7" s="7"/>
      <c r="H7" s="7"/>
      <c r="I7" s="7"/>
      <c r="J7" s="7"/>
      <c r="K7" s="7"/>
      <c r="L7" s="7"/>
      <c r="M7" s="7"/>
      <c r="N7" s="7"/>
      <c r="O7" s="7"/>
      <c r="P7" s="7"/>
    </row>
    <row r="8" spans="1:16">
      <c r="A8" s="80"/>
      <c r="B8" s="81" t="s">
        <v>28</v>
      </c>
      <c r="C8" s="82"/>
      <c r="D8" s="35"/>
      <c r="F8" s="7"/>
      <c r="G8" s="7"/>
      <c r="H8" s="7"/>
      <c r="I8" s="7"/>
      <c r="J8" s="7"/>
      <c r="K8" s="7"/>
      <c r="L8" s="7"/>
      <c r="M8" s="7"/>
      <c r="N8" s="84"/>
      <c r="O8" s="7"/>
      <c r="P8" s="7"/>
    </row>
    <row r="9" spans="1:16">
      <c r="A9" s="83">
        <f>+A8+1</f>
        <v>1</v>
      </c>
      <c r="C9" s="84" t="s">
        <v>327</v>
      </c>
      <c r="D9" s="26">
        <f>+D19+D31</f>
        <v>401301</v>
      </c>
      <c r="E9" s="26"/>
      <c r="F9" s="26">
        <f>+F19+F31</f>
        <v>91161048</v>
      </c>
      <c r="G9" s="7"/>
      <c r="H9" s="7"/>
      <c r="I9" s="7"/>
      <c r="J9" s="7"/>
      <c r="K9" s="7"/>
      <c r="L9" s="7"/>
      <c r="M9" s="7"/>
      <c r="N9" s="84"/>
      <c r="O9" s="7"/>
      <c r="P9" s="7"/>
    </row>
    <row r="10" spans="1:16">
      <c r="A10" s="83">
        <f>A9+1</f>
        <v>2</v>
      </c>
      <c r="C10" s="484" t="s">
        <v>792</v>
      </c>
      <c r="D10" s="41">
        <f>+D20+D32</f>
        <v>764682</v>
      </c>
      <c r="E10" s="26"/>
      <c r="F10" s="41">
        <f>+F20+F32</f>
        <v>79215316</v>
      </c>
      <c r="G10" s="7"/>
      <c r="H10" s="7"/>
      <c r="I10" s="7"/>
      <c r="J10" s="7"/>
      <c r="K10" s="7"/>
      <c r="L10" s="7"/>
      <c r="M10" s="7"/>
      <c r="N10" s="7"/>
      <c r="O10" s="7"/>
      <c r="P10" s="7"/>
    </row>
    <row r="11" spans="1:16" ht="7.5" customHeight="1">
      <c r="A11" s="83"/>
      <c r="C11" s="84"/>
      <c r="D11" s="162"/>
      <c r="E11" s="18"/>
      <c r="F11" s="162"/>
      <c r="G11" s="7"/>
      <c r="H11" s="7"/>
      <c r="I11" s="7"/>
      <c r="J11" s="7"/>
      <c r="K11" s="7"/>
      <c r="L11" s="7"/>
      <c r="M11" s="7"/>
      <c r="N11" s="7"/>
      <c r="O11" s="7"/>
      <c r="P11" s="7"/>
    </row>
    <row r="12" spans="1:16">
      <c r="A12" s="83">
        <v>3</v>
      </c>
      <c r="C12" s="163" t="s">
        <v>201</v>
      </c>
      <c r="D12" s="40">
        <f>SUM(D9:D10)/2</f>
        <v>582991.5</v>
      </c>
      <c r="E12" s="162"/>
      <c r="F12" s="40">
        <f>SUM(F9:F10)/2</f>
        <v>85188182</v>
      </c>
      <c r="G12" s="7"/>
      <c r="H12" s="7"/>
      <c r="I12" s="7"/>
      <c r="J12" s="7"/>
      <c r="K12" s="7"/>
      <c r="L12" s="7"/>
      <c r="M12" s="7"/>
      <c r="N12" s="7"/>
      <c r="O12" s="7"/>
      <c r="P12" s="7"/>
    </row>
    <row r="13" spans="1:16" ht="9.75" customHeight="1">
      <c r="A13" s="83"/>
      <c r="C13" s="84"/>
      <c r="D13" s="18"/>
      <c r="E13" s="18"/>
      <c r="F13" s="7"/>
      <c r="G13" s="7"/>
      <c r="H13" s="7"/>
      <c r="I13" s="7"/>
      <c r="J13" s="7"/>
      <c r="K13" s="7"/>
      <c r="L13" s="7"/>
      <c r="M13" s="7"/>
      <c r="N13" s="18"/>
      <c r="O13" s="7"/>
      <c r="P13" s="7"/>
    </row>
    <row r="14" spans="1:16" ht="13.5" thickBot="1">
      <c r="A14" s="83">
        <f>A12+1</f>
        <v>4</v>
      </c>
      <c r="C14" s="85" t="s">
        <v>201</v>
      </c>
      <c r="D14" s="36">
        <f>D26+D38</f>
        <v>582991.5</v>
      </c>
      <c r="E14" s="8"/>
      <c r="F14" s="36">
        <f>F26+F38</f>
        <v>79528117.544368953</v>
      </c>
      <c r="H14" s="18"/>
      <c r="J14" s="18"/>
      <c r="K14" s="18"/>
      <c r="L14" s="18"/>
      <c r="M14" s="18"/>
      <c r="N14" s="7"/>
      <c r="O14" s="18"/>
      <c r="P14" s="18"/>
    </row>
    <row r="15" spans="1:16" ht="21.75" customHeight="1" thickTop="1">
      <c r="A15" s="83"/>
      <c r="D15" s="7"/>
      <c r="E15" s="7"/>
      <c r="F15" s="7"/>
      <c r="G15" s="7"/>
      <c r="H15" s="7"/>
      <c r="I15" s="7"/>
      <c r="J15" s="7"/>
      <c r="K15" s="7"/>
      <c r="L15" s="7"/>
      <c r="M15" s="7"/>
      <c r="N15" s="7"/>
      <c r="O15" s="7"/>
      <c r="P15" s="7"/>
    </row>
    <row r="16" spans="1:16">
      <c r="A16" s="83"/>
      <c r="D16" s="183" t="s">
        <v>43</v>
      </c>
      <c r="E16" s="228"/>
      <c r="F16" s="68" t="s">
        <v>164</v>
      </c>
      <c r="G16" s="7"/>
      <c r="H16" s="7"/>
      <c r="I16" s="7"/>
      <c r="J16" s="7"/>
      <c r="K16" s="7"/>
      <c r="L16" s="7"/>
      <c r="M16" s="7"/>
      <c r="N16" s="7"/>
      <c r="O16" s="7"/>
      <c r="P16" s="7"/>
    </row>
    <row r="17" spans="1:16">
      <c r="A17" s="83"/>
      <c r="C17" s="7"/>
      <c r="D17" s="183" t="s">
        <v>44</v>
      </c>
      <c r="E17" s="228"/>
      <c r="F17" s="229" t="s">
        <v>45</v>
      </c>
      <c r="G17" s="7"/>
      <c r="H17" s="7"/>
      <c r="I17" s="7"/>
      <c r="J17" s="7"/>
      <c r="K17" s="7"/>
      <c r="L17" s="7"/>
      <c r="M17" s="7"/>
      <c r="N17" s="7"/>
      <c r="O17" s="7"/>
      <c r="P17" s="7"/>
    </row>
    <row r="18" spans="1:16" ht="13.5" customHeight="1">
      <c r="A18" s="83"/>
      <c r="B18" s="81" t="s">
        <v>30</v>
      </c>
      <c r="C18" s="82"/>
      <c r="D18" s="35"/>
      <c r="F18" s="7"/>
      <c r="G18" s="7"/>
      <c r="H18" s="7"/>
      <c r="I18" s="7"/>
      <c r="J18" s="7"/>
      <c r="K18" s="7"/>
      <c r="L18" s="7"/>
      <c r="M18" s="7"/>
      <c r="N18" s="7"/>
      <c r="O18" s="7"/>
      <c r="P18" s="7"/>
    </row>
    <row r="19" spans="1:16">
      <c r="A19" s="83">
        <f>A14+1</f>
        <v>5</v>
      </c>
      <c r="C19" s="84" t="s">
        <v>327</v>
      </c>
      <c r="D19" s="26">
        <v>386995</v>
      </c>
      <c r="E19" s="26"/>
      <c r="F19" s="26">
        <f>F61</f>
        <v>65460319</v>
      </c>
      <c r="G19" s="7"/>
      <c r="H19" s="164"/>
      <c r="I19" s="7"/>
      <c r="J19" s="7"/>
      <c r="K19" s="7"/>
      <c r="L19" s="7"/>
      <c r="M19" s="7"/>
      <c r="N19" s="7"/>
      <c r="O19" s="7"/>
      <c r="P19" s="7"/>
    </row>
    <row r="20" spans="1:16">
      <c r="A20" s="83">
        <f>A19+1</f>
        <v>6</v>
      </c>
      <c r="C20" s="484" t="s">
        <v>792</v>
      </c>
      <c r="D20" s="26">
        <v>733599</v>
      </c>
      <c r="E20" s="26"/>
      <c r="F20" s="26">
        <f>D61</f>
        <v>49123849</v>
      </c>
      <c r="G20" s="7"/>
      <c r="H20" s="26"/>
      <c r="I20" s="7"/>
      <c r="J20" s="7"/>
      <c r="K20" s="7"/>
      <c r="L20" s="7"/>
      <c r="M20" s="7"/>
      <c r="N20" s="7"/>
      <c r="O20" s="7"/>
      <c r="P20" s="7"/>
    </row>
    <row r="21" spans="1:16" ht="7.5" customHeight="1">
      <c r="A21" s="83"/>
      <c r="C21" s="84"/>
      <c r="D21" s="34"/>
      <c r="E21" s="18"/>
      <c r="F21" s="34"/>
      <c r="G21" s="7"/>
      <c r="H21" s="162"/>
      <c r="I21" s="7"/>
      <c r="J21" s="7"/>
      <c r="K21" s="7"/>
      <c r="L21" s="7"/>
      <c r="M21" s="7"/>
      <c r="N21" s="7"/>
      <c r="O21" s="7"/>
      <c r="P21" s="7"/>
    </row>
    <row r="22" spans="1:16">
      <c r="A22" s="83">
        <f>A20+1</f>
        <v>7</v>
      </c>
      <c r="C22" s="163" t="s">
        <v>201</v>
      </c>
      <c r="D22" s="164">
        <f>SUM(D19:D20)/2</f>
        <v>560297</v>
      </c>
      <c r="E22" s="162"/>
      <c r="F22" s="164">
        <f>SUM(F19:F20)/2</f>
        <v>57292084</v>
      </c>
      <c r="G22" s="7"/>
      <c r="H22" s="40"/>
      <c r="I22" s="7"/>
      <c r="J22" s="7"/>
      <c r="K22" s="7"/>
      <c r="L22" s="7"/>
      <c r="M22" s="7"/>
      <c r="N22" s="7"/>
      <c r="O22" s="7"/>
      <c r="P22" s="7"/>
    </row>
    <row r="23" spans="1:16">
      <c r="A23" s="83"/>
      <c r="C23" s="84" t="s">
        <v>230</v>
      </c>
      <c r="D23" s="7"/>
      <c r="E23" s="7"/>
      <c r="F23" s="7"/>
      <c r="G23" s="7"/>
      <c r="H23" s="7"/>
      <c r="I23" s="7"/>
      <c r="J23" s="7"/>
      <c r="K23" s="7"/>
      <c r="L23" s="7"/>
      <c r="M23" s="7"/>
      <c r="N23" s="7"/>
      <c r="O23" s="7"/>
      <c r="P23" s="7"/>
    </row>
    <row r="24" spans="1:16">
      <c r="A24" s="83">
        <f>A22+1</f>
        <v>8</v>
      </c>
      <c r="C24" s="484" t="s">
        <v>795</v>
      </c>
      <c r="D24" s="47"/>
      <c r="E24" s="7"/>
      <c r="F24" s="48">
        <f>F45</f>
        <v>0.9394846371475396</v>
      </c>
      <c r="G24" s="7"/>
      <c r="H24" s="7"/>
      <c r="I24" s="7"/>
      <c r="J24" s="7"/>
      <c r="K24" s="7"/>
      <c r="L24" s="7"/>
      <c r="M24" s="7"/>
      <c r="N24" s="7"/>
      <c r="O24" s="7"/>
      <c r="P24" s="7"/>
    </row>
    <row r="25" spans="1:16" ht="7.5" customHeight="1">
      <c r="A25" s="83"/>
      <c r="C25" s="84"/>
      <c r="D25" s="7"/>
      <c r="E25" s="7"/>
      <c r="F25" s="7"/>
      <c r="G25" s="7"/>
      <c r="H25" s="7"/>
      <c r="I25" s="7"/>
      <c r="J25" s="7"/>
      <c r="K25" s="7"/>
      <c r="L25" s="7"/>
      <c r="M25" s="7"/>
      <c r="N25" s="8"/>
      <c r="O25" s="7"/>
      <c r="P25" s="7"/>
    </row>
    <row r="26" spans="1:16" s="72" customFormat="1" ht="13.5" thickBot="1">
      <c r="A26" s="83">
        <f>A24+1</f>
        <v>9</v>
      </c>
      <c r="C26" s="85" t="s">
        <v>201</v>
      </c>
      <c r="D26" s="36">
        <f>D22</f>
        <v>560297</v>
      </c>
      <c r="E26" s="8"/>
      <c r="F26" s="36">
        <f>F22*F24</f>
        <v>53825032.74816636</v>
      </c>
      <c r="G26" s="8"/>
      <c r="H26" s="8"/>
      <c r="I26" s="8"/>
      <c r="J26" s="8"/>
      <c r="K26" s="8"/>
      <c r="L26" s="8"/>
      <c r="M26" s="8"/>
      <c r="N26" s="76"/>
      <c r="O26" s="8"/>
      <c r="P26" s="8"/>
    </row>
    <row r="27" spans="1:16" ht="21.75" customHeight="1" thickTop="1">
      <c r="A27" s="83"/>
      <c r="C27" s="7"/>
      <c r="D27" s="7"/>
      <c r="E27" s="7"/>
      <c r="F27" s="7"/>
      <c r="G27" s="7"/>
      <c r="K27" s="76"/>
      <c r="M27" s="76"/>
      <c r="N27" s="7"/>
      <c r="O27" s="76"/>
      <c r="P27" s="77"/>
    </row>
    <row r="28" spans="1:16">
      <c r="A28" s="83"/>
      <c r="C28" s="7"/>
      <c r="D28" s="183" t="s">
        <v>43</v>
      </c>
      <c r="E28" s="228"/>
      <c r="F28" s="68" t="s">
        <v>164</v>
      </c>
      <c r="G28" s="7"/>
      <c r="H28" s="7"/>
      <c r="I28" s="7"/>
      <c r="J28" s="7"/>
      <c r="K28" s="7"/>
      <c r="L28" s="7"/>
      <c r="M28" s="7"/>
      <c r="N28" s="7"/>
      <c r="O28" s="7"/>
      <c r="P28" s="7"/>
    </row>
    <row r="29" spans="1:16">
      <c r="A29" s="83"/>
      <c r="C29" s="7"/>
      <c r="D29" s="183" t="s">
        <v>44</v>
      </c>
      <c r="E29" s="228"/>
      <c r="F29" s="229" t="s">
        <v>45</v>
      </c>
      <c r="G29" s="7"/>
      <c r="H29" s="7"/>
      <c r="I29" s="7"/>
      <c r="J29" s="7"/>
      <c r="K29" s="7"/>
      <c r="L29" s="7"/>
      <c r="M29" s="7"/>
      <c r="N29" s="7"/>
      <c r="O29" s="7"/>
      <c r="P29" s="7"/>
    </row>
    <row r="30" spans="1:16">
      <c r="A30" s="83"/>
      <c r="B30" s="81" t="s">
        <v>31</v>
      </c>
      <c r="C30" s="82"/>
      <c r="D30" s="35"/>
      <c r="F30" s="7"/>
      <c r="G30" s="7"/>
      <c r="H30" s="7"/>
      <c r="I30" s="7"/>
      <c r="J30" s="7"/>
      <c r="K30" s="7"/>
      <c r="L30" s="7"/>
      <c r="M30" s="7"/>
      <c r="N30" s="7"/>
      <c r="O30" s="7"/>
      <c r="P30" s="7"/>
    </row>
    <row r="31" spans="1:16">
      <c r="A31" s="83">
        <f>A26+1</f>
        <v>10</v>
      </c>
      <c r="C31" s="84" t="s">
        <v>327</v>
      </c>
      <c r="D31" s="26">
        <v>14306</v>
      </c>
      <c r="E31" s="26"/>
      <c r="F31" s="26">
        <f>F66</f>
        <v>25700729</v>
      </c>
      <c r="G31" s="7"/>
      <c r="H31" s="7"/>
      <c r="I31" s="7"/>
      <c r="J31" s="7"/>
      <c r="K31" s="7"/>
      <c r="L31" s="7"/>
      <c r="M31" s="7"/>
      <c r="N31" s="7"/>
      <c r="O31" s="7"/>
      <c r="P31" s="7"/>
    </row>
    <row r="32" spans="1:16">
      <c r="A32" s="83">
        <f>A31+1</f>
        <v>11</v>
      </c>
      <c r="C32" s="484" t="s">
        <v>792</v>
      </c>
      <c r="D32" s="26">
        <v>31083</v>
      </c>
      <c r="E32" s="26"/>
      <c r="F32" s="26">
        <f>D66</f>
        <v>30091467</v>
      </c>
      <c r="G32" s="7"/>
      <c r="H32" s="7"/>
      <c r="I32" s="7"/>
      <c r="J32" s="7"/>
      <c r="K32" s="7"/>
      <c r="L32" s="7"/>
      <c r="M32" s="7"/>
      <c r="N32" s="7"/>
      <c r="O32" s="7"/>
      <c r="P32" s="7"/>
    </row>
    <row r="33" spans="1:16" ht="7.5" customHeight="1">
      <c r="A33" s="83"/>
      <c r="C33" s="84"/>
      <c r="D33" s="34"/>
      <c r="E33" s="18"/>
      <c r="F33" s="34"/>
      <c r="G33" s="7"/>
      <c r="H33" s="7"/>
      <c r="I33" s="7"/>
      <c r="J33" s="7"/>
      <c r="K33" s="7"/>
      <c r="L33" s="7"/>
      <c r="M33" s="7"/>
      <c r="N33" s="7"/>
      <c r="O33" s="7"/>
      <c r="P33" s="7"/>
    </row>
    <row r="34" spans="1:16">
      <c r="A34" s="83">
        <f>A32+1</f>
        <v>12</v>
      </c>
      <c r="C34" s="163" t="s">
        <v>201</v>
      </c>
      <c r="D34" s="164">
        <f>SUM(D31:D32)/2</f>
        <v>22694.5</v>
      </c>
      <c r="E34" s="162"/>
      <c r="F34" s="164">
        <f>SUM(F31:F32)/2</f>
        <v>27896098</v>
      </c>
      <c r="G34" s="7"/>
      <c r="H34" s="7"/>
      <c r="I34" s="7"/>
      <c r="J34" s="7"/>
      <c r="K34" s="7"/>
      <c r="L34" s="7"/>
      <c r="M34" s="7"/>
      <c r="N34" s="7"/>
      <c r="O34" s="7"/>
      <c r="P34" s="7"/>
    </row>
    <row r="35" spans="1:16">
      <c r="A35" s="83"/>
      <c r="C35" s="84" t="s">
        <v>230</v>
      </c>
      <c r="D35" s="7"/>
      <c r="E35" s="7"/>
      <c r="F35" s="7"/>
      <c r="G35" s="7"/>
      <c r="H35" s="7"/>
      <c r="I35" s="7"/>
      <c r="J35" s="7"/>
      <c r="K35" s="7"/>
      <c r="L35" s="7"/>
      <c r="M35" s="7"/>
      <c r="N35" s="7"/>
      <c r="O35" s="7"/>
      <c r="P35" s="7"/>
    </row>
    <row r="36" spans="1:16">
      <c r="A36" s="83">
        <f>A34+1</f>
        <v>13</v>
      </c>
      <c r="C36" s="484" t="s">
        <v>795</v>
      </c>
      <c r="D36" s="47"/>
      <c r="E36" s="7"/>
      <c r="F36" s="48">
        <f>F54</f>
        <v>0.9213863815721679</v>
      </c>
      <c r="G36" s="7"/>
      <c r="H36" s="7"/>
      <c r="I36" s="7"/>
      <c r="J36" s="7"/>
      <c r="K36" s="7"/>
      <c r="L36" s="7"/>
      <c r="M36" s="7"/>
      <c r="N36" s="7"/>
      <c r="O36" s="7"/>
      <c r="P36" s="7"/>
    </row>
    <row r="37" spans="1:16" ht="7.5" customHeight="1">
      <c r="A37" s="83"/>
      <c r="C37" s="84"/>
      <c r="D37" s="7"/>
      <c r="E37" s="7"/>
      <c r="F37" s="7"/>
    </row>
    <row r="38" spans="1:16" ht="13.5" thickBot="1">
      <c r="A38" s="83">
        <f>A36+1</f>
        <v>14</v>
      </c>
      <c r="C38" s="85" t="s">
        <v>201</v>
      </c>
      <c r="D38" s="36">
        <f>D34</f>
        <v>22694.5</v>
      </c>
      <c r="E38" s="8"/>
      <c r="F38" s="36">
        <f>F34*F36</f>
        <v>25703084.796202589</v>
      </c>
    </row>
    <row r="39" spans="1:16" ht="13.5" thickTop="1">
      <c r="A39" s="83"/>
    </row>
    <row r="40" spans="1:16" ht="25.5" customHeight="1">
      <c r="A40" s="83"/>
      <c r="C40" s="49" t="s">
        <v>231</v>
      </c>
      <c r="D40" s="49"/>
    </row>
    <row r="41" spans="1:16">
      <c r="A41" s="83">
        <f>A38+1</f>
        <v>15</v>
      </c>
      <c r="C41" s="50" t="s">
        <v>233</v>
      </c>
      <c r="F41" s="165">
        <v>9905161764</v>
      </c>
    </row>
    <row r="42" spans="1:16">
      <c r="A42" s="83">
        <f>+A41+1</f>
        <v>16</v>
      </c>
      <c r="C42" s="50" t="s">
        <v>234</v>
      </c>
      <c r="F42" s="165">
        <v>638024758</v>
      </c>
    </row>
    <row r="43" spans="1:16" ht="13.5" thickBot="1">
      <c r="A43" s="83">
        <f>+A42+1</f>
        <v>17</v>
      </c>
      <c r="C43" s="50"/>
      <c r="F43" s="51">
        <f>SUM(F41:F42)</f>
        <v>10543186522</v>
      </c>
    </row>
    <row r="44" spans="1:16" ht="6.75" customHeight="1" thickTop="1">
      <c r="A44" s="83"/>
    </row>
    <row r="45" spans="1:16">
      <c r="A45" s="83">
        <f>A43+1</f>
        <v>18</v>
      </c>
      <c r="C45" s="50" t="s">
        <v>127</v>
      </c>
      <c r="F45" s="48">
        <f>F41/F43</f>
        <v>0.9394846371475396</v>
      </c>
    </row>
    <row r="46" spans="1:16">
      <c r="A46" s="83">
        <f>+A45+1</f>
        <v>19</v>
      </c>
      <c r="C46" s="50" t="s">
        <v>116</v>
      </c>
      <c r="F46" s="212">
        <f>F42/F43</f>
        <v>6.0515362852460404E-2</v>
      </c>
    </row>
    <row r="47" spans="1:16" ht="13.5" thickBot="1">
      <c r="A47" s="83">
        <f>+A46+1</f>
        <v>20</v>
      </c>
      <c r="C47" s="50" t="s">
        <v>142</v>
      </c>
      <c r="F47" s="52">
        <f>SUM(F45:F46)</f>
        <v>1</v>
      </c>
    </row>
    <row r="48" spans="1:16" ht="6.75" customHeight="1" thickTop="1">
      <c r="A48" s="83"/>
    </row>
    <row r="49" spans="1:6">
      <c r="A49" s="83"/>
      <c r="C49" s="49" t="s">
        <v>232</v>
      </c>
      <c r="D49" s="49"/>
    </row>
    <row r="50" spans="1:6">
      <c r="A50" s="83">
        <f>A47+1</f>
        <v>21</v>
      </c>
      <c r="C50" s="50" t="s">
        <v>233</v>
      </c>
      <c r="F50" s="165">
        <v>1364323669</v>
      </c>
    </row>
    <row r="51" spans="1:6">
      <c r="A51" s="83">
        <f>+A50+1</f>
        <v>22</v>
      </c>
      <c r="C51" s="50" t="s">
        <v>234</v>
      </c>
      <c r="F51" s="165">
        <v>116405476</v>
      </c>
    </row>
    <row r="52" spans="1:6" ht="13.5" thickBot="1">
      <c r="A52" s="83">
        <f>+A51+1</f>
        <v>23</v>
      </c>
      <c r="C52" s="50"/>
      <c r="F52" s="51">
        <f>SUM(F50:F51)</f>
        <v>1480729145</v>
      </c>
    </row>
    <row r="53" spans="1:6" ht="6.75" customHeight="1" thickTop="1">
      <c r="A53" s="83"/>
    </row>
    <row r="54" spans="1:6">
      <c r="A54" s="83">
        <f>A52+1</f>
        <v>24</v>
      </c>
      <c r="C54" s="50" t="s">
        <v>127</v>
      </c>
      <c r="F54" s="48">
        <f>F50/F52</f>
        <v>0.9213863815721679</v>
      </c>
    </row>
    <row r="55" spans="1:6">
      <c r="A55" s="83">
        <f>+A54+1</f>
        <v>25</v>
      </c>
      <c r="C55" s="50" t="s">
        <v>116</v>
      </c>
      <c r="F55" s="212">
        <f>F51/F52</f>
        <v>7.8613618427832058E-2</v>
      </c>
    </row>
    <row r="56" spans="1:6" ht="13.5" thickBot="1">
      <c r="A56" s="83">
        <f>+A55+1</f>
        <v>26</v>
      </c>
      <c r="C56" s="50" t="s">
        <v>142</v>
      </c>
      <c r="F56" s="52">
        <f>SUM(F54:F55)</f>
        <v>1</v>
      </c>
    </row>
    <row r="57" spans="1:6" ht="13.5" thickTop="1"/>
    <row r="58" spans="1:6">
      <c r="C58" s="614" t="s">
        <v>915</v>
      </c>
      <c r="D58" s="615" t="s">
        <v>913</v>
      </c>
      <c r="F58" s="615" t="s">
        <v>912</v>
      </c>
    </row>
    <row r="59" spans="1:6">
      <c r="A59" s="83">
        <v>27</v>
      </c>
      <c r="C59" s="485" t="s">
        <v>911</v>
      </c>
      <c r="D59" s="26">
        <f>73774783</f>
        <v>73774783</v>
      </c>
      <c r="F59" s="26">
        <f>83964342</f>
        <v>83964342</v>
      </c>
    </row>
    <row r="60" spans="1:6">
      <c r="A60" s="83">
        <v>28</v>
      </c>
      <c r="C60" s="485" t="s">
        <v>914</v>
      </c>
      <c r="D60" s="41">
        <v>24650934</v>
      </c>
      <c r="F60" s="41">
        <v>18504023</v>
      </c>
    </row>
    <row r="61" spans="1:6">
      <c r="A61" s="83">
        <v>29</v>
      </c>
      <c r="C61" s="485" t="s">
        <v>917</v>
      </c>
      <c r="D61" s="4">
        <f>D59-D60</f>
        <v>49123849</v>
      </c>
      <c r="F61" s="4">
        <f>F59-F60</f>
        <v>65460319</v>
      </c>
    </row>
    <row r="62" spans="1:6">
      <c r="A62" s="83"/>
    </row>
    <row r="63" spans="1:6">
      <c r="A63" s="83"/>
      <c r="C63" s="614" t="s">
        <v>916</v>
      </c>
      <c r="D63" s="615" t="s">
        <v>913</v>
      </c>
      <c r="F63" s="615" t="s">
        <v>912</v>
      </c>
    </row>
    <row r="64" spans="1:6">
      <c r="A64" s="83">
        <v>30</v>
      </c>
      <c r="C64" s="485" t="s">
        <v>911</v>
      </c>
      <c r="D64" s="26">
        <v>35182675</v>
      </c>
      <c r="F64" s="26">
        <v>31555388</v>
      </c>
    </row>
    <row r="65" spans="1:6">
      <c r="A65" s="83">
        <v>31</v>
      </c>
      <c r="C65" s="485" t="s">
        <v>914</v>
      </c>
      <c r="D65" s="41">
        <v>5091208</v>
      </c>
      <c r="F65" s="41">
        <v>5854659</v>
      </c>
    </row>
    <row r="66" spans="1:6">
      <c r="A66" s="83">
        <v>32</v>
      </c>
      <c r="C66" s="485" t="s">
        <v>918</v>
      </c>
      <c r="D66" s="4">
        <f>D64-D65</f>
        <v>30091467</v>
      </c>
      <c r="F66" s="4">
        <f>F64-F65</f>
        <v>25700729</v>
      </c>
    </row>
  </sheetData>
  <phoneticPr fontId="10" type="noConversion"/>
  <printOptions horizontalCentered="1"/>
  <pageMargins left="0.5" right="0.25" top="0.5" bottom="0.4" header="0" footer="0.25"/>
  <pageSetup scale="89" orientation="portrait" r:id="rId1"/>
  <headerFooter alignWithMargins="0">
    <oddFooter>Page &amp;P of &amp;N</oddFooter>
  </headerFooter>
  <ignoredErrors>
    <ignoredError sqref="F58 D58 D62:F63" numberStoredAsText="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L96"/>
  <sheetViews>
    <sheetView showGridLines="0" topLeftCell="A16" zoomScaleNormal="100" workbookViewId="0">
      <selection activeCell="O105" sqref="O105"/>
    </sheetView>
  </sheetViews>
  <sheetFormatPr defaultColWidth="8" defaultRowHeight="12.75"/>
  <cols>
    <col min="1" max="1" width="4.77734375" style="116" customWidth="1"/>
    <col min="2" max="2" width="5.77734375" style="116" customWidth="1"/>
    <col min="3" max="3" width="0.88671875" style="111" customWidth="1"/>
    <col min="4" max="4" width="44.77734375" style="111" customWidth="1"/>
    <col min="5" max="5" width="1.33203125" style="144" customWidth="1"/>
    <col min="6" max="6" width="10.77734375" style="111" customWidth="1"/>
    <col min="7" max="7" width="1.77734375" style="144" customWidth="1"/>
    <col min="8" max="8" width="10.77734375" style="111" customWidth="1"/>
    <col min="9" max="9" width="1.77734375" style="111" customWidth="1"/>
    <col min="10" max="10" width="11.77734375" style="112" customWidth="1"/>
    <col min="11" max="11" width="9.88671875" style="111" bestFit="1" customWidth="1"/>
    <col min="12" max="12" width="15.6640625" style="111" bestFit="1" customWidth="1"/>
    <col min="13" max="13" width="9.5546875" style="111" customWidth="1"/>
    <col min="14" max="16384" width="8" style="111"/>
  </cols>
  <sheetData>
    <row r="1" spans="1:12">
      <c r="A1" s="143" t="s">
        <v>27</v>
      </c>
      <c r="I1" s="113"/>
      <c r="J1" s="482" t="s">
        <v>789</v>
      </c>
    </row>
    <row r="2" spans="1:12">
      <c r="A2" s="113" t="s">
        <v>120</v>
      </c>
      <c r="I2" s="137"/>
      <c r="J2" s="114"/>
    </row>
    <row r="3" spans="1:12">
      <c r="A3" s="483" t="s">
        <v>790</v>
      </c>
      <c r="I3" s="113"/>
      <c r="J3" s="115"/>
    </row>
    <row r="4" spans="1:12">
      <c r="A4" s="503" t="s">
        <v>826</v>
      </c>
      <c r="I4" s="145"/>
    </row>
    <row r="5" spans="1:12" ht="3.75" customHeight="1">
      <c r="F5" s="146"/>
      <c r="G5" s="147"/>
      <c r="H5" s="146"/>
      <c r="I5" s="146"/>
      <c r="K5" s="146"/>
      <c r="L5" s="146"/>
    </row>
    <row r="6" spans="1:12">
      <c r="A6" s="118" t="s">
        <v>165</v>
      </c>
      <c r="B6" s="118" t="s">
        <v>323</v>
      </c>
      <c r="C6" s="137"/>
      <c r="D6" s="137"/>
      <c r="E6" s="142"/>
      <c r="F6" s="118"/>
      <c r="G6" s="119"/>
      <c r="H6" s="118"/>
      <c r="I6" s="118"/>
      <c r="J6" s="118" t="s">
        <v>142</v>
      </c>
      <c r="K6" s="146"/>
      <c r="L6" s="146"/>
    </row>
    <row r="7" spans="1:12">
      <c r="A7" s="122" t="s">
        <v>141</v>
      </c>
      <c r="B7" s="122" t="s">
        <v>141</v>
      </c>
      <c r="C7" s="113" t="s">
        <v>161</v>
      </c>
      <c r="D7" s="120" t="s">
        <v>151</v>
      </c>
      <c r="E7" s="142"/>
      <c r="F7" s="122" t="s">
        <v>48</v>
      </c>
      <c r="G7" s="119"/>
      <c r="H7" s="123" t="s">
        <v>49</v>
      </c>
      <c r="I7" s="118"/>
      <c r="J7" s="123" t="s">
        <v>50</v>
      </c>
      <c r="K7" s="146"/>
      <c r="L7" s="148"/>
    </row>
    <row r="8" spans="1:12" ht="7.5" customHeight="1">
      <c r="K8" s="146"/>
      <c r="L8" s="148"/>
    </row>
    <row r="9" spans="1:12">
      <c r="A9" s="116">
        <v>1</v>
      </c>
      <c r="D9" s="149" t="s">
        <v>25</v>
      </c>
      <c r="H9" s="19"/>
      <c r="K9" s="146"/>
      <c r="L9" s="148"/>
    </row>
    <row r="10" spans="1:12">
      <c r="A10" s="116">
        <f>+A9+1</f>
        <v>2</v>
      </c>
      <c r="D10" s="136" t="s">
        <v>162</v>
      </c>
      <c r="H10" s="19"/>
      <c r="K10" s="146"/>
      <c r="L10" s="148"/>
    </row>
    <row r="11" spans="1:12">
      <c r="A11" s="116">
        <f t="shared" ref="A11:A50" si="0">+A10+1</f>
        <v>3</v>
      </c>
      <c r="B11" s="116">
        <v>560</v>
      </c>
      <c r="D11" s="116" t="s">
        <v>158</v>
      </c>
      <c r="F11" s="150">
        <v>9411005</v>
      </c>
      <c r="G11" s="151"/>
      <c r="H11" s="150">
        <v>1459306</v>
      </c>
      <c r="I11" s="21"/>
      <c r="J11" s="150">
        <f>SUM(F11:I11)</f>
        <v>10870311</v>
      </c>
      <c r="K11" s="146"/>
      <c r="L11" s="148"/>
    </row>
    <row r="12" spans="1:12">
      <c r="A12" s="116">
        <f t="shared" si="0"/>
        <v>4</v>
      </c>
      <c r="B12" s="152" t="s">
        <v>51</v>
      </c>
      <c r="D12" s="116" t="s">
        <v>129</v>
      </c>
      <c r="F12" s="153"/>
      <c r="G12" s="130"/>
      <c r="H12" s="153"/>
      <c r="I12" s="19"/>
      <c r="J12" s="153">
        <f>SUM(F12:I12)</f>
        <v>0</v>
      </c>
      <c r="K12" s="146"/>
      <c r="L12" s="148"/>
    </row>
    <row r="13" spans="1:12">
      <c r="A13" s="116">
        <f t="shared" si="0"/>
        <v>5</v>
      </c>
      <c r="B13" s="152" t="s">
        <v>52</v>
      </c>
      <c r="D13" s="116" t="s">
        <v>58</v>
      </c>
      <c r="F13" s="153">
        <v>52216</v>
      </c>
      <c r="G13" s="130"/>
      <c r="H13" s="153">
        <v>726</v>
      </c>
      <c r="I13" s="19"/>
      <c r="J13" s="153">
        <f t="shared" ref="J13:J26" si="1">SUM(F13:I13)</f>
        <v>52942</v>
      </c>
      <c r="K13" s="146"/>
      <c r="L13" s="148"/>
    </row>
    <row r="14" spans="1:12">
      <c r="A14" s="116">
        <f t="shared" si="0"/>
        <v>6</v>
      </c>
      <c r="B14" s="152" t="s">
        <v>53</v>
      </c>
      <c r="D14" s="116" t="s">
        <v>59</v>
      </c>
      <c r="F14" s="153">
        <v>6039176</v>
      </c>
      <c r="G14" s="130"/>
      <c r="H14" s="153">
        <v>1950151</v>
      </c>
      <c r="I14" s="19"/>
      <c r="J14" s="153">
        <f t="shared" si="1"/>
        <v>7989327</v>
      </c>
      <c r="K14" s="146"/>
      <c r="L14" s="148"/>
    </row>
    <row r="15" spans="1:12">
      <c r="A15" s="116">
        <f t="shared" si="0"/>
        <v>7</v>
      </c>
      <c r="B15" s="152" t="s">
        <v>54</v>
      </c>
      <c r="D15" s="116" t="s">
        <v>60</v>
      </c>
      <c r="F15" s="153">
        <v>48570</v>
      </c>
      <c r="G15" s="130"/>
      <c r="H15" s="153"/>
      <c r="I15" s="19"/>
      <c r="J15" s="153">
        <f t="shared" si="1"/>
        <v>48570</v>
      </c>
      <c r="K15" s="146"/>
      <c r="L15" s="148"/>
    </row>
    <row r="16" spans="1:12">
      <c r="A16" s="116">
        <f t="shared" si="0"/>
        <v>8</v>
      </c>
      <c r="B16" s="152" t="s">
        <v>62</v>
      </c>
      <c r="D16" s="116" t="s">
        <v>61</v>
      </c>
      <c r="F16" s="153">
        <v>6245482</v>
      </c>
      <c r="G16" s="130"/>
      <c r="H16" s="153"/>
      <c r="I16" s="19"/>
      <c r="J16" s="153">
        <f t="shared" si="1"/>
        <v>6245482</v>
      </c>
      <c r="K16" s="146"/>
      <c r="L16" s="148"/>
    </row>
    <row r="17" spans="1:12">
      <c r="A17" s="116">
        <f t="shared" si="0"/>
        <v>9</v>
      </c>
      <c r="B17" s="152" t="s">
        <v>55</v>
      </c>
      <c r="D17" s="116" t="s">
        <v>63</v>
      </c>
      <c r="F17" s="153">
        <v>503377</v>
      </c>
      <c r="G17" s="130"/>
      <c r="H17" s="153">
        <v>7701</v>
      </c>
      <c r="I17" s="19"/>
      <c r="J17" s="153">
        <f t="shared" si="1"/>
        <v>511078</v>
      </c>
      <c r="K17" s="146"/>
      <c r="L17" s="148"/>
    </row>
    <row r="18" spans="1:12">
      <c r="A18" s="116">
        <f t="shared" si="0"/>
        <v>10</v>
      </c>
      <c r="B18" s="152" t="s">
        <v>56</v>
      </c>
      <c r="D18" s="116" t="s">
        <v>64</v>
      </c>
      <c r="F18" s="153">
        <v>169</v>
      </c>
      <c r="G18" s="130"/>
      <c r="H18" s="153"/>
      <c r="I18" s="19"/>
      <c r="J18" s="153">
        <f t="shared" si="1"/>
        <v>169</v>
      </c>
      <c r="K18" s="146"/>
      <c r="L18" s="148"/>
    </row>
    <row r="19" spans="1:12">
      <c r="A19" s="116">
        <f t="shared" si="0"/>
        <v>11</v>
      </c>
      <c r="B19" s="116">
        <v>561.70000000000005</v>
      </c>
      <c r="D19" s="116" t="s">
        <v>65</v>
      </c>
      <c r="F19" s="153">
        <v>-181171</v>
      </c>
      <c r="G19" s="130"/>
      <c r="H19" s="153"/>
      <c r="I19" s="19"/>
      <c r="J19" s="153">
        <f t="shared" si="1"/>
        <v>-181171</v>
      </c>
      <c r="K19" s="146"/>
      <c r="L19" s="148"/>
    </row>
    <row r="20" spans="1:12">
      <c r="A20" s="116">
        <f t="shared" si="0"/>
        <v>12</v>
      </c>
      <c r="B20" s="152" t="s">
        <v>57</v>
      </c>
      <c r="D20" s="116" t="s">
        <v>66</v>
      </c>
      <c r="F20" s="153">
        <v>2435880</v>
      </c>
      <c r="G20" s="130"/>
      <c r="H20" s="153"/>
      <c r="I20" s="19"/>
      <c r="J20" s="153">
        <f t="shared" si="1"/>
        <v>2435880</v>
      </c>
      <c r="K20" s="146"/>
      <c r="L20" s="148"/>
    </row>
    <row r="21" spans="1:12">
      <c r="A21" s="116">
        <f t="shared" si="0"/>
        <v>13</v>
      </c>
      <c r="B21" s="116">
        <v>562</v>
      </c>
      <c r="D21" s="116" t="s">
        <v>130</v>
      </c>
      <c r="F21" s="153">
        <v>1028140</v>
      </c>
      <c r="G21" s="130"/>
      <c r="H21" s="153">
        <v>376341</v>
      </c>
      <c r="I21" s="19"/>
      <c r="J21" s="153">
        <f t="shared" si="1"/>
        <v>1404481</v>
      </c>
      <c r="K21" s="19"/>
      <c r="L21" s="148"/>
    </row>
    <row r="22" spans="1:12">
      <c r="A22" s="116">
        <f t="shared" si="0"/>
        <v>14</v>
      </c>
      <c r="B22" s="116">
        <v>563</v>
      </c>
      <c r="D22" s="116" t="s">
        <v>131</v>
      </c>
      <c r="F22" s="153">
        <v>2905718</v>
      </c>
      <c r="G22" s="130"/>
      <c r="H22" s="153">
        <v>1680025</v>
      </c>
      <c r="I22" s="19"/>
      <c r="J22" s="153">
        <f t="shared" si="1"/>
        <v>4585743</v>
      </c>
      <c r="K22" s="19"/>
      <c r="L22" s="148"/>
    </row>
    <row r="23" spans="1:12">
      <c r="A23" s="116">
        <f t="shared" si="0"/>
        <v>15</v>
      </c>
      <c r="B23" s="152" t="s">
        <v>67</v>
      </c>
      <c r="D23" s="116" t="s">
        <v>68</v>
      </c>
      <c r="F23" s="153">
        <v>10331</v>
      </c>
      <c r="G23" s="130"/>
      <c r="H23" s="153">
        <v>5026</v>
      </c>
      <c r="I23" s="19"/>
      <c r="J23" s="153">
        <f t="shared" si="1"/>
        <v>15357</v>
      </c>
      <c r="K23" s="19"/>
      <c r="L23" s="148"/>
    </row>
    <row r="24" spans="1:12">
      <c r="A24" s="116">
        <f t="shared" si="0"/>
        <v>16</v>
      </c>
      <c r="B24" s="116">
        <v>565</v>
      </c>
      <c r="D24" s="116" t="s">
        <v>183</v>
      </c>
      <c r="F24" s="153">
        <v>145642831</v>
      </c>
      <c r="G24" s="130"/>
      <c r="H24" s="153"/>
      <c r="I24" s="19"/>
      <c r="J24" s="153">
        <f t="shared" si="1"/>
        <v>145642831</v>
      </c>
      <c r="K24" s="19"/>
      <c r="L24" s="148"/>
    </row>
    <row r="25" spans="1:12">
      <c r="A25" s="116">
        <f t="shared" si="0"/>
        <v>17</v>
      </c>
      <c r="B25" s="116">
        <v>566</v>
      </c>
      <c r="D25" s="116" t="s">
        <v>118</v>
      </c>
      <c r="F25" s="153">
        <v>81177872</v>
      </c>
      <c r="G25" s="130"/>
      <c r="H25" s="153">
        <v>48742300</v>
      </c>
      <c r="I25" s="19"/>
      <c r="J25" s="153">
        <f t="shared" si="1"/>
        <v>129920172</v>
      </c>
      <c r="K25" s="19"/>
      <c r="L25" s="148"/>
    </row>
    <row r="26" spans="1:12">
      <c r="A26" s="116">
        <f t="shared" si="0"/>
        <v>18</v>
      </c>
      <c r="B26" s="116">
        <v>567</v>
      </c>
      <c r="D26" s="116" t="s">
        <v>22</v>
      </c>
      <c r="F26" s="153">
        <v>2214467</v>
      </c>
      <c r="G26" s="130"/>
      <c r="H26" s="153">
        <v>545744</v>
      </c>
      <c r="I26" s="19"/>
      <c r="J26" s="153">
        <f t="shared" si="1"/>
        <v>2760211</v>
      </c>
      <c r="K26" s="19"/>
      <c r="L26" s="148"/>
    </row>
    <row r="27" spans="1:12">
      <c r="A27" s="116">
        <f t="shared" si="0"/>
        <v>19</v>
      </c>
      <c r="D27" s="116" t="s">
        <v>132</v>
      </c>
      <c r="F27" s="154">
        <f>SUM(F11:F26)</f>
        <v>257534063</v>
      </c>
      <c r="G27" s="151"/>
      <c r="H27" s="154">
        <f>SUM(H11:H26)</f>
        <v>54767320</v>
      </c>
      <c r="I27" s="21"/>
      <c r="J27" s="154">
        <f>SUM(J11:J26)</f>
        <v>312301383</v>
      </c>
      <c r="K27" s="19"/>
      <c r="L27" s="148"/>
    </row>
    <row r="28" spans="1:12" ht="3.75" customHeight="1">
      <c r="F28" s="153"/>
      <c r="G28" s="130"/>
      <c r="H28" s="153"/>
      <c r="I28" s="19"/>
      <c r="J28" s="153"/>
      <c r="K28" s="19"/>
      <c r="L28" s="148"/>
    </row>
    <row r="29" spans="1:12">
      <c r="A29" s="116">
        <f>A27+1</f>
        <v>20</v>
      </c>
      <c r="D29" s="136" t="s">
        <v>133</v>
      </c>
      <c r="F29" s="153"/>
      <c r="G29" s="130"/>
      <c r="H29" s="153"/>
      <c r="I29" s="19"/>
      <c r="J29" s="153"/>
      <c r="K29" s="19"/>
      <c r="L29" s="148"/>
    </row>
    <row r="30" spans="1:12">
      <c r="A30" s="116">
        <f t="shared" si="0"/>
        <v>21</v>
      </c>
      <c r="B30" s="116">
        <v>568</v>
      </c>
      <c r="D30" s="116" t="s">
        <v>158</v>
      </c>
      <c r="F30" s="150">
        <v>128951</v>
      </c>
      <c r="G30" s="151"/>
      <c r="H30" s="150">
        <v>36044</v>
      </c>
      <c r="I30" s="21"/>
      <c r="J30" s="150">
        <f t="shared" ref="J30:J39" si="2">SUM(F30:I30)</f>
        <v>164995</v>
      </c>
      <c r="K30" s="19"/>
      <c r="L30" s="148"/>
    </row>
    <row r="31" spans="1:12">
      <c r="A31" s="116">
        <f t="shared" si="0"/>
        <v>22</v>
      </c>
      <c r="B31" s="116">
        <v>569</v>
      </c>
      <c r="D31" s="116" t="s">
        <v>18</v>
      </c>
      <c r="F31" s="153"/>
      <c r="G31" s="130"/>
      <c r="H31" s="153"/>
      <c r="I31" s="19"/>
      <c r="J31" s="153">
        <f t="shared" si="2"/>
        <v>0</v>
      </c>
      <c r="K31" s="19"/>
      <c r="L31" s="148"/>
    </row>
    <row r="32" spans="1:12">
      <c r="A32" s="116">
        <f t="shared" si="0"/>
        <v>23</v>
      </c>
      <c r="B32" s="152" t="s">
        <v>69</v>
      </c>
      <c r="D32" s="116" t="s">
        <v>70</v>
      </c>
      <c r="F32" s="153"/>
      <c r="G32" s="130"/>
      <c r="H32" s="153"/>
      <c r="I32" s="19"/>
      <c r="J32" s="153">
        <f t="shared" si="2"/>
        <v>0</v>
      </c>
      <c r="K32" s="19"/>
      <c r="L32" s="148"/>
    </row>
    <row r="33" spans="1:12">
      <c r="A33" s="116">
        <f t="shared" si="0"/>
        <v>24</v>
      </c>
      <c r="B33" s="152" t="s">
        <v>71</v>
      </c>
      <c r="D33" s="116" t="s">
        <v>117</v>
      </c>
      <c r="F33" s="153"/>
      <c r="G33" s="130"/>
      <c r="H33" s="153"/>
      <c r="I33" s="19"/>
      <c r="J33" s="153">
        <f t="shared" si="2"/>
        <v>0</v>
      </c>
      <c r="K33" s="19"/>
      <c r="L33" s="148"/>
    </row>
    <row r="34" spans="1:12" ht="13.5" customHeight="1">
      <c r="A34" s="116">
        <f t="shared" si="0"/>
        <v>25</v>
      </c>
      <c r="B34" s="152" t="s">
        <v>72</v>
      </c>
      <c r="D34" s="116" t="s">
        <v>122</v>
      </c>
      <c r="F34" s="153"/>
      <c r="G34" s="130"/>
      <c r="H34" s="153"/>
      <c r="I34" s="19"/>
      <c r="J34" s="153">
        <f t="shared" si="2"/>
        <v>0</v>
      </c>
      <c r="K34" s="19"/>
      <c r="L34" s="148"/>
    </row>
    <row r="35" spans="1:12">
      <c r="A35" s="116">
        <f t="shared" si="0"/>
        <v>26</v>
      </c>
      <c r="B35" s="152" t="s">
        <v>73</v>
      </c>
      <c r="D35" s="116" t="s">
        <v>74</v>
      </c>
      <c r="F35" s="153"/>
      <c r="G35" s="130"/>
      <c r="H35" s="153"/>
      <c r="I35" s="19"/>
      <c r="J35" s="153">
        <f t="shared" si="2"/>
        <v>0</v>
      </c>
      <c r="K35" s="19"/>
      <c r="L35" s="148"/>
    </row>
    <row r="36" spans="1:12">
      <c r="A36" s="116">
        <f t="shared" si="0"/>
        <v>27</v>
      </c>
      <c r="B36" s="116">
        <v>570</v>
      </c>
      <c r="D36" s="116" t="s">
        <v>153</v>
      </c>
      <c r="F36" s="153">
        <v>6326544</v>
      </c>
      <c r="G36" s="130"/>
      <c r="H36" s="153">
        <v>1630307</v>
      </c>
      <c r="I36" s="19"/>
      <c r="J36" s="153">
        <f t="shared" si="2"/>
        <v>7956851</v>
      </c>
      <c r="K36" s="19"/>
      <c r="L36" s="148"/>
    </row>
    <row r="37" spans="1:12">
      <c r="A37" s="116">
        <f t="shared" si="0"/>
        <v>28</v>
      </c>
      <c r="B37" s="116">
        <v>571</v>
      </c>
      <c r="D37" s="116" t="s">
        <v>21</v>
      </c>
      <c r="F37" s="153">
        <v>8504553</v>
      </c>
      <c r="G37" s="130"/>
      <c r="H37" s="153">
        <v>2317702</v>
      </c>
      <c r="I37" s="19"/>
      <c r="J37" s="153">
        <f t="shared" si="2"/>
        <v>10822255</v>
      </c>
      <c r="K37" s="19"/>
      <c r="L37" s="148"/>
    </row>
    <row r="38" spans="1:12">
      <c r="A38" s="116">
        <f t="shared" si="0"/>
        <v>29</v>
      </c>
      <c r="B38" s="116">
        <v>572</v>
      </c>
      <c r="D38" s="116" t="s">
        <v>23</v>
      </c>
      <c r="F38" s="153">
        <v>186883</v>
      </c>
      <c r="G38" s="130"/>
      <c r="H38" s="153"/>
      <c r="I38" s="19"/>
      <c r="J38" s="153">
        <f t="shared" si="2"/>
        <v>186883</v>
      </c>
      <c r="K38" s="19"/>
      <c r="L38" s="148"/>
    </row>
    <row r="39" spans="1:12">
      <c r="A39" s="116">
        <f t="shared" si="0"/>
        <v>30</v>
      </c>
      <c r="B39" s="116">
        <v>573</v>
      </c>
      <c r="D39" s="116" t="s">
        <v>119</v>
      </c>
      <c r="F39" s="155">
        <v>167488</v>
      </c>
      <c r="G39" s="130"/>
      <c r="H39" s="155">
        <v>14124</v>
      </c>
      <c r="I39" s="130"/>
      <c r="J39" s="156">
        <f t="shared" si="2"/>
        <v>181612</v>
      </c>
      <c r="K39" s="19"/>
      <c r="L39" s="148"/>
    </row>
    <row r="40" spans="1:12">
      <c r="A40" s="116">
        <f t="shared" si="0"/>
        <v>31</v>
      </c>
      <c r="D40" s="116" t="s">
        <v>134</v>
      </c>
      <c r="F40" s="154">
        <f>SUM(F30:F39)</f>
        <v>15314419</v>
      </c>
      <c r="G40" s="130"/>
      <c r="H40" s="154">
        <f>SUM(H30:H39)</f>
        <v>3998177</v>
      </c>
      <c r="I40" s="130"/>
      <c r="J40" s="154">
        <f>SUM(J30:J39)</f>
        <v>19312596</v>
      </c>
      <c r="K40" s="19"/>
      <c r="L40" s="148"/>
    </row>
    <row r="41" spans="1:12" ht="3.75" customHeight="1">
      <c r="F41" s="153"/>
      <c r="G41" s="130"/>
      <c r="H41" s="153"/>
      <c r="I41" s="19"/>
      <c r="J41" s="153"/>
      <c r="K41" s="19"/>
      <c r="L41" s="148"/>
    </row>
    <row r="42" spans="1:12" ht="13.5" thickBot="1">
      <c r="A42" s="116">
        <f>A40+1</f>
        <v>32</v>
      </c>
      <c r="D42" s="116" t="s">
        <v>270</v>
      </c>
      <c r="F42" s="157">
        <f>F27+F40</f>
        <v>272848482</v>
      </c>
      <c r="G42" s="151"/>
      <c r="H42" s="157">
        <f>H27+H40</f>
        <v>58765497</v>
      </c>
      <c r="I42" s="21"/>
      <c r="J42" s="157">
        <f>J27+J40</f>
        <v>331613979</v>
      </c>
      <c r="K42" s="19"/>
      <c r="L42" s="148"/>
    </row>
    <row r="43" spans="1:12" ht="3.75" customHeight="1" thickTop="1">
      <c r="D43" s="116"/>
      <c r="F43" s="24"/>
      <c r="G43" s="151"/>
      <c r="H43" s="24"/>
      <c r="I43" s="21"/>
      <c r="J43" s="24"/>
      <c r="K43" s="19"/>
      <c r="L43" s="148"/>
    </row>
    <row r="44" spans="1:12">
      <c r="A44" s="116">
        <f>A42+1</f>
        <v>33</v>
      </c>
      <c r="D44" s="116" t="s">
        <v>321</v>
      </c>
      <c r="F44" s="150"/>
      <c r="G44" s="151"/>
      <c r="H44" s="150"/>
      <c r="I44" s="21"/>
      <c r="J44" s="150"/>
      <c r="K44" s="19"/>
      <c r="L44" s="148"/>
    </row>
    <row r="45" spans="1:12">
      <c r="A45" s="116">
        <f t="shared" si="0"/>
        <v>34</v>
      </c>
      <c r="D45" s="116" t="s">
        <v>322</v>
      </c>
      <c r="F45" s="150">
        <v>76398803</v>
      </c>
      <c r="G45" s="151"/>
      <c r="H45" s="150">
        <f>36866599+10985483</f>
        <v>47852082</v>
      </c>
      <c r="I45" s="21"/>
      <c r="J45" s="150">
        <f>F45+H45</f>
        <v>124250885</v>
      </c>
      <c r="K45" s="19"/>
      <c r="L45" s="148"/>
    </row>
    <row r="46" spans="1:12" ht="13.5" thickBot="1">
      <c r="A46" s="116">
        <f t="shared" si="0"/>
        <v>35</v>
      </c>
      <c r="D46" s="116" t="s">
        <v>198</v>
      </c>
      <c r="F46" s="158">
        <f>F42-F45</f>
        <v>196449679</v>
      </c>
      <c r="G46" s="151"/>
      <c r="H46" s="158">
        <f>H42-H45</f>
        <v>10913415</v>
      </c>
      <c r="I46" s="21"/>
      <c r="J46" s="158">
        <f>J42-J45</f>
        <v>207363094</v>
      </c>
      <c r="K46" s="19"/>
      <c r="L46" s="148"/>
    </row>
    <row r="47" spans="1:12" ht="13.5" thickTop="1">
      <c r="A47" s="116">
        <f t="shared" si="0"/>
        <v>36</v>
      </c>
      <c r="D47" s="116" t="s">
        <v>223</v>
      </c>
      <c r="F47" s="150"/>
      <c r="G47" s="151"/>
      <c r="H47" s="150"/>
      <c r="I47" s="21"/>
      <c r="J47" s="150"/>
      <c r="K47" s="19"/>
      <c r="L47" s="148"/>
    </row>
    <row r="48" spans="1:12">
      <c r="A48" s="116">
        <f t="shared" si="0"/>
        <v>37</v>
      </c>
      <c r="D48" s="116" t="s">
        <v>319</v>
      </c>
      <c r="F48" s="150">
        <f>F16</f>
        <v>6245482</v>
      </c>
      <c r="G48" s="151"/>
      <c r="H48" s="150">
        <f>+H16</f>
        <v>0</v>
      </c>
      <c r="I48" s="21"/>
      <c r="J48" s="150">
        <f>F48+H48</f>
        <v>6245482</v>
      </c>
      <c r="K48" s="19"/>
      <c r="L48" s="148"/>
    </row>
    <row r="49" spans="1:12">
      <c r="A49" s="116">
        <f t="shared" si="0"/>
        <v>38</v>
      </c>
      <c r="D49" s="116" t="s">
        <v>320</v>
      </c>
      <c r="F49" s="155">
        <f>F20</f>
        <v>2435880</v>
      </c>
      <c r="G49" s="130"/>
      <c r="H49" s="155">
        <f>H20</f>
        <v>0</v>
      </c>
      <c r="I49" s="130"/>
      <c r="J49" s="159">
        <f>F49+H49</f>
        <v>2435880</v>
      </c>
      <c r="K49" s="19"/>
      <c r="L49" s="148"/>
    </row>
    <row r="50" spans="1:12">
      <c r="A50" s="116">
        <f t="shared" si="0"/>
        <v>39</v>
      </c>
      <c r="D50" s="116"/>
      <c r="F50" s="153">
        <f>SUM(F48:F49)</f>
        <v>8681362</v>
      </c>
      <c r="G50" s="130"/>
      <c r="H50" s="153">
        <f>SUM(H48:H49)</f>
        <v>0</v>
      </c>
      <c r="I50" s="19"/>
      <c r="J50" s="153">
        <f>SUM(J48:J49)</f>
        <v>8681362</v>
      </c>
      <c r="K50" s="19"/>
      <c r="L50" s="148"/>
    </row>
    <row r="51" spans="1:12" ht="4.5" customHeight="1">
      <c r="D51" s="116"/>
      <c r="F51" s="153"/>
      <c r="G51" s="130"/>
      <c r="H51" s="153"/>
      <c r="I51" s="19"/>
      <c r="J51" s="150"/>
      <c r="K51" s="19"/>
      <c r="L51" s="148"/>
    </row>
    <row r="52" spans="1:12">
      <c r="A52" s="116">
        <f>A50+1</f>
        <v>40</v>
      </c>
      <c r="D52" s="116" t="s">
        <v>75</v>
      </c>
      <c r="F52" s="155">
        <f>F24</f>
        <v>145642831</v>
      </c>
      <c r="G52" s="130"/>
      <c r="H52" s="155">
        <f>+H24</f>
        <v>0</v>
      </c>
      <c r="I52" s="19"/>
      <c r="J52" s="159">
        <f>F52+H52</f>
        <v>145642831</v>
      </c>
      <c r="K52" s="19"/>
      <c r="L52" s="148"/>
    </row>
    <row r="53" spans="1:12" ht="4.5" customHeight="1">
      <c r="D53" s="116"/>
      <c r="F53" s="24"/>
      <c r="G53" s="151"/>
      <c r="H53" s="24"/>
      <c r="I53" s="21"/>
      <c r="J53" s="24"/>
      <c r="K53" s="19"/>
      <c r="L53" s="148"/>
    </row>
    <row r="54" spans="1:12" ht="13.5" thickBot="1">
      <c r="A54" s="116">
        <f>A52+1</f>
        <v>41</v>
      </c>
      <c r="D54" s="116" t="s">
        <v>76</v>
      </c>
      <c r="F54" s="158">
        <f>F46-F50-F52</f>
        <v>42125486</v>
      </c>
      <c r="G54" s="151"/>
      <c r="H54" s="158">
        <f>H46-H50-H52</f>
        <v>10913415</v>
      </c>
      <c r="I54" s="21"/>
      <c r="J54" s="158">
        <f>J46-J50-J52</f>
        <v>53038901</v>
      </c>
      <c r="K54" s="19"/>
      <c r="L54" s="148"/>
    </row>
    <row r="55" spans="1:12" ht="9" customHeight="1" thickTop="1">
      <c r="D55" s="116"/>
      <c r="F55" s="24"/>
      <c r="G55" s="151"/>
      <c r="H55" s="24"/>
      <c r="I55" s="21"/>
      <c r="J55" s="24"/>
      <c r="K55" s="19"/>
      <c r="L55" s="148"/>
    </row>
    <row r="56" spans="1:12">
      <c r="A56" s="118" t="s">
        <v>165</v>
      </c>
      <c r="B56" s="118" t="s">
        <v>323</v>
      </c>
      <c r="C56" s="137"/>
      <c r="D56" s="137"/>
      <c r="E56" s="142"/>
      <c r="F56" s="118"/>
      <c r="G56" s="119"/>
      <c r="H56" s="118"/>
      <c r="I56" s="118"/>
      <c r="J56" s="118" t="s">
        <v>142</v>
      </c>
      <c r="K56" s="146"/>
      <c r="L56" s="148"/>
    </row>
    <row r="57" spans="1:12">
      <c r="A57" s="122" t="s">
        <v>141</v>
      </c>
      <c r="B57" s="122" t="s">
        <v>141</v>
      </c>
      <c r="C57" s="113" t="s">
        <v>161</v>
      </c>
      <c r="D57" s="120" t="s">
        <v>151</v>
      </c>
      <c r="E57" s="142"/>
      <c r="F57" s="122" t="s">
        <v>48</v>
      </c>
      <c r="G57" s="119"/>
      <c r="H57" s="123" t="s">
        <v>49</v>
      </c>
      <c r="I57" s="118"/>
      <c r="J57" s="123" t="s">
        <v>50</v>
      </c>
      <c r="K57" s="146"/>
      <c r="L57" s="148"/>
    </row>
    <row r="58" spans="1:12" ht="6" customHeight="1">
      <c r="F58" s="160"/>
      <c r="H58" s="19"/>
      <c r="K58" s="146"/>
      <c r="L58" s="148"/>
    </row>
    <row r="59" spans="1:12">
      <c r="A59" s="116">
        <v>1</v>
      </c>
      <c r="D59" s="149" t="s">
        <v>152</v>
      </c>
      <c r="F59" s="160"/>
      <c r="H59" s="19"/>
      <c r="K59" s="146"/>
      <c r="L59" s="148"/>
    </row>
    <row r="60" spans="1:12">
      <c r="A60" s="116">
        <f t="shared" ref="A60:A87" si="3">+A59+1</f>
        <v>2</v>
      </c>
      <c r="D60" s="136" t="s">
        <v>162</v>
      </c>
      <c r="F60" s="160"/>
      <c r="H60" s="19"/>
      <c r="K60" s="146"/>
      <c r="L60" s="148"/>
    </row>
    <row r="61" spans="1:12">
      <c r="A61" s="116">
        <f t="shared" si="3"/>
        <v>3</v>
      </c>
      <c r="B61" s="116">
        <v>920</v>
      </c>
      <c r="D61" s="116" t="s">
        <v>136</v>
      </c>
      <c r="F61" s="150">
        <v>66301093</v>
      </c>
      <c r="G61" s="151"/>
      <c r="H61" s="150">
        <v>10909161</v>
      </c>
      <c r="I61" s="21"/>
      <c r="J61" s="150">
        <f>SUM(F61:I61)</f>
        <v>77210254</v>
      </c>
      <c r="K61" s="153"/>
      <c r="L61" s="148"/>
    </row>
    <row r="62" spans="1:12">
      <c r="A62" s="116">
        <f t="shared" si="3"/>
        <v>4</v>
      </c>
      <c r="B62" s="116">
        <v>921</v>
      </c>
      <c r="D62" s="116" t="s">
        <v>137</v>
      </c>
      <c r="F62" s="153">
        <v>52439082</v>
      </c>
      <c r="G62" s="130"/>
      <c r="H62" s="153">
        <v>7213101</v>
      </c>
      <c r="I62" s="19"/>
      <c r="J62" s="153">
        <f>SUM(F62:I62)</f>
        <v>59652183</v>
      </c>
      <c r="K62" s="19"/>
      <c r="L62" s="148"/>
    </row>
    <row r="63" spans="1:12">
      <c r="A63" s="116">
        <f t="shared" si="3"/>
        <v>5</v>
      </c>
      <c r="B63" s="116">
        <v>922</v>
      </c>
      <c r="D63" s="116" t="s">
        <v>138</v>
      </c>
      <c r="F63" s="153">
        <v>-34406201</v>
      </c>
      <c r="G63" s="130"/>
      <c r="H63" s="153">
        <v>-2937944</v>
      </c>
      <c r="I63" s="19"/>
      <c r="J63" s="153">
        <f t="shared" ref="J63:J74" si="4">SUM(F63:I63)</f>
        <v>-37344145</v>
      </c>
      <c r="K63" s="19"/>
      <c r="L63" s="148"/>
    </row>
    <row r="64" spans="1:12">
      <c r="A64" s="116">
        <f t="shared" si="3"/>
        <v>6</v>
      </c>
      <c r="B64" s="116">
        <v>923</v>
      </c>
      <c r="D64" s="116" t="s">
        <v>139</v>
      </c>
      <c r="F64" s="153">
        <v>23331471</v>
      </c>
      <c r="G64" s="130"/>
      <c r="H64" s="153">
        <v>2391332</v>
      </c>
      <c r="I64" s="19"/>
      <c r="J64" s="153">
        <f t="shared" si="4"/>
        <v>25722803</v>
      </c>
      <c r="K64" s="19"/>
      <c r="L64" s="19"/>
    </row>
    <row r="65" spans="1:12">
      <c r="A65" s="116">
        <f t="shared" si="3"/>
        <v>7</v>
      </c>
      <c r="B65" s="116">
        <v>924</v>
      </c>
      <c r="D65" s="116" t="s">
        <v>121</v>
      </c>
      <c r="F65" s="153">
        <v>9627603</v>
      </c>
      <c r="G65" s="130"/>
      <c r="H65" s="153">
        <v>1432307</v>
      </c>
      <c r="I65" s="19"/>
      <c r="J65" s="153">
        <f t="shared" si="4"/>
        <v>11059910</v>
      </c>
      <c r="K65" s="19"/>
      <c r="L65" s="19"/>
    </row>
    <row r="66" spans="1:12">
      <c r="A66" s="116">
        <f t="shared" si="3"/>
        <v>8</v>
      </c>
      <c r="B66" s="116">
        <v>925</v>
      </c>
      <c r="D66" s="116" t="s">
        <v>177</v>
      </c>
      <c r="F66" s="153">
        <v>15565804</v>
      </c>
      <c r="G66" s="130"/>
      <c r="H66" s="153">
        <v>3057660</v>
      </c>
      <c r="I66" s="19"/>
      <c r="J66" s="153">
        <f t="shared" si="4"/>
        <v>18623464</v>
      </c>
      <c r="K66" s="19"/>
      <c r="L66" s="19"/>
    </row>
    <row r="67" spans="1:12">
      <c r="A67" s="116">
        <f t="shared" si="3"/>
        <v>9</v>
      </c>
      <c r="B67" s="116">
        <v>926</v>
      </c>
      <c r="D67" s="116" t="s">
        <v>178</v>
      </c>
      <c r="F67" s="153">
        <v>83065607</v>
      </c>
      <c r="G67" s="130"/>
      <c r="H67" s="153">
        <v>14146615</v>
      </c>
      <c r="I67" s="19"/>
      <c r="J67" s="153">
        <f t="shared" si="4"/>
        <v>97212222</v>
      </c>
      <c r="K67" s="19"/>
      <c r="L67" s="19"/>
    </row>
    <row r="68" spans="1:12">
      <c r="A68" s="116">
        <f t="shared" si="3"/>
        <v>10</v>
      </c>
      <c r="B68" s="116">
        <v>928</v>
      </c>
      <c r="D68" s="116" t="s">
        <v>155</v>
      </c>
      <c r="F68" s="153">
        <v>0</v>
      </c>
      <c r="G68" s="130"/>
      <c r="H68" s="153">
        <v>0</v>
      </c>
      <c r="I68" s="19"/>
      <c r="J68" s="153">
        <f t="shared" si="4"/>
        <v>0</v>
      </c>
      <c r="K68" s="19"/>
      <c r="L68" s="19"/>
    </row>
    <row r="69" spans="1:12">
      <c r="A69" s="116">
        <f t="shared" si="3"/>
        <v>11</v>
      </c>
      <c r="B69" s="116">
        <v>928</v>
      </c>
      <c r="D69" s="116" t="s">
        <v>77</v>
      </c>
      <c r="F69" s="153">
        <f>12703189-F68-F70</f>
        <v>12662847</v>
      </c>
      <c r="G69" s="130"/>
      <c r="H69" s="153">
        <f>931322-H68-H70</f>
        <v>931322</v>
      </c>
      <c r="I69" s="19"/>
      <c r="J69" s="153">
        <f t="shared" si="4"/>
        <v>13594169</v>
      </c>
      <c r="K69" s="19"/>
      <c r="L69" s="19"/>
    </row>
    <row r="70" spans="1:12">
      <c r="A70" s="116">
        <f t="shared" si="3"/>
        <v>12</v>
      </c>
      <c r="B70" s="116">
        <v>928</v>
      </c>
      <c r="D70" s="116" t="s">
        <v>78</v>
      </c>
      <c r="F70" s="153">
        <v>40342</v>
      </c>
      <c r="G70" s="130"/>
      <c r="H70" s="153">
        <v>0</v>
      </c>
      <c r="I70" s="19"/>
      <c r="J70" s="153">
        <f t="shared" si="4"/>
        <v>40342</v>
      </c>
      <c r="K70" s="19"/>
      <c r="L70" s="19"/>
    </row>
    <row r="71" spans="1:12">
      <c r="A71" s="116">
        <f t="shared" si="3"/>
        <v>13</v>
      </c>
      <c r="B71" s="116">
        <v>929</v>
      </c>
      <c r="D71" s="116" t="s">
        <v>179</v>
      </c>
      <c r="F71" s="153">
        <v>-4257282</v>
      </c>
      <c r="G71" s="130"/>
      <c r="H71" s="153">
        <v>-651602</v>
      </c>
      <c r="I71" s="19"/>
      <c r="J71" s="153">
        <f t="shared" si="4"/>
        <v>-4908884</v>
      </c>
      <c r="K71" s="19"/>
      <c r="L71" s="19"/>
    </row>
    <row r="72" spans="1:12">
      <c r="A72" s="116">
        <f t="shared" si="3"/>
        <v>14</v>
      </c>
      <c r="B72" s="116">
        <v>930.1</v>
      </c>
      <c r="D72" s="111" t="s">
        <v>79</v>
      </c>
      <c r="F72" s="153">
        <v>3518540</v>
      </c>
      <c r="G72" s="130"/>
      <c r="H72" s="153">
        <v>587034</v>
      </c>
      <c r="I72" s="19"/>
      <c r="J72" s="153">
        <f t="shared" si="4"/>
        <v>4105574</v>
      </c>
      <c r="K72" s="19"/>
      <c r="L72" s="19"/>
    </row>
    <row r="73" spans="1:12">
      <c r="A73" s="116">
        <f t="shared" si="3"/>
        <v>15</v>
      </c>
      <c r="B73" s="116">
        <v>930.2</v>
      </c>
      <c r="D73" s="116" t="s">
        <v>80</v>
      </c>
      <c r="F73" s="153">
        <v>3566764</v>
      </c>
      <c r="G73" s="130"/>
      <c r="H73" s="153">
        <v>508915</v>
      </c>
      <c r="I73" s="19"/>
      <c r="J73" s="153">
        <f t="shared" si="4"/>
        <v>4075679</v>
      </c>
      <c r="K73" s="19"/>
      <c r="L73" s="19"/>
    </row>
    <row r="74" spans="1:12">
      <c r="A74" s="116">
        <f t="shared" si="3"/>
        <v>16</v>
      </c>
      <c r="B74" s="116">
        <v>931</v>
      </c>
      <c r="D74" s="116" t="s">
        <v>22</v>
      </c>
      <c r="F74" s="153">
        <v>24328892</v>
      </c>
      <c r="G74" s="130"/>
      <c r="H74" s="153">
        <v>4004747</v>
      </c>
      <c r="I74" s="19"/>
      <c r="J74" s="153">
        <f t="shared" si="4"/>
        <v>28333639</v>
      </c>
      <c r="K74" s="19"/>
      <c r="L74" s="19"/>
    </row>
    <row r="75" spans="1:12">
      <c r="A75" s="116">
        <f t="shared" si="3"/>
        <v>17</v>
      </c>
      <c r="D75" s="116" t="s">
        <v>132</v>
      </c>
      <c r="F75" s="154">
        <f>SUM(F61:F74)</f>
        <v>255784562</v>
      </c>
      <c r="G75" s="130"/>
      <c r="H75" s="154">
        <f>SUM(H61:H74)</f>
        <v>41592648</v>
      </c>
      <c r="I75" s="19"/>
      <c r="J75" s="154">
        <f>SUM(J61:J74)</f>
        <v>297377210</v>
      </c>
      <c r="K75" s="19"/>
      <c r="L75" s="19"/>
    </row>
    <row r="76" spans="1:12" ht="4.5" customHeight="1">
      <c r="F76" s="153"/>
      <c r="G76" s="130"/>
      <c r="H76" s="153"/>
      <c r="I76" s="19"/>
      <c r="J76" s="153"/>
      <c r="K76" s="19"/>
      <c r="L76" s="19"/>
    </row>
    <row r="77" spans="1:12">
      <c r="A77" s="116">
        <f>A75+1</f>
        <v>18</v>
      </c>
      <c r="D77" s="136" t="s">
        <v>133</v>
      </c>
      <c r="F77" s="153"/>
      <c r="G77" s="130"/>
      <c r="H77" s="153"/>
      <c r="I77" s="19"/>
      <c r="J77" s="153"/>
      <c r="K77" s="19"/>
      <c r="L77" s="19"/>
    </row>
    <row r="78" spans="1:12">
      <c r="A78" s="116">
        <f t="shared" si="3"/>
        <v>19</v>
      </c>
      <c r="B78" s="116">
        <v>935</v>
      </c>
      <c r="D78" s="116" t="s">
        <v>180</v>
      </c>
      <c r="F78" s="159">
        <v>1429551</v>
      </c>
      <c r="G78" s="151"/>
      <c r="H78" s="159">
        <v>200917</v>
      </c>
      <c r="I78" s="21"/>
      <c r="J78" s="155">
        <f>SUM(F78:I78)</f>
        <v>1630468</v>
      </c>
      <c r="K78" s="19"/>
      <c r="L78" s="19"/>
    </row>
    <row r="79" spans="1:12">
      <c r="F79" s="153"/>
      <c r="G79" s="130"/>
      <c r="H79" s="153"/>
      <c r="I79" s="19"/>
      <c r="J79" s="153"/>
      <c r="K79" s="19"/>
      <c r="L79" s="19"/>
    </row>
    <row r="80" spans="1:12" ht="13.5" thickBot="1">
      <c r="A80" s="116">
        <f>A78+1</f>
        <v>20</v>
      </c>
      <c r="D80" s="116" t="s">
        <v>182</v>
      </c>
      <c r="F80" s="157">
        <f>SUM(F75:F78)</f>
        <v>257214113</v>
      </c>
      <c r="G80" s="151"/>
      <c r="H80" s="157">
        <f>SUM(H75:H78)</f>
        <v>41793565</v>
      </c>
      <c r="I80" s="21"/>
      <c r="J80" s="157">
        <f>SUM(J75:J78)</f>
        <v>299007678</v>
      </c>
      <c r="K80" s="19"/>
      <c r="L80" s="19"/>
    </row>
    <row r="81" spans="1:12" ht="4.5" customHeight="1" thickTop="1">
      <c r="D81" s="116"/>
      <c r="F81" s="153"/>
      <c r="G81" s="130"/>
      <c r="H81" s="153"/>
      <c r="I81" s="19"/>
      <c r="J81" s="153"/>
      <c r="K81" s="19"/>
      <c r="L81" s="19"/>
    </row>
    <row r="82" spans="1:12">
      <c r="A82" s="116">
        <f>A80+1</f>
        <v>21</v>
      </c>
      <c r="C82" s="161"/>
      <c r="D82" s="116" t="s">
        <v>315</v>
      </c>
      <c r="F82" s="153">
        <f>+F68</f>
        <v>0</v>
      </c>
      <c r="G82" s="130"/>
      <c r="H82" s="153">
        <f>+H68</f>
        <v>0</v>
      </c>
      <c r="I82" s="19"/>
      <c r="J82" s="153">
        <f>+J68</f>
        <v>0</v>
      </c>
      <c r="K82" s="19"/>
      <c r="L82" s="19"/>
    </row>
    <row r="83" spans="1:12" ht="4.5" customHeight="1">
      <c r="C83" s="161"/>
      <c r="D83" s="116"/>
      <c r="F83" s="153"/>
      <c r="G83" s="130"/>
      <c r="H83" s="153"/>
      <c r="I83" s="19"/>
      <c r="J83" s="153"/>
      <c r="K83" s="19"/>
      <c r="L83" s="19"/>
    </row>
    <row r="84" spans="1:12">
      <c r="A84" s="116">
        <f>A82+1</f>
        <v>22</v>
      </c>
      <c r="D84" s="116" t="s">
        <v>316</v>
      </c>
      <c r="F84" s="153">
        <v>469290</v>
      </c>
      <c r="G84" s="130"/>
      <c r="H84" s="153">
        <v>52813</v>
      </c>
      <c r="I84" s="19"/>
      <c r="J84" s="153">
        <f>F84+H84</f>
        <v>522103</v>
      </c>
      <c r="K84" s="19"/>
      <c r="L84" s="19"/>
    </row>
    <row r="85" spans="1:12">
      <c r="A85" s="116">
        <f t="shared" si="3"/>
        <v>23</v>
      </c>
      <c r="C85" s="7"/>
      <c r="D85" s="116" t="s">
        <v>317</v>
      </c>
      <c r="E85" s="7"/>
      <c r="F85" s="53">
        <f>F69+F70</f>
        <v>12703189</v>
      </c>
      <c r="G85" s="7"/>
      <c r="H85" s="53">
        <f>+H69</f>
        <v>931322</v>
      </c>
      <c r="I85" s="7"/>
      <c r="J85" s="53">
        <f>+J69+J70</f>
        <v>13634511</v>
      </c>
      <c r="K85" s="19"/>
      <c r="L85" s="19"/>
    </row>
    <row r="86" spans="1:12">
      <c r="A86" s="116">
        <f t="shared" si="3"/>
        <v>24</v>
      </c>
      <c r="C86" s="7"/>
      <c r="D86" s="116" t="s">
        <v>318</v>
      </c>
      <c r="E86" s="7"/>
      <c r="F86" s="54">
        <f>+F72</f>
        <v>3518540</v>
      </c>
      <c r="G86" s="7"/>
      <c r="H86" s="54">
        <f>+H72</f>
        <v>587034</v>
      </c>
      <c r="I86" s="7"/>
      <c r="J86" s="54">
        <f>+J72</f>
        <v>4105574</v>
      </c>
    </row>
    <row r="87" spans="1:12">
      <c r="A87" s="116">
        <f t="shared" si="3"/>
        <v>25</v>
      </c>
      <c r="C87" s="7"/>
      <c r="D87" s="116"/>
      <c r="E87" s="7"/>
      <c r="F87" s="55">
        <f>SUM(F84:F86)</f>
        <v>16691019</v>
      </c>
      <c r="G87" s="7"/>
      <c r="H87" s="55">
        <f>SUM(H84:H86)</f>
        <v>1571169</v>
      </c>
      <c r="I87" s="7"/>
      <c r="J87" s="55">
        <f>SUM(J84:J86)</f>
        <v>18262188</v>
      </c>
    </row>
    <row r="88" spans="1:12" ht="4.5" customHeight="1">
      <c r="C88" s="7"/>
      <c r="D88" s="116"/>
      <c r="E88" s="7"/>
      <c r="F88" s="55"/>
      <c r="G88" s="7"/>
      <c r="H88" s="55"/>
      <c r="I88" s="7"/>
      <c r="J88" s="55"/>
    </row>
    <row r="89" spans="1:12">
      <c r="A89" s="116">
        <f>A87+1</f>
        <v>26</v>
      </c>
      <c r="C89" s="7"/>
      <c r="D89" s="116" t="s">
        <v>241</v>
      </c>
      <c r="E89" s="7"/>
      <c r="F89" s="55">
        <f>F70</f>
        <v>40342</v>
      </c>
      <c r="G89" s="7"/>
      <c r="H89" s="55">
        <f>H70</f>
        <v>0</v>
      </c>
      <c r="I89" s="7"/>
      <c r="J89" s="55">
        <f>J70</f>
        <v>40342</v>
      </c>
    </row>
    <row r="90" spans="1:12" ht="4.5" customHeight="1">
      <c r="D90" s="137"/>
      <c r="J90" s="111"/>
    </row>
    <row r="91" spans="1:12" ht="13.5" thickBot="1">
      <c r="A91" s="116">
        <f>A89+1</f>
        <v>27</v>
      </c>
      <c r="D91" s="111" t="s">
        <v>81</v>
      </c>
      <c r="F91" s="131">
        <f>F80-F82-F87+F89</f>
        <v>240563436</v>
      </c>
      <c r="H91" s="131">
        <f>H80-H82-H87+H89</f>
        <v>40222396</v>
      </c>
      <c r="J91" s="131">
        <f>J80-J82-J87+J89</f>
        <v>280785832</v>
      </c>
    </row>
    <row r="92" spans="1:12" ht="4.5" customHeight="1" thickTop="1">
      <c r="J92" s="111"/>
    </row>
    <row r="93" spans="1:12" ht="13.5" thickBot="1">
      <c r="A93" s="116">
        <f>A91+1</f>
        <v>28</v>
      </c>
      <c r="D93" s="111" t="s">
        <v>82</v>
      </c>
      <c r="F93" s="131">
        <f>+F91+F54</f>
        <v>282688922</v>
      </c>
      <c r="H93" s="131">
        <f>+H91+H54</f>
        <v>51135811</v>
      </c>
      <c r="J93" s="131">
        <f>+J91+J54</f>
        <v>333824733</v>
      </c>
      <c r="L93" s="21"/>
    </row>
    <row r="94" spans="1:12" ht="13.5" thickTop="1"/>
    <row r="96" spans="1:12">
      <c r="F96" s="12"/>
    </row>
  </sheetData>
  <phoneticPr fontId="16" type="noConversion"/>
  <printOptions horizontalCentered="1"/>
  <pageMargins left="0.5" right="0.25" top="0.5" bottom="0.4" header="0" footer="0.25"/>
  <pageSetup scale="68" orientation="portrait" r:id="rId1"/>
  <headerFooter alignWithMargins="0">
    <oddFooter>Page &amp;P of &amp;N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4"/>
  <sheetViews>
    <sheetView showGridLines="0" workbookViewId="0">
      <selection activeCell="R46" sqref="R46"/>
    </sheetView>
  </sheetViews>
  <sheetFormatPr defaultColWidth="8" defaultRowHeight="12.75"/>
  <cols>
    <col min="1" max="1" width="3.77734375" style="116" customWidth="1"/>
    <col min="2" max="2" width="1.33203125" style="111" customWidth="1"/>
    <col min="3" max="3" width="2.77734375" style="111" customWidth="1"/>
    <col min="4" max="4" width="30.77734375" style="111" customWidth="1"/>
    <col min="5" max="5" width="0.88671875" style="111" customWidth="1"/>
    <col min="6" max="6" width="10.5546875" style="111" customWidth="1"/>
    <col min="7" max="7" width="1.77734375" style="111" customWidth="1"/>
    <col min="8" max="8" width="10.5546875" style="112" customWidth="1"/>
    <col min="9" max="9" width="1.77734375" style="111" customWidth="1"/>
    <col min="10" max="10" width="10.77734375" style="111" customWidth="1"/>
    <col min="11" max="16384" width="8" style="111"/>
  </cols>
  <sheetData>
    <row r="1" spans="1:11">
      <c r="A1" s="56" t="s">
        <v>27</v>
      </c>
      <c r="J1" s="482" t="s">
        <v>789</v>
      </c>
    </row>
    <row r="2" spans="1:11">
      <c r="A2" s="56" t="s">
        <v>184</v>
      </c>
      <c r="J2" s="114"/>
    </row>
    <row r="3" spans="1:11">
      <c r="A3" s="483" t="s">
        <v>790</v>
      </c>
      <c r="J3" s="115"/>
    </row>
    <row r="4" spans="1:11">
      <c r="A4" s="503" t="s">
        <v>269</v>
      </c>
      <c r="B4" s="4"/>
    </row>
    <row r="5" spans="1:11">
      <c r="E5" s="117"/>
    </row>
    <row r="6" spans="1:11">
      <c r="D6" s="117"/>
      <c r="E6" s="117"/>
      <c r="J6" s="118"/>
    </row>
    <row r="7" spans="1:11">
      <c r="A7" s="113" t="s">
        <v>165</v>
      </c>
      <c r="F7" s="118"/>
      <c r="G7" s="119"/>
      <c r="H7" s="118"/>
      <c r="I7" s="118"/>
      <c r="J7" s="118" t="s">
        <v>142</v>
      </c>
    </row>
    <row r="8" spans="1:11">
      <c r="A8" s="120" t="s">
        <v>141</v>
      </c>
      <c r="C8" s="121"/>
      <c r="D8" s="120" t="s">
        <v>151</v>
      </c>
      <c r="E8" s="119"/>
      <c r="F8" s="122" t="s">
        <v>48</v>
      </c>
      <c r="G8" s="119"/>
      <c r="H8" s="123" t="s">
        <v>49</v>
      </c>
      <c r="I8" s="118"/>
      <c r="J8" s="123" t="s">
        <v>50</v>
      </c>
    </row>
    <row r="9" spans="1:11">
      <c r="F9" s="124"/>
      <c r="H9" s="124"/>
      <c r="J9" s="124"/>
    </row>
    <row r="10" spans="1:11">
      <c r="A10" s="116">
        <v>1</v>
      </c>
      <c r="C10" s="111" t="s">
        <v>349</v>
      </c>
      <c r="F10" s="24">
        <v>50143964</v>
      </c>
      <c r="G10" s="24"/>
      <c r="H10" s="24">
        <v>17638778</v>
      </c>
      <c r="I10" s="24"/>
      <c r="J10" s="24">
        <f>F10+H10</f>
        <v>67782742</v>
      </c>
      <c r="K10" s="24"/>
    </row>
    <row r="11" spans="1:11">
      <c r="A11" s="116">
        <f t="shared" ref="A11:A20" si="0">+A10+1</f>
        <v>2</v>
      </c>
    </row>
    <row r="12" spans="1:11">
      <c r="A12" s="116">
        <f t="shared" si="0"/>
        <v>3</v>
      </c>
      <c r="C12" s="111" t="s">
        <v>243</v>
      </c>
      <c r="F12" s="519">
        <v>-489932</v>
      </c>
      <c r="H12" s="24">
        <v>0</v>
      </c>
      <c r="J12" s="211">
        <f>SUM(F12:H12)</f>
        <v>-489932</v>
      </c>
    </row>
    <row r="13" spans="1:11">
      <c r="A13" s="116">
        <f t="shared" si="0"/>
        <v>4</v>
      </c>
    </row>
    <row r="14" spans="1:11">
      <c r="A14" s="116">
        <f t="shared" si="0"/>
        <v>5</v>
      </c>
      <c r="C14" s="111" t="s">
        <v>220</v>
      </c>
      <c r="F14" s="24">
        <v>0</v>
      </c>
      <c r="G14" s="24"/>
      <c r="H14" s="24">
        <v>0</v>
      </c>
      <c r="I14" s="24"/>
      <c r="J14" s="24">
        <f>SUM(F14:H14)</f>
        <v>0</v>
      </c>
    </row>
    <row r="15" spans="1:11">
      <c r="A15" s="116">
        <f t="shared" si="0"/>
        <v>6</v>
      </c>
    </row>
    <row r="16" spans="1:11">
      <c r="A16" s="116">
        <f t="shared" si="0"/>
        <v>7</v>
      </c>
      <c r="C16" s="111" t="s">
        <v>350</v>
      </c>
      <c r="F16" s="24">
        <f>9772872+14155535</f>
        <v>23928407</v>
      </c>
      <c r="G16" s="24"/>
      <c r="H16" s="24">
        <f>349839+2442727</f>
        <v>2792566</v>
      </c>
      <c r="I16" s="24"/>
      <c r="J16" s="24">
        <f>SUM(F16:H16)</f>
        <v>26720973</v>
      </c>
    </row>
    <row r="17" spans="1:10">
      <c r="A17" s="116">
        <f t="shared" si="0"/>
        <v>8</v>
      </c>
    </row>
    <row r="18" spans="1:10">
      <c r="A18" s="116">
        <f t="shared" si="0"/>
        <v>9</v>
      </c>
      <c r="C18" s="111" t="s">
        <v>351</v>
      </c>
      <c r="F18" s="24">
        <f>18946269+20573149</f>
        <v>39519418</v>
      </c>
      <c r="G18" s="24"/>
      <c r="H18" s="24">
        <f>3206659+2429499</f>
        <v>5636158</v>
      </c>
      <c r="I18" s="24"/>
      <c r="J18" s="24">
        <f>SUM(F18:H18)</f>
        <v>45155576</v>
      </c>
    </row>
    <row r="19" spans="1:10">
      <c r="A19" s="116">
        <f t="shared" si="0"/>
        <v>10</v>
      </c>
    </row>
    <row r="20" spans="1:10" ht="13.5" thickBot="1">
      <c r="A20" s="116">
        <f t="shared" si="0"/>
        <v>11</v>
      </c>
      <c r="B20" s="142" t="s">
        <v>154</v>
      </c>
      <c r="C20" s="142"/>
      <c r="D20" s="142"/>
      <c r="F20" s="213">
        <f>SUM(F10:F18)</f>
        <v>113101857</v>
      </c>
      <c r="G20" s="19"/>
      <c r="H20" s="213">
        <f>SUM(H10:H18)</f>
        <v>26067502</v>
      </c>
      <c r="I20" s="19"/>
      <c r="J20" s="213">
        <f>SUM(J10:J18)</f>
        <v>139169359</v>
      </c>
    </row>
    <row r="21" spans="1:10" ht="13.5" thickTop="1"/>
    <row r="22" spans="1:10">
      <c r="E22" s="116"/>
    </row>
    <row r="23" spans="1:10">
      <c r="A23" s="111"/>
    </row>
    <row r="24" spans="1:10">
      <c r="A24" s="111"/>
    </row>
    <row r="25" spans="1:10">
      <c r="C25" s="111" t="s">
        <v>246</v>
      </c>
    </row>
    <row r="27" spans="1:10" ht="15.75">
      <c r="D27" s="214"/>
    </row>
    <row r="34" ht="13.5" customHeight="1"/>
  </sheetData>
  <phoneticPr fontId="16" type="noConversion"/>
  <printOptions horizontalCentered="1"/>
  <pageMargins left="0.5" right="0.25" top="0.75" bottom="0.4" header="0" footer="0.25"/>
  <pageSetup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J38"/>
  <sheetViews>
    <sheetView showGridLines="0" workbookViewId="0">
      <selection activeCell="K29" sqref="K29"/>
    </sheetView>
  </sheetViews>
  <sheetFormatPr defaultColWidth="8" defaultRowHeight="12.75"/>
  <cols>
    <col min="1" max="1" width="4" style="116" customWidth="1"/>
    <col min="2" max="2" width="1.77734375" style="111" customWidth="1"/>
    <col min="3" max="3" width="3.21875" style="111" customWidth="1"/>
    <col min="4" max="4" width="25.77734375" style="111" customWidth="1"/>
    <col min="5" max="5" width="0.88671875" style="111" customWidth="1"/>
    <col min="6" max="6" width="11.77734375" style="111" customWidth="1"/>
    <col min="7" max="7" width="1.33203125" style="111" customWidth="1"/>
    <col min="8" max="8" width="10.44140625" style="112" customWidth="1"/>
    <col min="9" max="9" width="1.33203125" style="111" customWidth="1"/>
    <col min="10" max="10" width="10.44140625" style="111" bestFit="1" customWidth="1"/>
    <col min="11" max="16384" width="8" style="111"/>
  </cols>
  <sheetData>
    <row r="1" spans="1:10">
      <c r="A1" s="56" t="s">
        <v>27</v>
      </c>
      <c r="J1" s="482" t="s">
        <v>789</v>
      </c>
    </row>
    <row r="2" spans="1:10">
      <c r="A2" s="113" t="s">
        <v>88</v>
      </c>
      <c r="J2" s="114"/>
    </row>
    <row r="3" spans="1:10">
      <c r="A3" s="483" t="s">
        <v>790</v>
      </c>
      <c r="J3" s="115"/>
    </row>
    <row r="4" spans="1:10">
      <c r="A4" s="503" t="s">
        <v>269</v>
      </c>
      <c r="B4" s="4"/>
    </row>
    <row r="5" spans="1:10">
      <c r="E5" s="117"/>
    </row>
    <row r="6" spans="1:10">
      <c r="D6" s="117"/>
      <c r="E6" s="117"/>
      <c r="J6" s="118"/>
    </row>
    <row r="7" spans="1:10">
      <c r="A7" s="113" t="s">
        <v>165</v>
      </c>
      <c r="F7" s="118"/>
      <c r="G7" s="119"/>
      <c r="H7" s="118"/>
      <c r="I7" s="118"/>
      <c r="J7" s="118" t="s">
        <v>142</v>
      </c>
    </row>
    <row r="8" spans="1:10">
      <c r="A8" s="120" t="s">
        <v>141</v>
      </c>
      <c r="C8" s="121"/>
      <c r="D8" s="120" t="s">
        <v>151</v>
      </c>
      <c r="E8" s="119"/>
      <c r="F8" s="122" t="s">
        <v>48</v>
      </c>
      <c r="G8" s="119"/>
      <c r="H8" s="123" t="s">
        <v>49</v>
      </c>
      <c r="I8" s="118"/>
      <c r="J8" s="123" t="s">
        <v>50</v>
      </c>
    </row>
    <row r="9" spans="1:10">
      <c r="F9" s="124"/>
      <c r="H9" s="124"/>
      <c r="J9" s="124"/>
    </row>
    <row r="10" spans="1:10">
      <c r="A10" s="116">
        <v>1</v>
      </c>
      <c r="B10" s="125" t="s">
        <v>187</v>
      </c>
      <c r="C10" s="126"/>
      <c r="D10" s="126"/>
      <c r="F10" s="127"/>
      <c r="H10" s="127"/>
      <c r="J10" s="127"/>
    </row>
    <row r="11" spans="1:10">
      <c r="A11" s="116">
        <f t="shared" ref="A11:A26" si="0">+A10+1</f>
        <v>2</v>
      </c>
      <c r="C11" s="136" t="s">
        <v>159</v>
      </c>
      <c r="F11" s="57"/>
      <c r="G11" s="19"/>
      <c r="H11" s="57"/>
      <c r="I11" s="19"/>
      <c r="J11" s="57"/>
    </row>
    <row r="12" spans="1:10">
      <c r="A12" s="116">
        <f t="shared" si="0"/>
        <v>3</v>
      </c>
      <c r="D12" s="111" t="s">
        <v>83</v>
      </c>
      <c r="F12" s="9">
        <v>32161787</v>
      </c>
      <c r="G12" s="19"/>
      <c r="H12" s="9">
        <v>3220571</v>
      </c>
      <c r="I12" s="19"/>
      <c r="J12" s="9">
        <f>SUM(F12:H12)</f>
        <v>35382358</v>
      </c>
    </row>
    <row r="13" spans="1:10">
      <c r="A13" s="116">
        <f t="shared" si="0"/>
        <v>4</v>
      </c>
      <c r="C13" s="128"/>
      <c r="D13" s="111" t="s">
        <v>84</v>
      </c>
      <c r="F13" s="20">
        <v>46279</v>
      </c>
      <c r="G13" s="19"/>
      <c r="H13" s="504">
        <v>0</v>
      </c>
      <c r="I13" s="19"/>
      <c r="J13" s="20">
        <f>SUM(F13:H13)</f>
        <v>46279</v>
      </c>
    </row>
    <row r="14" spans="1:10">
      <c r="A14" s="116">
        <f t="shared" si="0"/>
        <v>5</v>
      </c>
      <c r="C14" s="116"/>
      <c r="F14" s="57"/>
      <c r="G14" s="19"/>
      <c r="H14" s="57"/>
      <c r="I14" s="19"/>
      <c r="J14" s="57"/>
    </row>
    <row r="15" spans="1:10">
      <c r="A15" s="116">
        <f t="shared" si="0"/>
        <v>6</v>
      </c>
      <c r="D15" s="116"/>
      <c r="E15" s="116"/>
      <c r="F15" s="20"/>
      <c r="G15" s="19"/>
      <c r="H15" s="20"/>
      <c r="I15" s="19"/>
      <c r="J15" s="20"/>
    </row>
    <row r="16" spans="1:10">
      <c r="A16" s="116">
        <f t="shared" si="0"/>
        <v>7</v>
      </c>
      <c r="C16" s="139" t="s">
        <v>26</v>
      </c>
      <c r="F16" s="20"/>
      <c r="G16" s="19"/>
      <c r="H16" s="20"/>
      <c r="I16" s="19"/>
      <c r="J16" s="20"/>
    </row>
    <row r="17" spans="1:10">
      <c r="A17" s="116">
        <f t="shared" si="0"/>
        <v>8</v>
      </c>
      <c r="C17" s="116"/>
      <c r="D17" s="111" t="s">
        <v>85</v>
      </c>
      <c r="F17" s="20">
        <v>168150504</v>
      </c>
      <c r="G17" s="19"/>
      <c r="H17" s="20">
        <v>1295467</v>
      </c>
      <c r="I17" s="19"/>
      <c r="J17" s="20">
        <f>SUM(F17:H17)</f>
        <v>169445971</v>
      </c>
    </row>
    <row r="18" spans="1:10">
      <c r="A18" s="116">
        <f t="shared" si="0"/>
        <v>9</v>
      </c>
      <c r="D18" s="111" t="s">
        <v>86</v>
      </c>
      <c r="F18" s="504">
        <v>0</v>
      </c>
      <c r="G18" s="19"/>
      <c r="H18" s="20">
        <v>20118466</v>
      </c>
      <c r="I18" s="19"/>
      <c r="J18" s="20">
        <f>SUM(F18:H18)</f>
        <v>20118466</v>
      </c>
    </row>
    <row r="19" spans="1:10">
      <c r="A19" s="116">
        <f t="shared" si="0"/>
        <v>10</v>
      </c>
      <c r="C19" s="128"/>
      <c r="D19" s="111" t="s">
        <v>163</v>
      </c>
      <c r="F19" s="20">
        <v>357597</v>
      </c>
      <c r="G19" s="19"/>
      <c r="H19" s="20">
        <v>67246</v>
      </c>
      <c r="I19" s="19"/>
      <c r="J19" s="20">
        <f>SUM(F19:H19)</f>
        <v>424843</v>
      </c>
    </row>
    <row r="20" spans="1:10">
      <c r="A20" s="116">
        <f t="shared" si="0"/>
        <v>11</v>
      </c>
      <c r="D20" s="111" t="s">
        <v>87</v>
      </c>
      <c r="F20" s="504">
        <v>0</v>
      </c>
      <c r="G20" s="19"/>
      <c r="H20" s="504">
        <v>0</v>
      </c>
      <c r="I20" s="19"/>
      <c r="J20" s="504">
        <f>SUM(F20:H20)</f>
        <v>0</v>
      </c>
    </row>
    <row r="21" spans="1:10">
      <c r="A21" s="116">
        <f t="shared" si="0"/>
        <v>12</v>
      </c>
      <c r="F21" s="58"/>
      <c r="G21" s="19"/>
      <c r="H21" s="58"/>
      <c r="I21" s="19"/>
      <c r="J21" s="58"/>
    </row>
    <row r="22" spans="1:10">
      <c r="A22" s="116">
        <f t="shared" si="0"/>
        <v>13</v>
      </c>
      <c r="F22" s="20"/>
      <c r="G22" s="19"/>
      <c r="H22" s="20"/>
      <c r="I22" s="19"/>
      <c r="J22" s="20"/>
    </row>
    <row r="23" spans="1:10" ht="13.5" thickBot="1">
      <c r="A23" s="116">
        <f t="shared" si="0"/>
        <v>14</v>
      </c>
      <c r="D23" s="116" t="s">
        <v>128</v>
      </c>
      <c r="E23" s="116"/>
      <c r="F23" s="140">
        <f>SUM(F11:F21)</f>
        <v>200716167</v>
      </c>
      <c r="G23" s="19"/>
      <c r="H23" s="140">
        <f>SUM(H11:H21)</f>
        <v>24701750</v>
      </c>
      <c r="I23" s="19"/>
      <c r="J23" s="140">
        <f>SUM(F23:H23)</f>
        <v>225417917</v>
      </c>
    </row>
    <row r="24" spans="1:10" ht="13.5" thickTop="1">
      <c r="A24" s="116">
        <f t="shared" si="0"/>
        <v>15</v>
      </c>
      <c r="F24" s="112"/>
      <c r="J24" s="141"/>
    </row>
    <row r="25" spans="1:10">
      <c r="A25" s="116">
        <f t="shared" si="0"/>
        <v>16</v>
      </c>
    </row>
    <row r="26" spans="1:10" ht="13.5" thickBot="1">
      <c r="A26" s="116">
        <f t="shared" si="0"/>
        <v>17</v>
      </c>
      <c r="B26" s="142" t="s">
        <v>89</v>
      </c>
      <c r="C26" s="142"/>
      <c r="D26" s="142"/>
      <c r="F26" s="59">
        <v>-1455000</v>
      </c>
      <c r="H26" s="59">
        <v>-510174</v>
      </c>
      <c r="I26" s="19"/>
      <c r="J26" s="59">
        <f>SUM(F26:H26)</f>
        <v>-1965174</v>
      </c>
    </row>
    <row r="27" spans="1:10" ht="13.5" thickTop="1"/>
    <row r="29" spans="1:10">
      <c r="E29" s="116"/>
      <c r="H29" s="9"/>
    </row>
    <row r="30" spans="1:10">
      <c r="A30" s="111"/>
      <c r="F30" s="21"/>
    </row>
    <row r="31" spans="1:10">
      <c r="A31" s="111"/>
    </row>
    <row r="34" spans="6:8" ht="13.5" customHeight="1"/>
    <row r="36" spans="6:8">
      <c r="H36" s="9"/>
    </row>
    <row r="37" spans="6:8">
      <c r="F37" s="21"/>
    </row>
    <row r="38" spans="6:8">
      <c r="F38" s="21"/>
      <c r="H38" s="9"/>
    </row>
  </sheetData>
  <phoneticPr fontId="16" type="noConversion"/>
  <printOptions horizontalCentered="1"/>
  <pageMargins left="0.75" right="0.25" top="0.75" bottom="0.4" header="0" footer="0.25"/>
  <pageSetup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J40"/>
  <sheetViews>
    <sheetView showGridLines="0" zoomScaleNormal="100" workbookViewId="0">
      <selection activeCell="L13" sqref="L13"/>
    </sheetView>
  </sheetViews>
  <sheetFormatPr defaultColWidth="8" defaultRowHeight="12.75"/>
  <cols>
    <col min="1" max="1" width="4" style="116" customWidth="1"/>
    <col min="2" max="2" width="2.33203125" style="111" customWidth="1"/>
    <col min="3" max="3" width="3.21875" style="111" customWidth="1"/>
    <col min="4" max="4" width="50.6640625" style="111" bestFit="1" customWidth="1"/>
    <col min="5" max="5" width="0.88671875" style="111" customWidth="1"/>
    <col min="6" max="6" width="12.77734375" style="111" customWidth="1"/>
    <col min="7" max="7" width="2.109375" style="111" customWidth="1"/>
    <col min="8" max="8" width="11.6640625" style="112" customWidth="1"/>
    <col min="9" max="9" width="1.6640625" style="111" customWidth="1"/>
    <col min="10" max="10" width="12.5546875" style="111" customWidth="1"/>
    <col min="11" max="11" width="8" style="111" customWidth="1"/>
    <col min="12" max="12" width="17.6640625" style="111" bestFit="1" customWidth="1"/>
    <col min="13" max="16384" width="8" style="111"/>
  </cols>
  <sheetData>
    <row r="1" spans="1:10">
      <c r="A1" s="56" t="s">
        <v>27</v>
      </c>
      <c r="J1" s="482" t="s">
        <v>789</v>
      </c>
    </row>
    <row r="2" spans="1:10">
      <c r="A2" s="113" t="s">
        <v>90</v>
      </c>
      <c r="J2" s="114"/>
    </row>
    <row r="3" spans="1:10">
      <c r="A3" s="483" t="s">
        <v>790</v>
      </c>
      <c r="J3" s="115"/>
    </row>
    <row r="4" spans="1:10">
      <c r="A4" s="503" t="s">
        <v>269</v>
      </c>
      <c r="B4" s="4"/>
    </row>
    <row r="5" spans="1:10">
      <c r="E5" s="117"/>
    </row>
    <row r="6" spans="1:10">
      <c r="D6" s="117"/>
      <c r="E6" s="117"/>
      <c r="J6" s="118"/>
    </row>
    <row r="7" spans="1:10">
      <c r="A7" s="113" t="s">
        <v>165</v>
      </c>
      <c r="F7" s="118"/>
      <c r="G7" s="119"/>
      <c r="H7" s="118"/>
      <c r="I7" s="118"/>
      <c r="J7" s="118" t="s">
        <v>142</v>
      </c>
    </row>
    <row r="8" spans="1:10">
      <c r="A8" s="120" t="s">
        <v>141</v>
      </c>
      <c r="C8" s="121"/>
      <c r="D8" s="120" t="s">
        <v>151</v>
      </c>
      <c r="E8" s="119"/>
      <c r="F8" s="122" t="s">
        <v>48</v>
      </c>
      <c r="G8" s="119"/>
      <c r="H8" s="123" t="s">
        <v>49</v>
      </c>
      <c r="I8" s="118"/>
      <c r="J8" s="123" t="s">
        <v>50</v>
      </c>
    </row>
    <row r="9" spans="1:10">
      <c r="F9" s="124"/>
      <c r="H9" s="124"/>
      <c r="J9" s="124"/>
    </row>
    <row r="10" spans="1:10">
      <c r="A10" s="116">
        <v>1</v>
      </c>
      <c r="B10" s="125" t="s">
        <v>93</v>
      </c>
      <c r="C10" s="126"/>
      <c r="D10" s="126"/>
      <c r="F10" s="127"/>
      <c r="H10" s="127"/>
      <c r="J10" s="127"/>
    </row>
    <row r="11" spans="1:10">
      <c r="A11" s="116">
        <f t="shared" ref="A11:A39" si="0">+A10+1</f>
        <v>2</v>
      </c>
      <c r="C11" s="136"/>
      <c r="D11" s="111" t="s">
        <v>92</v>
      </c>
      <c r="F11" s="507">
        <v>0</v>
      </c>
      <c r="G11" s="19"/>
      <c r="H11" s="507">
        <v>0</v>
      </c>
      <c r="I11" s="19"/>
      <c r="J11" s="9">
        <f>SUM(F11:H11)</f>
        <v>0</v>
      </c>
    </row>
    <row r="12" spans="1:10">
      <c r="A12" s="116">
        <f t="shared" si="0"/>
        <v>3</v>
      </c>
      <c r="D12" s="111" t="s">
        <v>91</v>
      </c>
      <c r="F12" s="508">
        <v>73083393.896161541</v>
      </c>
      <c r="G12" s="19"/>
      <c r="H12" s="508">
        <v>9151198.1600000001</v>
      </c>
      <c r="I12" s="19"/>
      <c r="J12" s="20">
        <f>SUM(F12:H12)</f>
        <v>82234592.056161538</v>
      </c>
    </row>
    <row r="13" spans="1:10">
      <c r="A13" s="116">
        <f t="shared" si="0"/>
        <v>4</v>
      </c>
      <c r="C13" s="128"/>
    </row>
    <row r="14" spans="1:10">
      <c r="A14" s="116">
        <f t="shared" si="0"/>
        <v>5</v>
      </c>
      <c r="C14" s="116"/>
      <c r="F14" s="57"/>
      <c r="G14" s="19"/>
      <c r="H14" s="57"/>
      <c r="I14" s="19"/>
      <c r="J14" s="57"/>
    </row>
    <row r="15" spans="1:10">
      <c r="A15" s="116">
        <f t="shared" si="0"/>
        <v>6</v>
      </c>
      <c r="B15" s="125" t="s">
        <v>99</v>
      </c>
      <c r="C15" s="125"/>
      <c r="D15" s="138"/>
      <c r="E15" s="116"/>
      <c r="F15" s="20"/>
      <c r="G15" s="19"/>
      <c r="H15" s="20"/>
      <c r="I15" s="19"/>
      <c r="J15" s="20"/>
    </row>
    <row r="16" spans="1:10">
      <c r="A16" s="116">
        <f t="shared" si="0"/>
        <v>7</v>
      </c>
      <c r="C16" s="139"/>
      <c r="D16" s="111" t="s">
        <v>94</v>
      </c>
      <c r="F16" s="20"/>
      <c r="G16" s="19"/>
      <c r="H16" s="20"/>
      <c r="I16" s="19"/>
      <c r="J16" s="20"/>
    </row>
    <row r="17" spans="1:10">
      <c r="C17" s="139"/>
      <c r="D17" s="111" t="s">
        <v>221</v>
      </c>
      <c r="F17" s="9">
        <f>'WP O&amp;M'!F12</f>
        <v>0</v>
      </c>
      <c r="G17" s="19"/>
      <c r="H17" s="9">
        <f>'WP O&amp;M'!H12</f>
        <v>0</v>
      </c>
      <c r="I17" s="19"/>
      <c r="J17" s="9">
        <f>SUM(F17:H17)</f>
        <v>0</v>
      </c>
    </row>
    <row r="18" spans="1:10">
      <c r="A18" s="116">
        <f>+A16+1</f>
        <v>8</v>
      </c>
      <c r="C18" s="116"/>
      <c r="D18" s="111" t="s">
        <v>95</v>
      </c>
      <c r="F18" s="20">
        <f>'WP O&amp;M'!F13</f>
        <v>52216</v>
      </c>
      <c r="G18" s="21"/>
      <c r="H18" s="20">
        <f>'WP O&amp;M'!H13</f>
        <v>726</v>
      </c>
      <c r="I18" s="21"/>
      <c r="J18" s="20">
        <f>SUM(F18:H18)</f>
        <v>52942</v>
      </c>
    </row>
    <row r="19" spans="1:10">
      <c r="A19" s="116">
        <f t="shared" si="0"/>
        <v>9</v>
      </c>
      <c r="D19" s="111" t="s">
        <v>96</v>
      </c>
      <c r="F19" s="20">
        <f>'WP O&amp;M'!F14</f>
        <v>6039176</v>
      </c>
      <c r="G19" s="19"/>
      <c r="H19" s="20">
        <f>'WP O&amp;M'!H14</f>
        <v>1950151</v>
      </c>
      <c r="I19" s="19"/>
      <c r="J19" s="20">
        <f>SUM(F19:H19)</f>
        <v>7989327</v>
      </c>
    </row>
    <row r="20" spans="1:10">
      <c r="A20" s="116">
        <f t="shared" si="0"/>
        <v>10</v>
      </c>
      <c r="C20" s="128"/>
      <c r="D20" s="111" t="s">
        <v>97</v>
      </c>
      <c r="F20" s="22">
        <f>'WP O&amp;M'!F15</f>
        <v>48570</v>
      </c>
      <c r="G20" s="19"/>
      <c r="H20" s="22">
        <f>'WP O&amp;M'!H15</f>
        <v>0</v>
      </c>
      <c r="I20" s="19"/>
      <c r="J20" s="22">
        <f>SUM(F20:H20)</f>
        <v>48570</v>
      </c>
    </row>
    <row r="21" spans="1:10">
      <c r="A21" s="116">
        <f t="shared" si="0"/>
        <v>11</v>
      </c>
      <c r="F21" s="7"/>
      <c r="G21" s="7"/>
      <c r="H21" s="7"/>
      <c r="I21" s="7"/>
      <c r="J21" s="7"/>
    </row>
    <row r="22" spans="1:10" ht="13.5" thickBot="1">
      <c r="A22" s="116">
        <f t="shared" si="0"/>
        <v>12</v>
      </c>
      <c r="D22" s="111" t="s">
        <v>98</v>
      </c>
      <c r="F22" s="60">
        <f>SUM(F17:F20)</f>
        <v>6139962</v>
      </c>
      <c r="G22" s="7"/>
      <c r="H22" s="60">
        <f>SUM(H17:H20)</f>
        <v>1950877</v>
      </c>
      <c r="I22" s="7"/>
      <c r="J22" s="60">
        <f>SUM(J17:J20)</f>
        <v>8090839</v>
      </c>
    </row>
    <row r="23" spans="1:10" ht="13.5" thickTop="1">
      <c r="A23" s="116">
        <f t="shared" si="0"/>
        <v>13</v>
      </c>
      <c r="F23" s="20"/>
      <c r="G23" s="19"/>
      <c r="H23" s="20"/>
      <c r="I23" s="19"/>
      <c r="J23" s="20"/>
    </row>
    <row r="24" spans="1:10">
      <c r="A24" s="116">
        <f t="shared" si="0"/>
        <v>14</v>
      </c>
      <c r="B24" s="7"/>
      <c r="C24" s="7"/>
      <c r="D24" s="7"/>
      <c r="E24" s="7"/>
      <c r="F24" s="7"/>
      <c r="G24" s="7"/>
      <c r="H24" s="7"/>
      <c r="I24" s="7"/>
      <c r="J24" s="7"/>
    </row>
    <row r="25" spans="1:10">
      <c r="A25" s="116">
        <f t="shared" si="0"/>
        <v>15</v>
      </c>
      <c r="B25" s="61" t="s">
        <v>100</v>
      </c>
      <c r="C25" s="61"/>
      <c r="D25" s="61"/>
      <c r="E25" s="7"/>
      <c r="F25" s="7"/>
      <c r="G25" s="7"/>
      <c r="H25" s="7"/>
      <c r="I25" s="7"/>
      <c r="J25" s="7"/>
    </row>
    <row r="26" spans="1:10">
      <c r="A26" s="116">
        <f t="shared" si="0"/>
        <v>16</v>
      </c>
      <c r="B26" s="7"/>
      <c r="C26" s="7"/>
      <c r="D26" s="7" t="s">
        <v>123</v>
      </c>
      <c r="E26" s="7"/>
      <c r="F26" s="9">
        <v>286881705</v>
      </c>
      <c r="G26" s="21"/>
      <c r="H26" s="9">
        <v>11781890</v>
      </c>
      <c r="I26" s="21"/>
      <c r="J26" s="9">
        <f>SUM(F26:H26)</f>
        <v>298663595</v>
      </c>
    </row>
    <row r="27" spans="1:10">
      <c r="A27" s="116">
        <f t="shared" si="0"/>
        <v>17</v>
      </c>
      <c r="B27" s="7"/>
      <c r="C27" s="7"/>
      <c r="D27" s="7" t="s">
        <v>143</v>
      </c>
      <c r="E27" s="7"/>
      <c r="F27" s="20">
        <v>17953144</v>
      </c>
      <c r="G27" s="19"/>
      <c r="H27" s="20">
        <v>4816622</v>
      </c>
      <c r="I27" s="19"/>
      <c r="J27" s="20">
        <f>SUM(F27:H27)</f>
        <v>22769766</v>
      </c>
    </row>
    <row r="28" spans="1:10">
      <c r="A28" s="116">
        <f t="shared" si="0"/>
        <v>18</v>
      </c>
      <c r="D28" s="111" t="s">
        <v>144</v>
      </c>
      <c r="F28" s="20">
        <v>55478445</v>
      </c>
      <c r="G28" s="19"/>
      <c r="H28" s="20">
        <v>12808762</v>
      </c>
      <c r="I28" s="19"/>
      <c r="J28" s="20">
        <f>SUM(F28:H28)</f>
        <v>68287207</v>
      </c>
    </row>
    <row r="29" spans="1:10">
      <c r="A29" s="116">
        <f t="shared" si="0"/>
        <v>19</v>
      </c>
      <c r="D29" s="111" t="s">
        <v>163</v>
      </c>
      <c r="F29" s="22">
        <f>14455836+1488342+1899</f>
        <v>15946077</v>
      </c>
      <c r="G29" s="19"/>
      <c r="H29" s="22">
        <f>2342946+931625+65147</f>
        <v>3339718</v>
      </c>
      <c r="I29" s="19"/>
      <c r="J29" s="22">
        <f>SUM(F29:H29)</f>
        <v>19285795</v>
      </c>
    </row>
    <row r="30" spans="1:10">
      <c r="A30" s="116">
        <f t="shared" si="0"/>
        <v>20</v>
      </c>
      <c r="E30" s="116"/>
    </row>
    <row r="31" spans="1:10" ht="13.5" thickBot="1">
      <c r="A31" s="116">
        <f t="shared" si="0"/>
        <v>21</v>
      </c>
      <c r="D31" s="111" t="s">
        <v>101</v>
      </c>
      <c r="F31" s="131">
        <f>SUM(F26:F29)</f>
        <v>376259371</v>
      </c>
      <c r="H31" s="131">
        <f>SUM(H26:H29)</f>
        <v>32746992</v>
      </c>
      <c r="J31" s="131">
        <f>SUM(J26:J29)</f>
        <v>409006363</v>
      </c>
    </row>
    <row r="32" spans="1:10" ht="13.5" thickTop="1">
      <c r="A32" s="116">
        <f t="shared" si="0"/>
        <v>22</v>
      </c>
    </row>
    <row r="33" spans="1:10">
      <c r="A33" s="116">
        <f t="shared" si="0"/>
        <v>23</v>
      </c>
    </row>
    <row r="34" spans="1:10" ht="13.5" customHeight="1">
      <c r="A34" s="116">
        <f t="shared" si="0"/>
        <v>24</v>
      </c>
      <c r="B34" s="125" t="s">
        <v>102</v>
      </c>
      <c r="C34" s="126"/>
      <c r="D34" s="126"/>
    </row>
    <row r="35" spans="1:10">
      <c r="A35" s="116">
        <f t="shared" si="0"/>
        <v>25</v>
      </c>
      <c r="D35" s="111" t="s">
        <v>127</v>
      </c>
      <c r="F35" s="9">
        <v>9905161764</v>
      </c>
      <c r="G35" s="21"/>
      <c r="H35" s="9">
        <v>1364323669</v>
      </c>
      <c r="I35" s="21"/>
      <c r="J35" s="9">
        <f>SUM(F35:H35)</f>
        <v>11269485433</v>
      </c>
    </row>
    <row r="36" spans="1:10">
      <c r="A36" s="116">
        <f t="shared" si="0"/>
        <v>26</v>
      </c>
      <c r="D36" s="111" t="s">
        <v>116</v>
      </c>
      <c r="F36" s="20">
        <v>638024758</v>
      </c>
      <c r="G36" s="19"/>
      <c r="H36" s="20">
        <v>116405476</v>
      </c>
      <c r="I36" s="19"/>
      <c r="J36" s="20">
        <f>SUM(F36:H36)</f>
        <v>754430234</v>
      </c>
    </row>
    <row r="37" spans="1:10">
      <c r="A37" s="116">
        <f t="shared" si="0"/>
        <v>27</v>
      </c>
      <c r="D37" s="111" t="s">
        <v>103</v>
      </c>
      <c r="F37" s="22">
        <v>0</v>
      </c>
      <c r="G37" s="19"/>
      <c r="H37" s="22">
        <v>0</v>
      </c>
      <c r="I37" s="19"/>
      <c r="J37" s="22">
        <f>SUM(F37:H37)</f>
        <v>0</v>
      </c>
    </row>
    <row r="38" spans="1:10">
      <c r="A38" s="116">
        <f t="shared" si="0"/>
        <v>28</v>
      </c>
      <c r="F38" s="7"/>
      <c r="G38" s="7"/>
      <c r="H38" s="7"/>
      <c r="I38" s="7"/>
      <c r="J38" s="7"/>
    </row>
    <row r="39" spans="1:10" ht="13.5" thickBot="1">
      <c r="A39" s="116">
        <f t="shared" si="0"/>
        <v>29</v>
      </c>
      <c r="D39" s="111" t="s">
        <v>104</v>
      </c>
      <c r="F39" s="60">
        <f>SUM(F35:F37)</f>
        <v>10543186522</v>
      </c>
      <c r="G39" s="7"/>
      <c r="H39" s="60">
        <f>SUM(H35:H37)</f>
        <v>1480729145</v>
      </c>
      <c r="I39" s="7"/>
      <c r="J39" s="60">
        <f>SUM(J35:J37)</f>
        <v>12023915667</v>
      </c>
    </row>
    <row r="40" spans="1:10" ht="13.5" thickTop="1"/>
  </sheetData>
  <phoneticPr fontId="16" type="noConversion"/>
  <printOptions horizontalCentered="1"/>
  <pageMargins left="0.75" right="0.25" top="0.75" bottom="0.4" header="0" footer="0.25"/>
  <pageSetup scale="78"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showGridLines="0" zoomScaleNormal="100" workbookViewId="0"/>
  </sheetViews>
  <sheetFormatPr defaultRowHeight="12.75"/>
  <cols>
    <col min="1" max="1" width="13.77734375" style="435" customWidth="1"/>
    <col min="2" max="2" width="41.77734375" style="447" customWidth="1"/>
    <col min="3" max="3" width="67.88671875" style="435" customWidth="1"/>
    <col min="4" max="16384" width="8.88671875" style="435"/>
  </cols>
  <sheetData>
    <row r="1" spans="1:4" ht="24.75" customHeight="1">
      <c r="A1" s="476" t="s">
        <v>809</v>
      </c>
    </row>
    <row r="2" spans="1:4">
      <c r="A2" s="434" t="s">
        <v>354</v>
      </c>
      <c r="B2" s="434" t="s">
        <v>355</v>
      </c>
      <c r="C2" s="434" t="s">
        <v>356</v>
      </c>
    </row>
    <row r="3" spans="1:4" ht="38.25">
      <c r="A3" s="436" t="s">
        <v>357</v>
      </c>
      <c r="B3" s="437" t="s">
        <v>530</v>
      </c>
      <c r="C3" s="509" t="s">
        <v>813</v>
      </c>
    </row>
    <row r="4" spans="1:4" ht="29.25" customHeight="1">
      <c r="A4" s="436" t="s">
        <v>358</v>
      </c>
      <c r="B4" s="437" t="s">
        <v>359</v>
      </c>
      <c r="C4" s="509" t="s">
        <v>814</v>
      </c>
    </row>
    <row r="5" spans="1:4" ht="51">
      <c r="A5" s="436" t="s">
        <v>360</v>
      </c>
      <c r="B5" s="437" t="s">
        <v>531</v>
      </c>
      <c r="C5" s="509" t="s">
        <v>815</v>
      </c>
    </row>
    <row r="6" spans="1:4" ht="51">
      <c r="A6" s="436" t="s">
        <v>361</v>
      </c>
      <c r="B6" s="437" t="s">
        <v>362</v>
      </c>
      <c r="C6" s="509" t="s">
        <v>815</v>
      </c>
    </row>
    <row r="7" spans="1:4" ht="27.75" customHeight="1">
      <c r="A7" s="436" t="s">
        <v>363</v>
      </c>
      <c r="B7" s="437" t="s">
        <v>364</v>
      </c>
      <c r="C7" s="509" t="s">
        <v>816</v>
      </c>
    </row>
    <row r="8" spans="1:4" ht="51">
      <c r="A8" s="436" t="s">
        <v>365</v>
      </c>
      <c r="B8" s="437" t="s">
        <v>366</v>
      </c>
      <c r="C8" s="509" t="s">
        <v>727</v>
      </c>
    </row>
    <row r="9" spans="1:4" ht="38.25">
      <c r="A9" s="436" t="s">
        <v>367</v>
      </c>
      <c r="B9" s="437" t="s">
        <v>368</v>
      </c>
      <c r="C9" s="509" t="s">
        <v>813</v>
      </c>
    </row>
    <row r="10" spans="1:4" ht="38.25">
      <c r="A10" s="436" t="s">
        <v>369</v>
      </c>
      <c r="B10" s="437" t="s">
        <v>370</v>
      </c>
      <c r="C10" s="509" t="s">
        <v>532</v>
      </c>
    </row>
    <row r="11" spans="1:4">
      <c r="A11" s="438" t="s">
        <v>371</v>
      </c>
      <c r="B11" s="451" t="s">
        <v>372</v>
      </c>
      <c r="C11" s="439"/>
      <c r="D11" s="440"/>
    </row>
    <row r="12" spans="1:4">
      <c r="A12" s="441" t="s">
        <v>373</v>
      </c>
      <c r="B12" s="442" t="s">
        <v>374</v>
      </c>
      <c r="C12" s="616" t="s">
        <v>919</v>
      </c>
      <c r="D12" s="440"/>
    </row>
    <row r="13" spans="1:4" ht="13.5" customHeight="1">
      <c r="A13" s="441"/>
      <c r="B13" s="442"/>
      <c r="C13" s="617"/>
      <c r="D13" s="440"/>
    </row>
    <row r="14" spans="1:4" ht="93" customHeight="1">
      <c r="A14" s="443" t="s">
        <v>375</v>
      </c>
      <c r="B14" s="439" t="s">
        <v>376</v>
      </c>
      <c r="C14" s="509" t="s">
        <v>920</v>
      </c>
      <c r="D14" s="440"/>
    </row>
    <row r="15" spans="1:4" ht="108.75" customHeight="1">
      <c r="A15" s="441"/>
      <c r="B15" s="442"/>
      <c r="C15" s="509" t="s">
        <v>921</v>
      </c>
      <c r="D15" s="440"/>
    </row>
    <row r="16" spans="1:4" ht="147.75" customHeight="1">
      <c r="A16" s="443" t="s">
        <v>377</v>
      </c>
      <c r="B16" s="448" t="s">
        <v>378</v>
      </c>
      <c r="C16" s="509" t="s">
        <v>925</v>
      </c>
      <c r="D16" s="440"/>
    </row>
    <row r="17" spans="1:4" ht="70.5" customHeight="1">
      <c r="A17" s="444"/>
      <c r="B17" s="449"/>
      <c r="C17" s="509" t="s">
        <v>926</v>
      </c>
      <c r="D17" s="440"/>
    </row>
    <row r="18" spans="1:4" ht="25.5">
      <c r="A18" s="441" t="s">
        <v>379</v>
      </c>
      <c r="B18" s="442" t="s">
        <v>380</v>
      </c>
      <c r="C18" s="509" t="s">
        <v>527</v>
      </c>
    </row>
    <row r="19" spans="1:4" ht="24" customHeight="1">
      <c r="A19" s="798" t="s">
        <v>528</v>
      </c>
      <c r="B19" s="509" t="s">
        <v>381</v>
      </c>
      <c r="C19" s="509" t="s">
        <v>527</v>
      </c>
      <c r="D19" s="440"/>
    </row>
    <row r="20" spans="1:4" ht="38.25">
      <c r="A20" s="450" t="s">
        <v>382</v>
      </c>
      <c r="B20" s="445" t="s">
        <v>383</v>
      </c>
      <c r="C20" s="509" t="s">
        <v>529</v>
      </c>
    </row>
    <row r="21" spans="1:4" ht="38.25">
      <c r="A21" s="446" t="s">
        <v>384</v>
      </c>
      <c r="B21" s="437" t="s">
        <v>385</v>
      </c>
      <c r="C21" s="509" t="s">
        <v>927</v>
      </c>
    </row>
    <row r="22" spans="1:4" ht="38.25">
      <c r="A22" s="446" t="s">
        <v>386</v>
      </c>
      <c r="B22" s="437" t="s">
        <v>387</v>
      </c>
      <c r="C22" s="509" t="s">
        <v>181</v>
      </c>
    </row>
    <row r="23" spans="1:4">
      <c r="A23" s="447"/>
      <c r="C23" s="447"/>
    </row>
    <row r="24" spans="1:4">
      <c r="A24" s="447"/>
      <c r="C24" s="447"/>
    </row>
    <row r="25" spans="1:4">
      <c r="A25" s="447"/>
      <c r="C25" s="447"/>
    </row>
    <row r="26" spans="1:4">
      <c r="A26" s="447"/>
      <c r="C26" s="447"/>
    </row>
    <row r="27" spans="1:4">
      <c r="A27" s="447"/>
      <c r="C27" s="447"/>
    </row>
    <row r="28" spans="1:4">
      <c r="A28" s="447"/>
      <c r="C28" s="447"/>
    </row>
    <row r="29" spans="1:4">
      <c r="A29" s="447"/>
      <c r="C29" s="447"/>
    </row>
    <row r="30" spans="1:4">
      <c r="A30" s="447"/>
      <c r="C30" s="447"/>
    </row>
    <row r="31" spans="1:4">
      <c r="A31" s="447"/>
      <c r="C31" s="447"/>
    </row>
    <row r="32" spans="1:4">
      <c r="A32" s="447"/>
      <c r="C32" s="447"/>
    </row>
    <row r="33" spans="1:3">
      <c r="A33" s="447"/>
      <c r="C33" s="447"/>
    </row>
    <row r="34" spans="1:3">
      <c r="A34" s="447"/>
      <c r="C34" s="447"/>
    </row>
    <row r="35" spans="1:3">
      <c r="A35" s="447"/>
      <c r="C35" s="447"/>
    </row>
    <row r="36" spans="1:3">
      <c r="A36" s="447"/>
      <c r="C36" s="447"/>
    </row>
    <row r="37" spans="1:3">
      <c r="A37" s="447"/>
      <c r="C37" s="447"/>
    </row>
    <row r="38" spans="1:3">
      <c r="A38" s="447"/>
      <c r="C38" s="447"/>
    </row>
    <row r="39" spans="1:3">
      <c r="A39" s="447"/>
      <c r="C39" s="447"/>
    </row>
    <row r="40" spans="1:3">
      <c r="A40" s="447"/>
      <c r="C40" s="447"/>
    </row>
    <row r="41" spans="1:3">
      <c r="A41" s="447"/>
      <c r="C41" s="447"/>
    </row>
    <row r="42" spans="1:3">
      <c r="A42" s="447"/>
      <c r="C42" s="447"/>
    </row>
    <row r="43" spans="1:3">
      <c r="A43" s="447"/>
      <c r="C43" s="447"/>
    </row>
    <row r="44" spans="1:3">
      <c r="A44" s="447"/>
      <c r="C44" s="447"/>
    </row>
    <row r="45" spans="1:3">
      <c r="A45" s="447"/>
    </row>
    <row r="46" spans="1:3">
      <c r="A46" s="447"/>
    </row>
    <row r="47" spans="1:3">
      <c r="A47" s="447"/>
    </row>
    <row r="48" spans="1:3">
      <c r="A48" s="447"/>
    </row>
    <row r="49" spans="1:1">
      <c r="A49" s="447"/>
    </row>
    <row r="50" spans="1:1">
      <c r="A50" s="447"/>
    </row>
    <row r="51" spans="1:1">
      <c r="A51" s="447"/>
    </row>
    <row r="52" spans="1:1">
      <c r="A52" s="447"/>
    </row>
    <row r="53" spans="1:1">
      <c r="A53" s="447"/>
    </row>
    <row r="54" spans="1:1">
      <c r="A54" s="447"/>
    </row>
  </sheetData>
  <phoneticPr fontId="13" type="noConversion"/>
  <pageMargins left="0.75" right="0.75" top="0.5" bottom="0.5" header="0.5" footer="0.5"/>
  <pageSetup scale="69" fitToHeight="3" orientation="landscape" r:id="rId1"/>
  <headerFooter alignWithMargins="0"/>
  <rowBreaks count="1" manualBreakCount="1">
    <brk id="1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39"/>
  <sheetViews>
    <sheetView showGridLines="0" zoomScaleNormal="100" workbookViewId="0">
      <selection activeCell="O23" sqref="O23"/>
    </sheetView>
  </sheetViews>
  <sheetFormatPr defaultColWidth="8" defaultRowHeight="12.75"/>
  <cols>
    <col min="1" max="1" width="3.77734375" style="116" customWidth="1"/>
    <col min="2" max="2" width="2.33203125" style="111" customWidth="1"/>
    <col min="3" max="3" width="1.77734375" style="111" customWidth="1"/>
    <col min="4" max="4" width="44.77734375" style="111" customWidth="1"/>
    <col min="5" max="5" width="0.88671875" style="111" customWidth="1"/>
    <col min="6" max="6" width="12.77734375" style="111" customWidth="1"/>
    <col min="7" max="7" width="0.88671875" style="111" customWidth="1"/>
    <col min="8" max="8" width="11.33203125" style="112" customWidth="1"/>
    <col min="9" max="9" width="0.88671875" style="111" customWidth="1"/>
    <col min="10" max="10" width="11.6640625" style="111" customWidth="1"/>
    <col min="11" max="11" width="2" style="111" customWidth="1"/>
    <col min="12" max="12" width="9.33203125" style="111" customWidth="1"/>
    <col min="13" max="16384" width="8" style="111"/>
  </cols>
  <sheetData>
    <row r="1" spans="1:12">
      <c r="A1" s="56" t="s">
        <v>27</v>
      </c>
      <c r="L1" s="482" t="s">
        <v>789</v>
      </c>
    </row>
    <row r="2" spans="1:12">
      <c r="A2" s="113" t="s">
        <v>113</v>
      </c>
      <c r="L2" s="114"/>
    </row>
    <row r="3" spans="1:12">
      <c r="A3" s="483" t="s">
        <v>790</v>
      </c>
      <c r="L3" s="115"/>
    </row>
    <row r="4" spans="1:12">
      <c r="A4" s="503" t="s">
        <v>269</v>
      </c>
    </row>
    <row r="5" spans="1:12">
      <c r="E5" s="117"/>
    </row>
    <row r="6" spans="1:12">
      <c r="D6" s="117"/>
      <c r="E6" s="117"/>
      <c r="J6" s="118"/>
    </row>
    <row r="7" spans="1:12">
      <c r="A7" s="113" t="s">
        <v>165</v>
      </c>
      <c r="F7" s="118"/>
      <c r="G7" s="119"/>
      <c r="H7" s="118"/>
      <c r="I7" s="118"/>
      <c r="J7" s="118" t="s">
        <v>142</v>
      </c>
    </row>
    <row r="8" spans="1:12">
      <c r="A8" s="120" t="s">
        <v>141</v>
      </c>
      <c r="C8" s="121"/>
      <c r="D8" s="120" t="s">
        <v>151</v>
      </c>
      <c r="E8" s="119"/>
      <c r="F8" s="122" t="s">
        <v>48</v>
      </c>
      <c r="G8" s="119"/>
      <c r="H8" s="123" t="s">
        <v>49</v>
      </c>
      <c r="I8" s="118"/>
      <c r="J8" s="123" t="s">
        <v>50</v>
      </c>
    </row>
    <row r="9" spans="1:12">
      <c r="F9" s="124"/>
      <c r="H9" s="124"/>
      <c r="J9" s="124"/>
    </row>
    <row r="10" spans="1:12">
      <c r="A10" s="116">
        <v>1</v>
      </c>
      <c r="B10" s="61" t="s">
        <v>105</v>
      </c>
      <c r="C10" s="61"/>
      <c r="D10" s="61"/>
      <c r="F10" s="127"/>
      <c r="H10" s="127"/>
      <c r="J10" s="127"/>
    </row>
    <row r="11" spans="1:12">
      <c r="A11" s="116">
        <f t="shared" ref="A11:A34" si="0">+A10+1</f>
        <v>2</v>
      </c>
      <c r="B11" s="7"/>
      <c r="C11" s="7" t="s">
        <v>106</v>
      </c>
      <c r="F11" s="9">
        <f>4200000000+45933</f>
        <v>4200045933</v>
      </c>
      <c r="H11" s="9">
        <f>550000000+19123665</f>
        <v>569123665</v>
      </c>
      <c r="I11" s="19"/>
      <c r="J11" s="9">
        <f>SUM(F11:H11)</f>
        <v>4769169598</v>
      </c>
    </row>
    <row r="12" spans="1:12">
      <c r="A12" s="116">
        <f t="shared" si="0"/>
        <v>3</v>
      </c>
      <c r="B12" s="7"/>
      <c r="C12" s="7" t="s">
        <v>107</v>
      </c>
      <c r="F12" s="20">
        <f>177909869+3280444+1927811+272033</f>
        <v>183390157</v>
      </c>
      <c r="H12" s="20">
        <f>25608847+349882+800645+20865</f>
        <v>26780239</v>
      </c>
      <c r="I12" s="19"/>
      <c r="J12" s="20">
        <f>SUM(F12:H12)</f>
        <v>210170396</v>
      </c>
    </row>
    <row r="13" spans="1:12">
      <c r="A13" s="116">
        <f t="shared" si="0"/>
        <v>4</v>
      </c>
      <c r="B13" s="7"/>
      <c r="C13" s="7" t="s">
        <v>108</v>
      </c>
      <c r="J13" s="132">
        <f>+J12/J11</f>
        <v>4.4068551491256908E-2</v>
      </c>
    </row>
    <row r="14" spans="1:12">
      <c r="A14" s="116">
        <f t="shared" si="0"/>
        <v>5</v>
      </c>
      <c r="B14" s="7"/>
      <c r="C14" s="7"/>
      <c r="D14" s="7"/>
      <c r="F14" s="57"/>
      <c r="G14" s="19"/>
      <c r="H14" s="57"/>
      <c r="I14" s="19"/>
      <c r="J14" s="57"/>
    </row>
    <row r="15" spans="1:12">
      <c r="A15" s="116">
        <f t="shared" si="0"/>
        <v>6</v>
      </c>
      <c r="B15" s="7"/>
      <c r="C15" s="7"/>
      <c r="D15" s="7"/>
      <c r="E15" s="116"/>
      <c r="F15" s="20"/>
      <c r="G15" s="19"/>
      <c r="H15" s="20"/>
      <c r="I15" s="19"/>
      <c r="J15" s="20"/>
    </row>
    <row r="16" spans="1:12">
      <c r="A16" s="116">
        <f t="shared" si="0"/>
        <v>7</v>
      </c>
      <c r="B16" s="61" t="s">
        <v>20</v>
      </c>
      <c r="C16" s="61"/>
      <c r="D16" s="61"/>
      <c r="F16" s="20"/>
      <c r="G16" s="19"/>
      <c r="H16" s="20"/>
      <c r="I16" s="19"/>
      <c r="J16" s="20"/>
    </row>
    <row r="17" spans="1:12">
      <c r="A17" s="116">
        <f t="shared" si="0"/>
        <v>8</v>
      </c>
      <c r="B17" s="7"/>
      <c r="C17" s="7" t="s">
        <v>109</v>
      </c>
      <c r="F17" s="9">
        <v>4703172711</v>
      </c>
      <c r="G17" s="21"/>
      <c r="H17" s="9">
        <v>697689035</v>
      </c>
      <c r="I17" s="21"/>
      <c r="J17" s="9">
        <f>SUM(F17:H17)</f>
        <v>5400861746</v>
      </c>
    </row>
    <row r="18" spans="1:12">
      <c r="A18" s="116">
        <f t="shared" si="0"/>
        <v>9</v>
      </c>
      <c r="B18" s="7"/>
      <c r="C18" s="7" t="s">
        <v>110</v>
      </c>
      <c r="F18" s="20">
        <v>0</v>
      </c>
      <c r="G18" s="19"/>
      <c r="H18" s="20">
        <v>0</v>
      </c>
      <c r="I18" s="19"/>
      <c r="J18" s="20">
        <f>SUM(F18:H18)</f>
        <v>0</v>
      </c>
    </row>
    <row r="19" spans="1:12">
      <c r="A19" s="116">
        <f t="shared" si="0"/>
        <v>10</v>
      </c>
      <c r="B19" s="7"/>
      <c r="C19" s="7" t="s">
        <v>111</v>
      </c>
      <c r="F19" s="22">
        <v>2627733</v>
      </c>
      <c r="G19" s="19"/>
      <c r="H19" s="22">
        <v>-2434970</v>
      </c>
      <c r="I19" s="19"/>
      <c r="J19" s="22">
        <f>SUM(F19:H19)</f>
        <v>192763</v>
      </c>
    </row>
    <row r="20" spans="1:12">
      <c r="A20" s="116">
        <f t="shared" si="0"/>
        <v>11</v>
      </c>
      <c r="B20" s="7"/>
      <c r="C20" s="7"/>
      <c r="F20" s="7"/>
      <c r="G20" s="7"/>
      <c r="H20" s="7"/>
      <c r="I20" s="7"/>
      <c r="J20" s="7"/>
    </row>
    <row r="21" spans="1:12" ht="13.5" thickBot="1">
      <c r="A21" s="116">
        <f t="shared" si="0"/>
        <v>12</v>
      </c>
      <c r="B21" s="7"/>
      <c r="C21" s="7" t="s">
        <v>112</v>
      </c>
      <c r="F21" s="60">
        <f>SUM(F17:F19)</f>
        <v>4705800444</v>
      </c>
      <c r="G21" s="7"/>
      <c r="H21" s="60">
        <f>SUM(H17:H19)</f>
        <v>695254065</v>
      </c>
      <c r="I21" s="7"/>
      <c r="J21" s="60">
        <f>SUM(J17:J19)</f>
        <v>5401054509</v>
      </c>
    </row>
    <row r="22" spans="1:12" ht="13.5" thickTop="1">
      <c r="A22" s="116">
        <f t="shared" si="0"/>
        <v>13</v>
      </c>
      <c r="B22" s="7"/>
      <c r="C22" s="7"/>
      <c r="D22" s="7"/>
      <c r="F22" s="20"/>
      <c r="G22" s="19"/>
      <c r="H22" s="20"/>
      <c r="I22" s="19"/>
      <c r="J22" s="20"/>
    </row>
    <row r="23" spans="1:12">
      <c r="A23" s="116">
        <f t="shared" si="0"/>
        <v>14</v>
      </c>
      <c r="B23" s="7"/>
      <c r="C23" s="7"/>
      <c r="D23" s="7"/>
      <c r="E23" s="7"/>
      <c r="F23" s="7"/>
      <c r="G23" s="7"/>
      <c r="H23" s="7"/>
      <c r="I23" s="7"/>
      <c r="J23" s="7"/>
    </row>
    <row r="24" spans="1:12">
      <c r="A24" s="116">
        <f t="shared" si="0"/>
        <v>15</v>
      </c>
      <c r="F24" s="7"/>
      <c r="G24" s="7"/>
      <c r="H24" s="7"/>
      <c r="I24" s="7"/>
      <c r="J24" s="7"/>
    </row>
    <row r="25" spans="1:12">
      <c r="A25" s="116">
        <f t="shared" si="0"/>
        <v>16</v>
      </c>
      <c r="F25" s="7"/>
      <c r="G25" s="7"/>
      <c r="H25" s="7"/>
      <c r="I25" s="7"/>
      <c r="J25" s="7"/>
    </row>
    <row r="26" spans="1:12">
      <c r="A26" s="116">
        <f t="shared" si="0"/>
        <v>17</v>
      </c>
      <c r="B26" s="61" t="s">
        <v>113</v>
      </c>
      <c r="C26" s="61"/>
      <c r="D26" s="61"/>
      <c r="E26" s="7"/>
      <c r="F26" s="39" t="s">
        <v>186</v>
      </c>
      <c r="G26" s="46"/>
      <c r="H26" s="39" t="s">
        <v>135</v>
      </c>
      <c r="I26" s="46"/>
      <c r="J26" s="39" t="s">
        <v>157</v>
      </c>
      <c r="K26" s="118"/>
      <c r="L26" s="123" t="s">
        <v>156</v>
      </c>
    </row>
    <row r="27" spans="1:12">
      <c r="A27" s="116">
        <f t="shared" si="0"/>
        <v>18</v>
      </c>
      <c r="B27" s="7"/>
      <c r="C27" s="7"/>
      <c r="D27" s="7"/>
      <c r="E27" s="7"/>
      <c r="F27" s="7"/>
      <c r="G27" s="7"/>
      <c r="H27" s="7"/>
      <c r="I27" s="7"/>
      <c r="J27" s="7"/>
    </row>
    <row r="28" spans="1:12">
      <c r="A28" s="116">
        <f t="shared" si="0"/>
        <v>19</v>
      </c>
      <c r="B28" s="7"/>
      <c r="C28" s="7" t="s">
        <v>105</v>
      </c>
      <c r="E28" s="7"/>
      <c r="F28" s="37">
        <f>+J11</f>
        <v>4769169598</v>
      </c>
      <c r="G28" s="7"/>
      <c r="H28" s="63">
        <f>+F28/$F$34</f>
        <v>0.46893456307589704</v>
      </c>
      <c r="I28" s="7"/>
      <c r="J28" s="63">
        <f>+J13</f>
        <v>4.4068551491256908E-2</v>
      </c>
      <c r="L28" s="133">
        <f>+H28*J28</f>
        <v>2.0665266938940229E-2</v>
      </c>
    </row>
    <row r="29" spans="1:12">
      <c r="A29" s="116">
        <f t="shared" si="0"/>
        <v>20</v>
      </c>
      <c r="B29" s="7"/>
      <c r="C29" s="7"/>
      <c r="E29" s="116"/>
      <c r="F29" s="7"/>
      <c r="G29" s="7"/>
      <c r="H29" s="63"/>
      <c r="I29" s="7"/>
      <c r="J29" s="64"/>
      <c r="L29" s="133"/>
    </row>
    <row r="30" spans="1:12">
      <c r="A30" s="116">
        <f t="shared" si="0"/>
        <v>21</v>
      </c>
      <c r="B30" s="7"/>
      <c r="C30" s="7" t="s">
        <v>19</v>
      </c>
      <c r="F30" s="53">
        <f>-J18</f>
        <v>0</v>
      </c>
      <c r="G30" s="7"/>
      <c r="H30" s="63">
        <f>+F30/$F$34</f>
        <v>0</v>
      </c>
      <c r="I30" s="7"/>
      <c r="J30" s="63">
        <v>0</v>
      </c>
      <c r="L30" s="133">
        <f>+H30*J30</f>
        <v>0</v>
      </c>
    </row>
    <row r="31" spans="1:12">
      <c r="A31" s="116">
        <f t="shared" si="0"/>
        <v>22</v>
      </c>
      <c r="B31" s="7"/>
      <c r="C31" s="7"/>
      <c r="F31" s="7"/>
      <c r="G31" s="7"/>
      <c r="H31" s="63"/>
      <c r="I31" s="7"/>
      <c r="J31" s="64"/>
      <c r="L31" s="133"/>
    </row>
    <row r="32" spans="1:12">
      <c r="A32" s="116">
        <f t="shared" si="0"/>
        <v>23</v>
      </c>
      <c r="B32" s="7"/>
      <c r="C32" s="7" t="s">
        <v>114</v>
      </c>
      <c r="F32" s="54">
        <f>+J21</f>
        <v>5401054509</v>
      </c>
      <c r="G32" s="7"/>
      <c r="H32" s="505">
        <f>+F32/$F$34</f>
        <v>0.53106543692410302</v>
      </c>
      <c r="I32" s="7"/>
      <c r="J32" s="63">
        <v>0.12379999999999999</v>
      </c>
      <c r="L32" s="134">
        <f>+H32*J32</f>
        <v>6.5745901091203957E-2</v>
      </c>
    </row>
    <row r="33" spans="1:12">
      <c r="A33" s="116">
        <f t="shared" si="0"/>
        <v>24</v>
      </c>
      <c r="B33" s="7"/>
      <c r="C33" s="7"/>
      <c r="F33" s="7"/>
      <c r="G33" s="7"/>
      <c r="H33" s="7"/>
      <c r="I33" s="7"/>
      <c r="J33" s="7"/>
      <c r="L33" s="133"/>
    </row>
    <row r="34" spans="1:12" ht="13.5" customHeight="1" thickBot="1">
      <c r="A34" s="116">
        <f t="shared" si="0"/>
        <v>25</v>
      </c>
      <c r="B34" s="7"/>
      <c r="C34" s="7" t="s">
        <v>115</v>
      </c>
      <c r="F34" s="60">
        <f>SUM(F28:F32)</f>
        <v>10170224107</v>
      </c>
      <c r="G34" s="7"/>
      <c r="H34" s="62">
        <f>+F34/$F$34</f>
        <v>1</v>
      </c>
      <c r="I34" s="7"/>
      <c r="J34" s="7"/>
      <c r="L34" s="135">
        <f>SUM(L28:L32)</f>
        <v>8.6411168030144189E-2</v>
      </c>
    </row>
    <row r="35" spans="1:12" ht="13.5" thickTop="1">
      <c r="B35" s="7"/>
      <c r="C35" s="7"/>
      <c r="D35" s="7"/>
      <c r="F35" s="7"/>
      <c r="G35" s="7"/>
      <c r="H35" s="7"/>
      <c r="I35" s="7"/>
      <c r="J35" s="7"/>
    </row>
    <row r="36" spans="1:12">
      <c r="B36" s="7"/>
      <c r="C36" s="7"/>
      <c r="D36" s="7"/>
      <c r="F36" s="7"/>
      <c r="G36" s="7"/>
      <c r="H36" s="7"/>
      <c r="I36" s="7"/>
      <c r="J36" s="7"/>
    </row>
    <row r="37" spans="1:12">
      <c r="B37" s="7"/>
      <c r="C37" s="7"/>
      <c r="D37" s="7"/>
      <c r="F37" s="7"/>
      <c r="G37" s="7"/>
      <c r="H37" s="7"/>
      <c r="I37" s="7"/>
      <c r="J37" s="7"/>
    </row>
    <row r="38" spans="1:12">
      <c r="B38" s="7"/>
      <c r="C38" s="7"/>
      <c r="D38" s="7"/>
      <c r="F38" s="7"/>
      <c r="G38" s="7"/>
      <c r="H38" s="7"/>
      <c r="I38" s="7"/>
      <c r="J38" s="7"/>
    </row>
    <row r="39" spans="1:12">
      <c r="F39" s="7"/>
      <c r="G39" s="7"/>
      <c r="H39" s="7"/>
      <c r="I39" s="7"/>
      <c r="J39" s="7"/>
    </row>
  </sheetData>
  <phoneticPr fontId="16" type="noConversion"/>
  <printOptions horizontalCentered="1"/>
  <pageMargins left="0.5" right="0.25" top="0.75" bottom="0.4" header="0" footer="0.25"/>
  <pageSetup scale="80" orientation="portrait"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BFFFF"/>
    <pageSetUpPr fitToPage="1"/>
  </sheetPr>
  <dimension ref="A1:R51"/>
  <sheetViews>
    <sheetView showGridLines="0" workbookViewId="0">
      <selection activeCell="A5" sqref="A5"/>
    </sheetView>
  </sheetViews>
  <sheetFormatPr defaultColWidth="8" defaultRowHeight="12.75"/>
  <cols>
    <col min="1" max="1" width="4" style="116" customWidth="1"/>
    <col min="2" max="2" width="2.33203125" style="111" customWidth="1"/>
    <col min="3" max="3" width="3.21875" style="111" customWidth="1"/>
    <col min="4" max="4" width="36.44140625" style="111" bestFit="1" customWidth="1"/>
    <col min="5" max="5" width="0.88671875" style="111" customWidth="1"/>
    <col min="6" max="6" width="11.77734375" style="111" customWidth="1"/>
    <col min="7" max="7" width="0.88671875" style="111" customWidth="1"/>
    <col min="8" max="8" width="10.44140625" style="112" customWidth="1"/>
    <col min="9" max="9" width="0.88671875" style="111" customWidth="1"/>
    <col min="10" max="10" width="10.44140625" style="111" bestFit="1" customWidth="1"/>
    <col min="11" max="13" width="8" style="111"/>
    <col min="14" max="14" width="9.5546875" style="111" bestFit="1" customWidth="1"/>
    <col min="15" max="15" width="11.5546875" style="111" bestFit="1" customWidth="1"/>
    <col min="16" max="16384" width="8" style="111"/>
  </cols>
  <sheetData>
    <row r="1" spans="1:10">
      <c r="A1" s="56" t="s">
        <v>27</v>
      </c>
      <c r="J1" s="482" t="s">
        <v>789</v>
      </c>
    </row>
    <row r="2" spans="1:10">
      <c r="A2" s="113" t="s">
        <v>204</v>
      </c>
      <c r="J2" s="114"/>
    </row>
    <row r="3" spans="1:10">
      <c r="A3" s="483" t="s">
        <v>790</v>
      </c>
      <c r="J3" s="115"/>
    </row>
    <row r="4" spans="1:10">
      <c r="A4" s="503" t="s">
        <v>269</v>
      </c>
    </row>
    <row r="5" spans="1:10">
      <c r="E5" s="117"/>
    </row>
    <row r="6" spans="1:10">
      <c r="D6" s="117"/>
      <c r="E6" s="117"/>
      <c r="J6" s="118"/>
    </row>
    <row r="7" spans="1:10">
      <c r="A7" s="113" t="s">
        <v>165</v>
      </c>
      <c r="F7" s="118"/>
      <c r="G7" s="119"/>
      <c r="H7" s="118"/>
      <c r="I7" s="118"/>
      <c r="J7" s="118" t="s">
        <v>142</v>
      </c>
    </row>
    <row r="8" spans="1:10">
      <c r="A8" s="120" t="s">
        <v>141</v>
      </c>
      <c r="C8" s="121"/>
      <c r="D8" s="120" t="s">
        <v>151</v>
      </c>
      <c r="E8" s="119"/>
      <c r="F8" s="122" t="s">
        <v>48</v>
      </c>
      <c r="G8" s="119"/>
      <c r="H8" s="123" t="s">
        <v>49</v>
      </c>
      <c r="I8" s="118"/>
      <c r="J8" s="123" t="s">
        <v>50</v>
      </c>
    </row>
    <row r="9" spans="1:10">
      <c r="F9" s="124"/>
      <c r="H9" s="124"/>
      <c r="J9" s="124"/>
    </row>
    <row r="10" spans="1:10">
      <c r="A10" s="185">
        <v>1</v>
      </c>
      <c r="B10" s="186" t="s">
        <v>224</v>
      </c>
      <c r="C10" s="187"/>
      <c r="D10" s="187"/>
      <c r="E10" s="188"/>
      <c r="F10" s="189"/>
      <c r="G10" s="190"/>
      <c r="H10" s="189"/>
      <c r="I10" s="191"/>
      <c r="J10" s="189"/>
    </row>
    <row r="11" spans="1:10">
      <c r="A11" s="185">
        <f t="shared" ref="A11:A25" si="0">+A10+1</f>
        <v>2</v>
      </c>
      <c r="B11" s="188"/>
      <c r="C11" s="188" t="s">
        <v>205</v>
      </c>
      <c r="D11" s="188" t="s">
        <v>206</v>
      </c>
      <c r="E11" s="188"/>
      <c r="F11" s="215">
        <v>0</v>
      </c>
      <c r="G11" s="19"/>
      <c r="H11" s="9">
        <v>0</v>
      </c>
      <c r="I11" s="192"/>
      <c r="J11" s="215">
        <f>SUM(F11:H11)</f>
        <v>0</v>
      </c>
    </row>
    <row r="12" spans="1:10">
      <c r="A12" s="185">
        <f t="shared" si="0"/>
        <v>3</v>
      </c>
      <c r="B12" s="188"/>
      <c r="C12" s="193" t="s">
        <v>207</v>
      </c>
      <c r="D12" s="188" t="s">
        <v>208</v>
      </c>
      <c r="E12" s="188"/>
      <c r="F12" s="216">
        <v>0</v>
      </c>
      <c r="G12" s="19"/>
      <c r="H12" s="22">
        <v>0</v>
      </c>
      <c r="I12" s="192"/>
      <c r="J12" s="216">
        <f>SUM(F12:H12)</f>
        <v>0</v>
      </c>
    </row>
    <row r="13" spans="1:10">
      <c r="A13" s="185">
        <f t="shared" si="0"/>
        <v>4</v>
      </c>
      <c r="B13" s="188"/>
      <c r="C13" s="193"/>
      <c r="D13" s="188"/>
      <c r="E13" s="188"/>
      <c r="F13" s="217"/>
      <c r="G13" s="19"/>
      <c r="H13" s="20"/>
      <c r="I13" s="192"/>
      <c r="J13" s="217"/>
    </row>
    <row r="14" spans="1:10">
      <c r="A14" s="185">
        <f t="shared" si="0"/>
        <v>5</v>
      </c>
      <c r="B14" s="188"/>
      <c r="C14" s="185"/>
      <c r="D14" s="188" t="s">
        <v>209</v>
      </c>
      <c r="E14" s="188"/>
      <c r="F14" s="218">
        <f>F11-F12</f>
        <v>0</v>
      </c>
      <c r="G14" s="19"/>
      <c r="H14" s="219">
        <f>H11-H12</f>
        <v>0</v>
      </c>
      <c r="I14" s="192"/>
      <c r="J14" s="218">
        <f>J11-J12</f>
        <v>0</v>
      </c>
    </row>
    <row r="15" spans="1:10">
      <c r="A15" s="185">
        <f t="shared" si="0"/>
        <v>6</v>
      </c>
      <c r="B15" s="188"/>
      <c r="C15" s="185"/>
      <c r="D15" s="188"/>
      <c r="E15" s="188"/>
      <c r="F15" s="218"/>
      <c r="G15" s="19"/>
      <c r="H15" s="219"/>
      <c r="I15" s="192"/>
      <c r="J15" s="218"/>
    </row>
    <row r="16" spans="1:10">
      <c r="A16" s="185">
        <f t="shared" si="0"/>
        <v>7</v>
      </c>
      <c r="B16" s="188"/>
      <c r="C16" s="188"/>
      <c r="D16" s="185"/>
      <c r="E16" s="185"/>
      <c r="F16" s="217"/>
      <c r="G16" s="19"/>
      <c r="H16" s="20"/>
      <c r="I16" s="192"/>
      <c r="J16" s="217"/>
    </row>
    <row r="17" spans="1:13">
      <c r="A17" s="185">
        <f t="shared" si="0"/>
        <v>8</v>
      </c>
      <c r="B17" s="186" t="s">
        <v>210</v>
      </c>
      <c r="C17" s="194"/>
      <c r="D17" s="186"/>
      <c r="E17" s="188"/>
      <c r="F17" s="217"/>
      <c r="G17" s="19"/>
      <c r="H17" s="20"/>
      <c r="I17" s="192"/>
      <c r="J17" s="217"/>
    </row>
    <row r="18" spans="1:13">
      <c r="A18" s="185">
        <f t="shared" si="0"/>
        <v>9</v>
      </c>
      <c r="B18" s="188"/>
      <c r="C18" s="185"/>
      <c r="D18" s="188" t="s">
        <v>334</v>
      </c>
      <c r="E18" s="188"/>
      <c r="F18" s="215">
        <v>864358.89</v>
      </c>
      <c r="G18" s="21"/>
      <c r="H18" s="9">
        <v>0</v>
      </c>
      <c r="I18" s="195"/>
      <c r="J18" s="215">
        <f>SUM(F18:H18)</f>
        <v>864358.89</v>
      </c>
      <c r="M18" s="129"/>
    </row>
    <row r="19" spans="1:13">
      <c r="A19" s="185">
        <f t="shared" si="0"/>
        <v>10</v>
      </c>
      <c r="B19" s="27"/>
      <c r="C19" s="27"/>
      <c r="D19" s="188"/>
      <c r="E19" s="27"/>
      <c r="F19" s="27"/>
      <c r="G19" s="196"/>
      <c r="H19" s="196"/>
      <c r="I19" s="197"/>
      <c r="J19" s="27"/>
    </row>
    <row r="20" spans="1:13">
      <c r="A20" s="185">
        <f t="shared" si="0"/>
        <v>11</v>
      </c>
      <c r="B20" s="27"/>
      <c r="C20" s="27"/>
      <c r="D20" s="27"/>
      <c r="E20" s="27"/>
      <c r="F20" s="27"/>
      <c r="G20" s="196"/>
      <c r="H20" s="196"/>
      <c r="I20" s="197"/>
      <c r="J20" s="27"/>
    </row>
    <row r="21" spans="1:13">
      <c r="A21" s="185">
        <f t="shared" si="0"/>
        <v>12</v>
      </c>
      <c r="B21" s="186" t="s">
        <v>533</v>
      </c>
      <c r="C21" s="194"/>
      <c r="D21" s="186"/>
      <c r="E21" s="27"/>
      <c r="F21" s="27"/>
      <c r="G21" s="196"/>
      <c r="H21" s="196"/>
      <c r="I21" s="197"/>
      <c r="J21" s="27"/>
    </row>
    <row r="22" spans="1:13">
      <c r="A22" s="185">
        <f t="shared" si="0"/>
        <v>13</v>
      </c>
      <c r="B22" s="188"/>
      <c r="C22" s="185" t="s">
        <v>205</v>
      </c>
      <c r="D22" s="188" t="s">
        <v>211</v>
      </c>
      <c r="E22" s="27"/>
      <c r="F22" s="507">
        <f>'WP FERC 456 Rev 1'!G44</f>
        <v>29768458.409999996</v>
      </c>
      <c r="G22" s="19"/>
      <c r="H22" s="9">
        <v>0</v>
      </c>
      <c r="I22" s="192"/>
      <c r="J22" s="215">
        <f>SUM(F22:H22)</f>
        <v>29768458.409999996</v>
      </c>
    </row>
    <row r="23" spans="1:13">
      <c r="A23" s="185">
        <f>+A22+1</f>
        <v>14</v>
      </c>
      <c r="B23" s="27"/>
      <c r="C23" s="27" t="s">
        <v>207</v>
      </c>
      <c r="D23" s="27" t="s">
        <v>211</v>
      </c>
      <c r="E23" s="27"/>
      <c r="F23" s="549">
        <f>'WP FERC 456 Rev 1'!E44</f>
        <v>69273380.079999983</v>
      </c>
      <c r="G23" s="130"/>
      <c r="H23" s="233">
        <v>0</v>
      </c>
      <c r="I23" s="192"/>
      <c r="J23" s="220">
        <f>SUM(F23:H23)</f>
        <v>69273380.079999983</v>
      </c>
    </row>
    <row r="24" spans="1:13">
      <c r="A24" s="185">
        <f t="shared" si="0"/>
        <v>15</v>
      </c>
      <c r="B24" s="27"/>
      <c r="C24" s="188"/>
      <c r="D24" s="27" t="s">
        <v>306</v>
      </c>
      <c r="E24" s="27"/>
      <c r="F24" s="550"/>
      <c r="G24" s="19"/>
      <c r="H24" s="111"/>
      <c r="I24" s="192"/>
      <c r="J24" s="221"/>
    </row>
    <row r="25" spans="1:13">
      <c r="A25" s="185">
        <f t="shared" si="0"/>
        <v>16</v>
      </c>
      <c r="B25" s="27"/>
      <c r="C25" s="27" t="s">
        <v>226</v>
      </c>
      <c r="D25" s="27" t="s">
        <v>227</v>
      </c>
      <c r="E25" s="27"/>
      <c r="F25" s="549">
        <f>'WP FERC 456 Rev 1'!H37</f>
        <v>60979512.453853585</v>
      </c>
      <c r="G25" s="130"/>
      <c r="H25" s="233">
        <v>0</v>
      </c>
      <c r="I25" s="192"/>
      <c r="J25" s="220">
        <f>SUM(F25:H25)</f>
        <v>60979512.453853585</v>
      </c>
    </row>
    <row r="26" spans="1:13">
      <c r="A26" s="185">
        <f>+A25+1</f>
        <v>17</v>
      </c>
      <c r="B26" s="27"/>
      <c r="C26" s="27" t="s">
        <v>226</v>
      </c>
      <c r="D26" s="27" t="s">
        <v>311</v>
      </c>
      <c r="E26" s="27"/>
      <c r="F26" s="549">
        <f>'WP FERC 456 Rev 1'!H38</f>
        <v>52287847.234765284</v>
      </c>
      <c r="G26" s="130"/>
      <c r="H26" s="233">
        <v>0</v>
      </c>
      <c r="I26" s="192"/>
      <c r="J26" s="220">
        <f>SUM(F26:H26)</f>
        <v>52287847.234765284</v>
      </c>
    </row>
    <row r="27" spans="1:13">
      <c r="A27" s="185">
        <f>+A25+1</f>
        <v>17</v>
      </c>
      <c r="B27" s="27"/>
      <c r="C27" s="27"/>
      <c r="D27" s="27" t="s">
        <v>212</v>
      </c>
      <c r="E27" s="27"/>
      <c r="F27" s="222">
        <f>F22+F23+F25+F26</f>
        <v>212309198.17861885</v>
      </c>
      <c r="G27" s="192"/>
      <c r="H27" s="222">
        <f>H22+H23+H25+H26</f>
        <v>0</v>
      </c>
      <c r="I27" s="192"/>
      <c r="J27" s="222">
        <f>J22+J23+J25+J26</f>
        <v>212309198.17861885</v>
      </c>
    </row>
    <row r="28" spans="1:13">
      <c r="A28" s="185"/>
      <c r="B28" s="27"/>
      <c r="C28" s="27"/>
      <c r="D28" s="188"/>
      <c r="E28" s="27"/>
      <c r="F28" s="27"/>
      <c r="G28" s="27"/>
      <c r="H28" s="197"/>
      <c r="I28" s="197"/>
      <c r="J28" s="197"/>
    </row>
    <row r="29" spans="1:13">
      <c r="A29" s="185">
        <v>18</v>
      </c>
      <c r="B29" s="186" t="s">
        <v>307</v>
      </c>
      <c r="C29" s="186"/>
      <c r="D29" s="186"/>
      <c r="E29" s="188"/>
      <c r="F29" s="188"/>
      <c r="G29" s="27"/>
      <c r="H29" s="197"/>
      <c r="I29" s="197"/>
      <c r="J29" s="197"/>
    </row>
    <row r="30" spans="1:13" ht="13.5" thickBot="1">
      <c r="A30" s="185">
        <v>19</v>
      </c>
      <c r="B30" s="188"/>
      <c r="C30" s="188"/>
      <c r="D30" s="188" t="s">
        <v>335</v>
      </c>
      <c r="E30" s="188"/>
      <c r="F30" s="463">
        <f>'WP Att GG 2014 Actuals Rev 1'!L95</f>
        <v>58822736.453853585</v>
      </c>
      <c r="G30" s="190"/>
      <c r="H30" s="198" t="s">
        <v>728</v>
      </c>
      <c r="I30" s="190"/>
      <c r="J30" s="190"/>
    </row>
    <row r="31" spans="1:13" ht="13.5" thickTop="1">
      <c r="A31" s="185"/>
      <c r="B31" s="188"/>
      <c r="C31" s="188"/>
      <c r="D31" s="188"/>
      <c r="E31" s="185"/>
      <c r="F31" s="188"/>
      <c r="G31" s="190"/>
      <c r="H31" s="198"/>
      <c r="I31" s="190"/>
      <c r="J31" s="190"/>
    </row>
    <row r="32" spans="1:13">
      <c r="A32" s="185">
        <v>20</v>
      </c>
      <c r="B32" s="186" t="s">
        <v>308</v>
      </c>
      <c r="C32" s="186"/>
      <c r="D32" s="186"/>
      <c r="E32" s="188"/>
      <c r="F32" s="188"/>
      <c r="G32" s="190"/>
      <c r="H32" s="198"/>
      <c r="I32" s="190"/>
      <c r="J32" s="190"/>
    </row>
    <row r="33" spans="1:18" ht="13.5" thickBot="1">
      <c r="A33" s="185">
        <v>21</v>
      </c>
      <c r="B33" s="188"/>
      <c r="C33" s="188"/>
      <c r="D33" s="188" t="s">
        <v>336</v>
      </c>
      <c r="E33" s="188"/>
      <c r="F33" s="463">
        <f>'WP Att MM 2014 Actuals Rev 1'!P94</f>
        <v>51583671.234765284</v>
      </c>
      <c r="G33" s="190"/>
      <c r="H33" s="198" t="s">
        <v>729</v>
      </c>
      <c r="I33" s="190"/>
      <c r="J33" s="190"/>
    </row>
    <row r="34" spans="1:18" ht="13.5" customHeight="1" thickTop="1">
      <c r="A34" s="185"/>
      <c r="B34" s="188"/>
      <c r="C34" s="188"/>
      <c r="D34" s="188"/>
      <c r="E34" s="188"/>
      <c r="F34" s="188"/>
      <c r="G34" s="190"/>
      <c r="H34" s="198"/>
      <c r="I34" s="190"/>
      <c r="J34" s="190"/>
    </row>
    <row r="35" spans="1:18">
      <c r="A35" s="185"/>
      <c r="B35" s="188"/>
      <c r="C35" s="188"/>
      <c r="D35" s="188"/>
      <c r="E35" s="188"/>
      <c r="F35" s="188"/>
      <c r="G35" s="190"/>
      <c r="H35" s="198"/>
      <c r="I35" s="190"/>
      <c r="J35" s="190"/>
    </row>
    <row r="36" spans="1:18">
      <c r="A36" s="185"/>
      <c r="B36" s="188"/>
      <c r="C36" s="188"/>
      <c r="D36" s="188"/>
      <c r="E36" s="188"/>
      <c r="F36" s="188"/>
      <c r="G36" s="190"/>
      <c r="H36" s="198"/>
      <c r="I36" s="190"/>
      <c r="J36" s="190"/>
    </row>
    <row r="37" spans="1:18">
      <c r="A37" s="185"/>
      <c r="B37" s="188"/>
      <c r="C37" s="188"/>
      <c r="D37" s="188"/>
      <c r="E37" s="188"/>
      <c r="F37" s="188"/>
      <c r="G37" s="190"/>
      <c r="H37" s="198"/>
      <c r="I37" s="190"/>
      <c r="J37" s="190"/>
    </row>
    <row r="38" spans="1:18">
      <c r="A38" s="185">
        <v>22</v>
      </c>
      <c r="B38" s="452" t="s">
        <v>459</v>
      </c>
      <c r="C38" s="188"/>
      <c r="D38" s="188" t="s">
        <v>534</v>
      </c>
      <c r="E38" s="188"/>
      <c r="F38" s="453">
        <f>F27</f>
        <v>212309198.17861885</v>
      </c>
      <c r="G38" s="190"/>
      <c r="H38" s="198"/>
      <c r="I38" s="190"/>
      <c r="J38" s="190"/>
    </row>
    <row r="39" spans="1:18" ht="6.75" customHeight="1">
      <c r="A39" s="185"/>
      <c r="B39" s="188"/>
      <c r="C39" s="188"/>
      <c r="D39" s="188"/>
      <c r="E39" s="188"/>
      <c r="F39" s="188"/>
      <c r="G39" s="190"/>
      <c r="H39" s="198"/>
      <c r="I39" s="190"/>
      <c r="J39" s="190"/>
    </row>
    <row r="40" spans="1:18">
      <c r="A40" s="185">
        <v>23</v>
      </c>
      <c r="B40" s="188"/>
      <c r="C40" s="188"/>
      <c r="D40" s="1" t="s">
        <v>545</v>
      </c>
      <c r="F40" s="232">
        <f>-F25</f>
        <v>-60979512.453853585</v>
      </c>
      <c r="G40" s="190"/>
      <c r="H40" s="198"/>
      <c r="I40" s="190"/>
      <c r="J40" s="190"/>
    </row>
    <row r="41" spans="1:18">
      <c r="A41" s="185">
        <v>24</v>
      </c>
      <c r="B41" s="188"/>
      <c r="C41" s="188"/>
      <c r="D41" s="1" t="s">
        <v>546</v>
      </c>
      <c r="F41" s="232">
        <f>-F26</f>
        <v>-52287847.234765284</v>
      </c>
      <c r="G41" s="190"/>
      <c r="H41" s="198"/>
      <c r="I41" s="190"/>
      <c r="J41" s="190"/>
    </row>
    <row r="42" spans="1:18">
      <c r="D42" s="1"/>
      <c r="F42" s="232"/>
      <c r="G42" s="190"/>
      <c r="H42" s="198"/>
      <c r="I42" s="190"/>
      <c r="J42" s="190"/>
    </row>
    <row r="43" spans="1:18">
      <c r="A43" s="116">
        <v>25</v>
      </c>
      <c r="D43" s="486" t="s">
        <v>796</v>
      </c>
      <c r="F43" s="232">
        <f>'WP FERC 456 Rev 1'!D49</f>
        <v>59965018.760000005</v>
      </c>
      <c r="G43" s="188"/>
      <c r="H43" s="202"/>
      <c r="I43" s="188"/>
      <c r="J43" s="188"/>
    </row>
    <row r="44" spans="1:18">
      <c r="A44" s="185">
        <v>26</v>
      </c>
      <c r="B44" s="188"/>
      <c r="C44" s="188"/>
      <c r="D44" s="486" t="s">
        <v>797</v>
      </c>
      <c r="F44" s="232">
        <f>'WP FERC 456 Rev 1'!D50</f>
        <v>47573012.169999994</v>
      </c>
      <c r="G44" s="188"/>
      <c r="H44" s="202"/>
      <c r="I44" s="188"/>
      <c r="J44" s="188"/>
    </row>
    <row r="45" spans="1:18" ht="16.5" customHeight="1">
      <c r="A45" s="185">
        <v>27</v>
      </c>
      <c r="B45" s="188"/>
      <c r="C45" s="188"/>
      <c r="D45" s="1" t="s">
        <v>535</v>
      </c>
      <c r="F45" s="236">
        <f>F38+F40+F41+F43+F44</f>
        <v>206579869.41999999</v>
      </c>
      <c r="G45" s="188"/>
      <c r="H45" s="202"/>
      <c r="I45" s="188"/>
      <c r="J45" s="188"/>
    </row>
    <row r="46" spans="1:18">
      <c r="B46" s="6"/>
      <c r="C46" s="5"/>
      <c r="H46" s="202"/>
    </row>
    <row r="47" spans="1:18">
      <c r="R47" s="864" t="s">
        <v>124</v>
      </c>
    </row>
    <row r="50" spans="1:4" ht="15">
      <c r="A50" s="185"/>
      <c r="B50" s="199" t="s">
        <v>225</v>
      </c>
      <c r="C50" s="200" t="s">
        <v>309</v>
      </c>
      <c r="D50" s="188"/>
    </row>
    <row r="51" spans="1:4" ht="15">
      <c r="A51" s="185"/>
      <c r="B51" s="201"/>
      <c r="C51" s="200" t="s">
        <v>310</v>
      </c>
      <c r="D51" s="188"/>
    </row>
  </sheetData>
  <phoneticPr fontId="16" type="noConversion"/>
  <printOptions horizontalCentered="1"/>
  <pageMargins left="0.75" right="0.25" top="0.75" bottom="0.4" header="0" footer="0.25"/>
  <pageSetup scale="89"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pageSetUpPr fitToPage="1"/>
  </sheetPr>
  <dimension ref="A1:I55"/>
  <sheetViews>
    <sheetView showGridLines="0" workbookViewId="0">
      <selection activeCell="A2" sqref="A2"/>
    </sheetView>
  </sheetViews>
  <sheetFormatPr defaultRowHeight="12.75"/>
  <cols>
    <col min="1" max="1" width="7" style="486" customWidth="1"/>
    <col min="2" max="2" width="11.5546875" style="521" customWidth="1"/>
    <col min="3" max="3" width="21.44140625" style="486" bestFit="1" customWidth="1"/>
    <col min="4" max="4" width="11.5546875" style="486" bestFit="1" customWidth="1"/>
    <col min="5" max="5" width="13.77734375" style="486" customWidth="1"/>
    <col min="6" max="6" width="3" style="486" customWidth="1"/>
    <col min="7" max="8" width="13.77734375" style="486" customWidth="1"/>
    <col min="9" max="13" width="8.88671875" style="486"/>
    <col min="14" max="14" width="11.5546875" style="486" bestFit="1" customWidth="1"/>
    <col min="15" max="16384" width="8.88671875" style="486"/>
  </cols>
  <sheetData>
    <row r="1" spans="1:8">
      <c r="A1" s="520" t="s">
        <v>832</v>
      </c>
      <c r="G1" s="510"/>
    </row>
    <row r="2" spans="1:8">
      <c r="A2" s="503" t="s">
        <v>269</v>
      </c>
      <c r="C2" s="522"/>
      <c r="G2" s="510"/>
    </row>
    <row r="3" spans="1:8" ht="26.25" thickBot="1">
      <c r="A3" s="523" t="s">
        <v>833</v>
      </c>
      <c r="B3" s="523"/>
      <c r="C3" s="523" t="s">
        <v>151</v>
      </c>
      <c r="D3" s="524">
        <v>42004</v>
      </c>
      <c r="E3" s="523" t="s">
        <v>834</v>
      </c>
      <c r="F3" s="523"/>
      <c r="G3" s="523" t="s">
        <v>835</v>
      </c>
      <c r="H3" s="523" t="s">
        <v>836</v>
      </c>
    </row>
    <row r="4" spans="1:8">
      <c r="A4" s="525">
        <v>801699</v>
      </c>
      <c r="B4" s="526">
        <v>517210.10100000002</v>
      </c>
      <c r="C4" s="525" t="s">
        <v>837</v>
      </c>
      <c r="D4" s="527">
        <f>7804867.52+111368.83+808941.7</f>
        <v>8725178.0499999989</v>
      </c>
      <c r="E4" s="528"/>
      <c r="F4" s="528"/>
      <c r="G4" s="528">
        <f>D4</f>
        <v>8725178.0499999989</v>
      </c>
      <c r="H4" s="528"/>
    </row>
    <row r="5" spans="1:8">
      <c r="A5" s="486">
        <v>801699</v>
      </c>
      <c r="B5" s="529">
        <v>517220.1</v>
      </c>
      <c r="C5" s="486" t="s">
        <v>838</v>
      </c>
      <c r="D5" s="530">
        <v>0</v>
      </c>
      <c r="E5" s="531"/>
      <c r="F5" s="531"/>
      <c r="G5" s="531">
        <f>D5</f>
        <v>0</v>
      </c>
      <c r="H5" s="531"/>
    </row>
    <row r="6" spans="1:8">
      <c r="A6" s="486">
        <v>801699</v>
      </c>
      <c r="B6" s="529">
        <v>517220.10100000002</v>
      </c>
      <c r="C6" s="486" t="s">
        <v>839</v>
      </c>
      <c r="D6" s="532">
        <v>764679.01</v>
      </c>
      <c r="E6" s="531"/>
      <c r="F6" s="531"/>
      <c r="G6" s="531">
        <f>D6</f>
        <v>764679.01</v>
      </c>
      <c r="H6" s="531"/>
    </row>
    <row r="7" spans="1:8">
      <c r="A7" s="486">
        <v>801699</v>
      </c>
      <c r="B7" s="529">
        <v>517230.1</v>
      </c>
      <c r="C7" s="486" t="s">
        <v>840</v>
      </c>
      <c r="D7" s="530">
        <v>0</v>
      </c>
      <c r="E7" s="531">
        <f>D7</f>
        <v>0</v>
      </c>
      <c r="F7" s="531"/>
      <c r="G7" s="531"/>
      <c r="H7" s="531"/>
    </row>
    <row r="8" spans="1:8">
      <c r="A8" s="486">
        <v>801699</v>
      </c>
      <c r="B8" s="529">
        <v>517230.10100000002</v>
      </c>
      <c r="C8" s="486" t="s">
        <v>841</v>
      </c>
      <c r="D8" s="530">
        <f>16980144.23+237629.8+2007537.6</f>
        <v>19225311.630000003</v>
      </c>
      <c r="E8" s="531">
        <f>D8</f>
        <v>19225311.630000003</v>
      </c>
      <c r="F8" s="531"/>
      <c r="G8" s="531"/>
      <c r="H8" s="531"/>
    </row>
    <row r="9" spans="1:8">
      <c r="A9" s="486">
        <v>801699</v>
      </c>
      <c r="B9" s="529">
        <v>517231</v>
      </c>
      <c r="C9" s="486" t="s">
        <v>842</v>
      </c>
      <c r="D9" s="530">
        <v>0</v>
      </c>
      <c r="E9" s="531">
        <f>D9</f>
        <v>0</v>
      </c>
      <c r="F9" s="531"/>
      <c r="G9" s="531"/>
      <c r="H9" s="531"/>
    </row>
    <row r="10" spans="1:8">
      <c r="A10" s="486">
        <v>801699</v>
      </c>
      <c r="B10" s="529">
        <v>517232</v>
      </c>
      <c r="C10" s="486" t="s">
        <v>843</v>
      </c>
      <c r="D10" s="530">
        <v>9636215.2400000002</v>
      </c>
      <c r="E10" s="533"/>
      <c r="F10" s="533"/>
      <c r="G10" s="531">
        <f>D10</f>
        <v>9636215.2400000002</v>
      </c>
      <c r="H10" s="531"/>
    </row>
    <row r="11" spans="1:8">
      <c r="A11" s="486">
        <v>801699</v>
      </c>
      <c r="B11" s="529">
        <v>517240.1</v>
      </c>
      <c r="C11" s="486" t="s">
        <v>844</v>
      </c>
      <c r="D11" s="530">
        <f>28942309.59+456073.41+3861250.09</f>
        <v>33259633.09</v>
      </c>
      <c r="E11" s="531">
        <f>D11</f>
        <v>33259633.09</v>
      </c>
      <c r="F11" s="531"/>
      <c r="G11" s="531"/>
      <c r="H11" s="531"/>
    </row>
    <row r="12" spans="1:8">
      <c r="A12" s="486">
        <v>801699</v>
      </c>
      <c r="B12" s="529">
        <v>517240.2</v>
      </c>
      <c r="C12" s="486" t="s">
        <v>845</v>
      </c>
      <c r="D12" s="530">
        <v>5664270.0199999996</v>
      </c>
      <c r="E12" s="531">
        <f>D12</f>
        <v>5664270.0199999996</v>
      </c>
      <c r="F12" s="531"/>
      <c r="G12" s="531"/>
      <c r="H12" s="531"/>
    </row>
    <row r="13" spans="1:8">
      <c r="A13" s="486">
        <v>881100</v>
      </c>
      <c r="B13" s="529">
        <v>517250.11300000001</v>
      </c>
      <c r="C13" s="486" t="s">
        <v>846</v>
      </c>
      <c r="D13" s="534">
        <v>187918.02</v>
      </c>
      <c r="E13" s="533"/>
      <c r="F13" s="533"/>
      <c r="G13" s="533">
        <f t="shared" ref="G13:G19" si="0">D13</f>
        <v>187918.02</v>
      </c>
      <c r="H13" s="531"/>
    </row>
    <row r="14" spans="1:8">
      <c r="A14" s="486">
        <v>801699</v>
      </c>
      <c r="B14" s="529">
        <v>517250.11599999998</v>
      </c>
      <c r="C14" s="486" t="s">
        <v>847</v>
      </c>
      <c r="D14" s="534">
        <v>37440</v>
      </c>
      <c r="E14" s="533"/>
      <c r="F14" s="533"/>
      <c r="G14" s="533">
        <f t="shared" si="0"/>
        <v>37440</v>
      </c>
      <c r="H14" s="531"/>
    </row>
    <row r="15" spans="1:8">
      <c r="A15" s="486">
        <v>801699</v>
      </c>
      <c r="B15" s="529">
        <v>517250.11700000003</v>
      </c>
      <c r="C15" s="486" t="s">
        <v>848</v>
      </c>
      <c r="D15" s="534">
        <v>8040000</v>
      </c>
      <c r="E15" s="533"/>
      <c r="F15" s="533"/>
      <c r="G15" s="533">
        <f t="shared" si="0"/>
        <v>8040000</v>
      </c>
      <c r="H15" s="531"/>
    </row>
    <row r="16" spans="1:8">
      <c r="A16" s="486">
        <v>801699</v>
      </c>
      <c r="B16" s="529">
        <v>517250.11900000001</v>
      </c>
      <c r="C16" s="486" t="s">
        <v>849</v>
      </c>
      <c r="D16" s="534">
        <v>58998.45</v>
      </c>
      <c r="E16" s="533"/>
      <c r="F16" s="533"/>
      <c r="G16" s="533">
        <f t="shared" si="0"/>
        <v>58998.45</v>
      </c>
      <c r="H16" s="531"/>
    </row>
    <row r="17" spans="1:8">
      <c r="A17" s="486">
        <v>801699</v>
      </c>
      <c r="B17" s="529">
        <v>517250.12099999998</v>
      </c>
      <c r="C17" s="486" t="s">
        <v>850</v>
      </c>
      <c r="D17" s="534">
        <v>15222.6</v>
      </c>
      <c r="E17" s="533"/>
      <c r="F17" s="533"/>
      <c r="G17" s="533">
        <f t="shared" si="0"/>
        <v>15222.6</v>
      </c>
      <c r="H17" s="531"/>
    </row>
    <row r="18" spans="1:8">
      <c r="A18" s="486">
        <v>801699</v>
      </c>
      <c r="B18" s="529">
        <v>517250.12199999997</v>
      </c>
      <c r="C18" s="486" t="s">
        <v>851</v>
      </c>
      <c r="D18" s="534">
        <v>46268.4</v>
      </c>
      <c r="E18" s="533"/>
      <c r="F18" s="533"/>
      <c r="G18" s="533">
        <f t="shared" si="0"/>
        <v>46268.4</v>
      </c>
      <c r="H18" s="531"/>
    </row>
    <row r="19" spans="1:8">
      <c r="A19" s="486">
        <v>881100</v>
      </c>
      <c r="B19" s="529">
        <v>517250.15</v>
      </c>
      <c r="C19" s="486" t="s">
        <v>852</v>
      </c>
      <c r="D19" s="534">
        <v>0</v>
      </c>
      <c r="E19" s="531"/>
      <c r="F19" s="531"/>
      <c r="G19" s="531">
        <f t="shared" si="0"/>
        <v>0</v>
      </c>
      <c r="H19" s="531"/>
    </row>
    <row r="20" spans="1:8">
      <c r="A20" s="486">
        <v>801699</v>
      </c>
      <c r="B20" s="529">
        <v>517270.1</v>
      </c>
      <c r="C20" s="486" t="s">
        <v>853</v>
      </c>
      <c r="D20" s="535">
        <v>0</v>
      </c>
      <c r="E20" s="531">
        <f t="shared" ref="E20:E36" si="1">D20</f>
        <v>0</v>
      </c>
      <c r="F20" s="531" t="s">
        <v>242</v>
      </c>
      <c r="G20" s="531"/>
      <c r="H20" s="531"/>
    </row>
    <row r="21" spans="1:8">
      <c r="A21" s="486">
        <v>801699</v>
      </c>
      <c r="B21" s="529">
        <v>517270.10100000002</v>
      </c>
      <c r="C21" s="486" t="s">
        <v>854</v>
      </c>
      <c r="D21" s="535">
        <v>405764.21</v>
      </c>
      <c r="E21" s="531">
        <f t="shared" si="1"/>
        <v>405764.21</v>
      </c>
      <c r="F21" s="531" t="s">
        <v>242</v>
      </c>
      <c r="G21" s="531"/>
      <c r="H21" s="531"/>
    </row>
    <row r="22" spans="1:8">
      <c r="A22" s="486">
        <v>801699</v>
      </c>
      <c r="B22" s="529">
        <v>517270.10200000001</v>
      </c>
      <c r="C22" s="486" t="s">
        <v>855</v>
      </c>
      <c r="D22" s="535">
        <v>459817.44</v>
      </c>
      <c r="E22" s="531">
        <f t="shared" si="1"/>
        <v>459817.44</v>
      </c>
      <c r="F22" s="531" t="s">
        <v>242</v>
      </c>
      <c r="G22" s="531"/>
      <c r="H22" s="531"/>
    </row>
    <row r="23" spans="1:8">
      <c r="A23" s="486">
        <v>801699</v>
      </c>
      <c r="B23" s="529">
        <v>517270.103</v>
      </c>
      <c r="C23" s="486" t="s">
        <v>856</v>
      </c>
      <c r="D23" s="535">
        <v>65429.06</v>
      </c>
      <c r="E23" s="531">
        <f t="shared" si="1"/>
        <v>65429.06</v>
      </c>
      <c r="F23" s="531" t="s">
        <v>242</v>
      </c>
      <c r="G23" s="531"/>
      <c r="H23" s="531"/>
    </row>
    <row r="24" spans="1:8">
      <c r="A24" s="486">
        <v>801699</v>
      </c>
      <c r="B24" s="529">
        <v>517271</v>
      </c>
      <c r="C24" s="486" t="s">
        <v>857</v>
      </c>
      <c r="D24" s="535">
        <v>0</v>
      </c>
      <c r="E24" s="531">
        <f t="shared" si="1"/>
        <v>0</v>
      </c>
      <c r="F24" s="531" t="s">
        <v>242</v>
      </c>
      <c r="G24" s="531"/>
      <c r="H24" s="531"/>
    </row>
    <row r="25" spans="1:8">
      <c r="A25" s="486">
        <v>801699</v>
      </c>
      <c r="B25" s="529">
        <v>517272.1</v>
      </c>
      <c r="C25" s="486" t="s">
        <v>858</v>
      </c>
      <c r="D25" s="535">
        <v>222807.71</v>
      </c>
      <c r="E25" s="531">
        <f t="shared" si="1"/>
        <v>222807.71</v>
      </c>
      <c r="F25" s="531" t="s">
        <v>242</v>
      </c>
      <c r="G25" s="531"/>
      <c r="H25" s="531"/>
    </row>
    <row r="26" spans="1:8">
      <c r="A26" s="486">
        <v>200107</v>
      </c>
      <c r="B26" s="529">
        <v>517280.1</v>
      </c>
      <c r="C26" s="486" t="s">
        <v>859</v>
      </c>
      <c r="D26" s="536">
        <v>0</v>
      </c>
      <c r="E26" s="531">
        <f t="shared" si="1"/>
        <v>0</v>
      </c>
      <c r="F26" s="531" t="s">
        <v>242</v>
      </c>
      <c r="G26" s="531"/>
      <c r="H26" s="531"/>
    </row>
    <row r="27" spans="1:8">
      <c r="A27" s="486">
        <v>200107</v>
      </c>
      <c r="B27" s="529">
        <v>517280.10100000002</v>
      </c>
      <c r="C27" s="486" t="s">
        <v>860</v>
      </c>
      <c r="D27" s="536">
        <v>8391229.6099999994</v>
      </c>
      <c r="E27" s="531">
        <f t="shared" si="1"/>
        <v>8391229.6099999994</v>
      </c>
      <c r="F27" s="531" t="s">
        <v>242</v>
      </c>
      <c r="G27" s="531"/>
      <c r="H27" s="531"/>
    </row>
    <row r="28" spans="1:8">
      <c r="A28" s="486">
        <v>200107</v>
      </c>
      <c r="B28" s="529">
        <v>517280.12400000001</v>
      </c>
      <c r="C28" s="486" t="s">
        <v>861</v>
      </c>
      <c r="D28" s="536">
        <v>126983.03999999999</v>
      </c>
      <c r="E28" s="531">
        <f t="shared" si="1"/>
        <v>126983.03999999999</v>
      </c>
      <c r="F28" s="531" t="s">
        <v>242</v>
      </c>
      <c r="G28" s="531"/>
      <c r="H28" s="531"/>
    </row>
    <row r="29" spans="1:8">
      <c r="A29" s="486">
        <v>200107</v>
      </c>
      <c r="B29" s="529">
        <v>517281.10100000002</v>
      </c>
      <c r="C29" s="486" t="s">
        <v>862</v>
      </c>
      <c r="D29" s="536">
        <v>0</v>
      </c>
      <c r="E29" s="531">
        <f t="shared" si="1"/>
        <v>0</v>
      </c>
      <c r="F29" s="531" t="s">
        <v>242</v>
      </c>
      <c r="G29" s="531"/>
      <c r="H29" s="531"/>
    </row>
    <row r="30" spans="1:8">
      <c r="A30" s="486">
        <v>200107</v>
      </c>
      <c r="B30" s="529">
        <v>517282</v>
      </c>
      <c r="C30" s="486" t="s">
        <v>863</v>
      </c>
      <c r="D30" s="536">
        <v>138869.66</v>
      </c>
      <c r="E30" s="531">
        <f t="shared" si="1"/>
        <v>138869.66</v>
      </c>
      <c r="F30" s="531" t="s">
        <v>242</v>
      </c>
      <c r="G30" s="531"/>
      <c r="H30" s="531"/>
    </row>
    <row r="31" spans="1:8">
      <c r="A31" s="486">
        <v>200107</v>
      </c>
      <c r="B31" s="529">
        <v>517290.1</v>
      </c>
      <c r="C31" s="486" t="s">
        <v>864</v>
      </c>
      <c r="D31" s="537">
        <v>0</v>
      </c>
      <c r="E31" s="531">
        <f t="shared" si="1"/>
        <v>0</v>
      </c>
      <c r="F31" s="531" t="s">
        <v>242</v>
      </c>
      <c r="G31" s="531"/>
      <c r="H31" s="531"/>
    </row>
    <row r="32" spans="1:8">
      <c r="A32" s="486">
        <v>200107</v>
      </c>
      <c r="B32" s="529">
        <v>517310.1</v>
      </c>
      <c r="C32" s="486" t="s">
        <v>865</v>
      </c>
      <c r="D32" s="538">
        <v>0</v>
      </c>
      <c r="E32" s="531">
        <f t="shared" si="1"/>
        <v>0</v>
      </c>
      <c r="F32" s="531" t="s">
        <v>242</v>
      </c>
      <c r="G32" s="531"/>
      <c r="H32" s="531"/>
    </row>
    <row r="33" spans="1:9">
      <c r="A33" s="486">
        <v>200107</v>
      </c>
      <c r="B33" s="529">
        <v>517320.1</v>
      </c>
      <c r="C33" s="486" t="s">
        <v>866</v>
      </c>
      <c r="D33" s="538">
        <v>0</v>
      </c>
      <c r="E33" s="531">
        <f t="shared" si="1"/>
        <v>0</v>
      </c>
      <c r="F33" s="531" t="s">
        <v>242</v>
      </c>
      <c r="G33" s="531"/>
      <c r="H33" s="531"/>
    </row>
    <row r="34" spans="1:9">
      <c r="A34" s="486">
        <v>801699</v>
      </c>
      <c r="B34" s="529">
        <v>517322</v>
      </c>
      <c r="C34" s="486" t="s">
        <v>867</v>
      </c>
      <c r="D34" s="539">
        <v>1058741.71</v>
      </c>
      <c r="E34" s="531">
        <f t="shared" si="1"/>
        <v>1058741.71</v>
      </c>
      <c r="F34" s="531" t="s">
        <v>242</v>
      </c>
      <c r="G34" s="531"/>
      <c r="H34" s="531"/>
    </row>
    <row r="35" spans="1:9">
      <c r="A35" s="486">
        <v>801699</v>
      </c>
      <c r="B35" s="529">
        <v>517322.1</v>
      </c>
      <c r="C35" s="486" t="s">
        <v>868</v>
      </c>
      <c r="D35" s="539">
        <v>1961.91</v>
      </c>
      <c r="E35" s="531">
        <f t="shared" si="1"/>
        <v>1961.91</v>
      </c>
      <c r="F35" s="531" t="s">
        <v>242</v>
      </c>
      <c r="G35" s="531"/>
      <c r="H35" s="531"/>
    </row>
    <row r="36" spans="1:9">
      <c r="A36" s="486">
        <v>801699</v>
      </c>
      <c r="B36" s="529">
        <v>517323.10100000002</v>
      </c>
      <c r="C36" s="486" t="s">
        <v>869</v>
      </c>
      <c r="D36" s="533">
        <v>0</v>
      </c>
      <c r="E36" s="531">
        <f t="shared" si="1"/>
        <v>0</v>
      </c>
      <c r="F36" s="531" t="s">
        <v>242</v>
      </c>
      <c r="G36" s="531"/>
      <c r="H36" s="531"/>
    </row>
    <row r="37" spans="1:9">
      <c r="A37" s="486">
        <v>801699</v>
      </c>
      <c r="B37" s="529">
        <v>517324.10100000002</v>
      </c>
      <c r="C37" s="486" t="s">
        <v>870</v>
      </c>
      <c r="D37" s="540">
        <f>H37</f>
        <v>60979512.453853585</v>
      </c>
      <c r="E37" s="531"/>
      <c r="F37" s="531"/>
      <c r="G37" s="531"/>
      <c r="H37" s="548">
        <f>'WP Att GG 2014 Actuals Rev 1'!N93</f>
        <v>60979512.453853585</v>
      </c>
      <c r="I37" s="486" t="s">
        <v>907</v>
      </c>
    </row>
    <row r="38" spans="1:9">
      <c r="A38" s="486">
        <v>801699</v>
      </c>
      <c r="B38" s="529">
        <v>517245.10100000002</v>
      </c>
      <c r="C38" s="486" t="s">
        <v>871</v>
      </c>
      <c r="D38" s="540">
        <f>H38</f>
        <v>52287847.234765284</v>
      </c>
      <c r="E38" s="531"/>
      <c r="F38" s="531"/>
      <c r="G38" s="531"/>
      <c r="H38" s="548">
        <f>'WP Att MM 2014 Actuals Rev 1'!R92</f>
        <v>52287847.234765284</v>
      </c>
      <c r="I38" s="486" t="s">
        <v>907</v>
      </c>
    </row>
    <row r="39" spans="1:9">
      <c r="A39" s="486">
        <v>801699</v>
      </c>
      <c r="B39" s="529">
        <v>517246.1</v>
      </c>
      <c r="C39" s="486" t="s">
        <v>872</v>
      </c>
      <c r="D39" s="540">
        <v>1264109.02</v>
      </c>
      <c r="E39" s="531"/>
      <c r="F39" s="531"/>
      <c r="G39" s="531">
        <f>D39</f>
        <v>1264109.02</v>
      </c>
      <c r="H39" s="531"/>
    </row>
    <row r="40" spans="1:9">
      <c r="A40" s="486">
        <v>801699</v>
      </c>
      <c r="B40" s="529">
        <v>517246.2</v>
      </c>
      <c r="C40" s="486" t="s">
        <v>873</v>
      </c>
      <c r="D40" s="540">
        <v>992429.62</v>
      </c>
      <c r="E40" s="531"/>
      <c r="F40" s="531"/>
      <c r="G40" s="531">
        <f>D40</f>
        <v>992429.62</v>
      </c>
      <c r="H40" s="531"/>
    </row>
    <row r="41" spans="1:9">
      <c r="A41" s="486">
        <v>801699</v>
      </c>
      <c r="B41" s="529">
        <v>517325.10200000001</v>
      </c>
      <c r="C41" s="486" t="s">
        <v>874</v>
      </c>
      <c r="D41" s="540">
        <v>0</v>
      </c>
      <c r="E41" s="531"/>
      <c r="F41" s="531"/>
      <c r="G41" s="531">
        <f>D41</f>
        <v>0</v>
      </c>
      <c r="H41" s="531"/>
    </row>
    <row r="42" spans="1:9">
      <c r="A42" s="486">
        <v>801699</v>
      </c>
      <c r="B42" s="529">
        <v>517328</v>
      </c>
      <c r="C42" s="486" t="s">
        <v>875</v>
      </c>
      <c r="D42" s="541">
        <v>0</v>
      </c>
      <c r="E42" s="531">
        <f>D42</f>
        <v>0</v>
      </c>
      <c r="F42" s="531" t="s">
        <v>242</v>
      </c>
      <c r="G42" s="531"/>
      <c r="H42" s="531"/>
    </row>
    <row r="43" spans="1:9" ht="13.5" thickBot="1">
      <c r="A43" s="486">
        <v>801699</v>
      </c>
      <c r="B43" s="529">
        <v>517329.1</v>
      </c>
      <c r="C43" s="486" t="s">
        <v>876</v>
      </c>
      <c r="D43" s="541">
        <v>252560.99</v>
      </c>
      <c r="E43" s="531">
        <f>D43</f>
        <v>252560.99</v>
      </c>
      <c r="F43" s="531" t="s">
        <v>242</v>
      </c>
      <c r="G43" s="531"/>
      <c r="H43" s="531"/>
    </row>
    <row r="44" spans="1:9">
      <c r="A44" s="525"/>
      <c r="B44" s="542"/>
      <c r="C44" s="525" t="s">
        <v>877</v>
      </c>
      <c r="D44" s="543">
        <f>SUM(D4:D43)</f>
        <v>212309198.17861888</v>
      </c>
      <c r="E44" s="543">
        <f>SUM(E4:E43)</f>
        <v>69273380.079999983</v>
      </c>
      <c r="F44" s="528"/>
      <c r="G44" s="543">
        <f>SUM(G4:G43)</f>
        <v>29768458.409999996</v>
      </c>
      <c r="H44" s="543">
        <f>SUM(H4:H43)</f>
        <v>113267359.68861887</v>
      </c>
    </row>
    <row r="45" spans="1:9">
      <c r="D45" s="531"/>
      <c r="E45" s="544"/>
      <c r="F45" s="544"/>
      <c r="G45" s="531"/>
      <c r="H45" s="531"/>
    </row>
    <row r="46" spans="1:9">
      <c r="C46" s="486" t="s">
        <v>878</v>
      </c>
      <c r="D46" s="531">
        <f>-D37</f>
        <v>-60979512.453853585</v>
      </c>
      <c r="E46" s="544"/>
      <c r="F46" s="544"/>
      <c r="G46" s="531"/>
      <c r="H46" s="531"/>
    </row>
    <row r="47" spans="1:9">
      <c r="C47" s="486" t="s">
        <v>879</v>
      </c>
      <c r="D47" s="531">
        <f>-D38</f>
        <v>-52287847.234765284</v>
      </c>
      <c r="E47" s="544"/>
      <c r="F47" s="544"/>
      <c r="G47" s="531"/>
      <c r="H47" s="531"/>
    </row>
    <row r="48" spans="1:9" ht="5.25" customHeight="1">
      <c r="D48" s="531"/>
      <c r="E48" s="544"/>
      <c r="F48" s="544"/>
      <c r="G48" s="531"/>
      <c r="H48" s="531"/>
    </row>
    <row r="49" spans="1:8">
      <c r="A49" s="486">
        <v>801699</v>
      </c>
      <c r="B49" s="529">
        <v>517324.10100000002</v>
      </c>
      <c r="C49" s="486" t="s">
        <v>880</v>
      </c>
      <c r="D49" s="545">
        <f>52754222.75+472624.31+6738171.7</f>
        <v>59965018.760000005</v>
      </c>
      <c r="E49" s="544"/>
      <c r="F49" s="544"/>
      <c r="G49" s="531"/>
      <c r="H49" s="531"/>
    </row>
    <row r="50" spans="1:8">
      <c r="A50" s="486">
        <v>801699</v>
      </c>
      <c r="B50" s="529">
        <v>517245.10100000002</v>
      </c>
      <c r="C50" s="486" t="s">
        <v>881</v>
      </c>
      <c r="D50" s="531">
        <v>47573012.169999994</v>
      </c>
      <c r="E50" s="544"/>
      <c r="F50" s="544"/>
      <c r="G50" s="531"/>
      <c r="H50" s="531"/>
    </row>
    <row r="51" spans="1:8" ht="17.25" customHeight="1">
      <c r="C51" s="486" t="s">
        <v>882</v>
      </c>
      <c r="D51" s="546">
        <v>206579869.41999999</v>
      </c>
      <c r="E51" s="531"/>
      <c r="F51" s="531"/>
      <c r="G51" s="531"/>
      <c r="H51" s="531"/>
    </row>
    <row r="52" spans="1:8">
      <c r="D52" s="547">
        <f>D44+D46+D47+D49+D50-D51</f>
        <v>0</v>
      </c>
    </row>
    <row r="55" spans="1:8">
      <c r="A55" s="486" t="s">
        <v>883</v>
      </c>
    </row>
  </sheetData>
  <pageMargins left="0.7" right="0.7" top="0.75" bottom="0.75" header="0.3" footer="0.3"/>
  <pageSetup scale="66"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A1:BM306"/>
  <sheetViews>
    <sheetView showGridLines="0" topLeftCell="A67" workbookViewId="0">
      <selection activeCell="E73" sqref="E73:E88"/>
    </sheetView>
  </sheetViews>
  <sheetFormatPr defaultRowHeight="15"/>
  <cols>
    <col min="1" max="1" width="6" style="661" customWidth="1"/>
    <col min="2" max="2" width="1.44140625" style="661" customWidth="1"/>
    <col min="3" max="3" width="39.109375" style="661" customWidth="1"/>
    <col min="4" max="4" width="12" style="661" customWidth="1"/>
    <col min="5" max="5" width="14.44140625" style="661" customWidth="1"/>
    <col min="6" max="6" width="11.88671875" style="661" customWidth="1"/>
    <col min="7" max="7" width="14.109375" style="661" customWidth="1"/>
    <col min="8" max="8" width="13.88671875" style="661" customWidth="1"/>
    <col min="9" max="9" width="12.77734375" style="661" customWidth="1"/>
    <col min="10" max="10" width="13.77734375" style="661" customWidth="1"/>
    <col min="11" max="11" width="13.5546875" style="661" customWidth="1"/>
    <col min="12" max="12" width="16" style="661" customWidth="1"/>
    <col min="13" max="13" width="12.77734375" style="661" customWidth="1"/>
    <col min="14" max="14" width="13.88671875" style="661" customWidth="1"/>
    <col min="15" max="15" width="1.88671875" style="661" customWidth="1"/>
    <col min="16" max="16" width="13" style="661" customWidth="1"/>
    <col min="17" max="17" width="13.44140625" style="661" bestFit="1" customWidth="1"/>
    <col min="18" max="16384" width="8.88671875" style="661"/>
  </cols>
  <sheetData>
    <row r="1" spans="1:65">
      <c r="N1" s="662"/>
    </row>
    <row r="2" spans="1:65">
      <c r="N2" s="662"/>
    </row>
    <row r="4" spans="1:65">
      <c r="N4" s="785" t="s">
        <v>1085</v>
      </c>
    </row>
    <row r="5" spans="1:65">
      <c r="C5" s="663" t="s">
        <v>947</v>
      </c>
      <c r="D5" s="663"/>
      <c r="E5" s="663"/>
      <c r="F5" s="663"/>
      <c r="G5" s="664" t="s">
        <v>390</v>
      </c>
      <c r="H5" s="663"/>
      <c r="I5" s="663"/>
      <c r="J5" s="663"/>
      <c r="K5" s="663"/>
      <c r="M5" s="665"/>
      <c r="N5" s="666" t="s">
        <v>948</v>
      </c>
      <c r="O5" s="667"/>
      <c r="P5" s="668"/>
      <c r="Q5" s="668"/>
      <c r="R5" s="667"/>
      <c r="S5" s="669"/>
      <c r="T5" s="669"/>
      <c r="U5" s="669"/>
      <c r="V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c r="AW5" s="669"/>
      <c r="AX5" s="669"/>
      <c r="AY5" s="669"/>
      <c r="AZ5" s="669"/>
      <c r="BA5" s="669"/>
      <c r="BB5" s="669"/>
      <c r="BC5" s="669"/>
      <c r="BD5" s="669"/>
      <c r="BE5" s="669"/>
      <c r="BF5" s="669"/>
      <c r="BG5" s="669"/>
      <c r="BH5" s="669"/>
      <c r="BI5" s="669"/>
      <c r="BJ5" s="669"/>
      <c r="BK5" s="669"/>
      <c r="BL5" s="669"/>
      <c r="BM5" s="669"/>
    </row>
    <row r="6" spans="1:65">
      <c r="C6" s="663"/>
      <c r="D6" s="663"/>
      <c r="E6" s="670" t="s">
        <v>124</v>
      </c>
      <c r="F6" s="670"/>
      <c r="G6" s="670" t="s">
        <v>949</v>
      </c>
      <c r="H6" s="670"/>
      <c r="I6" s="670"/>
      <c r="J6" s="670"/>
      <c r="K6" s="663"/>
      <c r="M6" s="665"/>
      <c r="N6" s="663"/>
      <c r="O6" s="667"/>
      <c r="P6" s="671"/>
      <c r="Q6" s="668"/>
      <c r="R6" s="667"/>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69"/>
      <c r="AS6" s="669"/>
      <c r="AT6" s="669"/>
      <c r="AU6" s="669"/>
      <c r="AV6" s="669"/>
      <c r="AW6" s="669"/>
      <c r="AX6" s="669"/>
      <c r="AY6" s="669"/>
      <c r="AZ6" s="669"/>
      <c r="BA6" s="669"/>
      <c r="BB6" s="669"/>
      <c r="BC6" s="669"/>
      <c r="BD6" s="669"/>
      <c r="BE6" s="669"/>
      <c r="BF6" s="669"/>
      <c r="BG6" s="669"/>
      <c r="BH6" s="669"/>
      <c r="BI6" s="669"/>
      <c r="BJ6" s="669"/>
      <c r="BK6" s="669"/>
      <c r="BL6" s="669"/>
      <c r="BM6" s="669"/>
    </row>
    <row r="7" spans="1:65">
      <c r="C7" s="665"/>
      <c r="D7" s="665"/>
      <c r="E7" s="665"/>
      <c r="F7" s="665"/>
      <c r="G7" s="665"/>
      <c r="H7" s="665"/>
      <c r="I7" s="665"/>
      <c r="J7" s="665"/>
      <c r="K7" s="665"/>
      <c r="M7" s="665"/>
      <c r="N7" s="665" t="s">
        <v>950</v>
      </c>
      <c r="O7" s="667"/>
      <c r="P7" s="668"/>
      <c r="Q7" s="668"/>
      <c r="R7" s="667"/>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69"/>
      <c r="AY7" s="669"/>
      <c r="AZ7" s="669"/>
      <c r="BA7" s="669"/>
      <c r="BB7" s="669"/>
      <c r="BC7" s="669"/>
      <c r="BD7" s="669"/>
      <c r="BE7" s="669"/>
      <c r="BF7" s="669"/>
      <c r="BG7" s="669"/>
      <c r="BH7" s="669"/>
      <c r="BI7" s="669"/>
      <c r="BJ7" s="669"/>
      <c r="BK7" s="669"/>
      <c r="BL7" s="669"/>
      <c r="BM7" s="669"/>
    </row>
    <row r="8" spans="1:65">
      <c r="A8" s="672"/>
      <c r="C8" s="665"/>
      <c r="D8" s="665"/>
      <c r="E8" s="665"/>
      <c r="F8" s="673"/>
      <c r="G8" s="673" t="s">
        <v>240</v>
      </c>
      <c r="H8" s="673"/>
      <c r="I8" s="665"/>
      <c r="J8" s="665"/>
      <c r="K8" s="665"/>
      <c r="L8" s="665"/>
      <c r="M8" s="665"/>
      <c r="N8" s="665"/>
      <c r="O8" s="667"/>
      <c r="P8" s="668"/>
      <c r="Q8" s="668"/>
      <c r="R8" s="667"/>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69"/>
      <c r="BJ8" s="669"/>
      <c r="BK8" s="669"/>
      <c r="BL8" s="669"/>
      <c r="BM8" s="669"/>
    </row>
    <row r="9" spans="1:65">
      <c r="A9" s="672"/>
      <c r="C9" s="665"/>
      <c r="D9" s="665"/>
      <c r="E9" s="665"/>
      <c r="F9" s="665"/>
      <c r="G9" s="674"/>
      <c r="H9" s="665"/>
      <c r="I9" s="665"/>
      <c r="J9" s="665"/>
      <c r="K9" s="665"/>
      <c r="L9" s="665"/>
      <c r="M9" s="665"/>
      <c r="N9" s="665"/>
      <c r="O9" s="667"/>
      <c r="P9" s="668"/>
      <c r="Q9" s="668"/>
      <c r="R9" s="667"/>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69"/>
      <c r="AZ9" s="669"/>
      <c r="BA9" s="669"/>
      <c r="BB9" s="669"/>
      <c r="BC9" s="669"/>
      <c r="BD9" s="669"/>
      <c r="BE9" s="669"/>
      <c r="BF9" s="669"/>
      <c r="BG9" s="669"/>
      <c r="BH9" s="669"/>
      <c r="BI9" s="669"/>
      <c r="BJ9" s="669"/>
      <c r="BK9" s="669"/>
      <c r="BL9" s="669"/>
      <c r="BM9" s="669"/>
    </row>
    <row r="10" spans="1:65">
      <c r="A10" s="672"/>
      <c r="C10" s="665" t="s">
        <v>951</v>
      </c>
      <c r="D10" s="665"/>
      <c r="E10" s="665"/>
      <c r="F10" s="665"/>
      <c r="G10" s="674"/>
      <c r="H10" s="665"/>
      <c r="I10" s="665"/>
      <c r="J10" s="665"/>
      <c r="K10" s="665"/>
      <c r="L10" s="665"/>
      <c r="M10" s="665"/>
      <c r="N10" s="665"/>
      <c r="O10" s="667"/>
      <c r="P10" s="668"/>
      <c r="Q10" s="668"/>
      <c r="R10" s="667"/>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69"/>
      <c r="AZ10" s="669"/>
      <c r="BA10" s="669"/>
      <c r="BB10" s="669"/>
      <c r="BC10" s="669"/>
      <c r="BD10" s="669"/>
      <c r="BE10" s="669"/>
      <c r="BF10" s="669"/>
      <c r="BG10" s="669"/>
      <c r="BH10" s="669"/>
      <c r="BI10" s="669"/>
      <c r="BJ10" s="669"/>
      <c r="BK10" s="669"/>
      <c r="BL10" s="669"/>
      <c r="BM10" s="669"/>
    </row>
    <row r="11" spans="1:65">
      <c r="A11" s="672"/>
      <c r="C11" s="665"/>
      <c r="D11" s="665"/>
      <c r="E11" s="665"/>
      <c r="F11" s="665"/>
      <c r="G11" s="674"/>
      <c r="L11" s="665"/>
      <c r="M11" s="665"/>
      <c r="N11" s="665"/>
      <c r="O11" s="667"/>
      <c r="P11" s="667"/>
      <c r="Q11" s="667"/>
      <c r="R11" s="667"/>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row>
    <row r="12" spans="1:65">
      <c r="A12" s="672"/>
      <c r="C12" s="665"/>
      <c r="D12" s="665"/>
      <c r="E12" s="665"/>
      <c r="F12" s="665"/>
      <c r="G12" s="665"/>
      <c r="L12" s="670"/>
      <c r="M12" s="665"/>
      <c r="N12" s="665"/>
      <c r="O12" s="667"/>
      <c r="P12" s="667"/>
      <c r="Q12" s="667"/>
      <c r="R12" s="667"/>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69"/>
      <c r="AX12" s="669"/>
      <c r="AY12" s="669"/>
      <c r="AZ12" s="669"/>
      <c r="BA12" s="669"/>
      <c r="BB12" s="669"/>
      <c r="BC12" s="669"/>
      <c r="BD12" s="669"/>
      <c r="BE12" s="669"/>
      <c r="BF12" s="669"/>
      <c r="BG12" s="669"/>
      <c r="BH12" s="669"/>
      <c r="BI12" s="669"/>
      <c r="BJ12" s="669"/>
      <c r="BK12" s="669"/>
      <c r="BL12" s="669"/>
      <c r="BM12" s="669"/>
    </row>
    <row r="13" spans="1:65">
      <c r="C13" s="675" t="s">
        <v>459</v>
      </c>
      <c r="D13" s="675"/>
      <c r="E13" s="675" t="s">
        <v>460</v>
      </c>
      <c r="F13" s="675"/>
      <c r="G13" s="675" t="s">
        <v>461</v>
      </c>
      <c r="L13" s="676" t="s">
        <v>462</v>
      </c>
      <c r="M13" s="670"/>
      <c r="N13" s="676"/>
      <c r="O13" s="677"/>
      <c r="P13" s="676"/>
      <c r="Q13" s="677"/>
      <c r="R13" s="667"/>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c r="BM13" s="669"/>
    </row>
    <row r="14" spans="1:65" ht="15.75">
      <c r="C14" s="665"/>
      <c r="D14" s="665"/>
      <c r="E14" s="678" t="s">
        <v>953</v>
      </c>
      <c r="F14" s="678"/>
      <c r="G14" s="670"/>
      <c r="M14" s="670"/>
      <c r="O14" s="677"/>
      <c r="P14" s="679"/>
      <c r="Q14" s="679"/>
      <c r="R14" s="667"/>
      <c r="S14" s="669"/>
      <c r="T14" s="669"/>
      <c r="U14" s="669"/>
      <c r="V14" s="669"/>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69"/>
      <c r="AV14" s="669"/>
      <c r="AW14" s="669"/>
      <c r="AX14" s="669"/>
      <c r="AY14" s="669"/>
      <c r="AZ14" s="669"/>
      <c r="BA14" s="669"/>
      <c r="BB14" s="669"/>
      <c r="BC14" s="669"/>
      <c r="BD14" s="669"/>
      <c r="BE14" s="669"/>
      <c r="BF14" s="669"/>
      <c r="BG14" s="669"/>
      <c r="BH14" s="669"/>
      <c r="BI14" s="669"/>
      <c r="BJ14" s="669"/>
      <c r="BK14" s="669"/>
      <c r="BL14" s="669"/>
      <c r="BM14" s="669"/>
    </row>
    <row r="15" spans="1:65" ht="15.75">
      <c r="A15" s="672" t="s">
        <v>165</v>
      </c>
      <c r="C15" s="665"/>
      <c r="D15" s="665"/>
      <c r="E15" s="680" t="s">
        <v>467</v>
      </c>
      <c r="F15" s="680"/>
      <c r="G15" s="681" t="s">
        <v>143</v>
      </c>
      <c r="L15" s="681" t="s">
        <v>397</v>
      </c>
      <c r="M15" s="670"/>
      <c r="O15" s="667"/>
      <c r="P15" s="682"/>
      <c r="Q15" s="679"/>
      <c r="R15" s="667"/>
      <c r="S15" s="669"/>
      <c r="T15" s="669"/>
      <c r="U15" s="669"/>
      <c r="V15" s="669"/>
      <c r="W15" s="669"/>
      <c r="X15" s="669"/>
      <c r="Y15" s="669"/>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69"/>
      <c r="BH15" s="669"/>
      <c r="BI15" s="669"/>
      <c r="BJ15" s="669"/>
      <c r="BK15" s="669"/>
      <c r="BL15" s="669"/>
      <c r="BM15" s="669"/>
    </row>
    <row r="16" spans="1:65" ht="15.75">
      <c r="A16" s="672" t="s">
        <v>141</v>
      </c>
      <c r="C16" s="683"/>
      <c r="D16" s="683"/>
      <c r="E16" s="670"/>
      <c r="F16" s="670"/>
      <c r="G16" s="670"/>
      <c r="J16" s="786"/>
      <c r="L16" s="670"/>
      <c r="M16" s="670"/>
      <c r="N16" s="670"/>
      <c r="O16" s="667"/>
      <c r="P16" s="677"/>
      <c r="Q16" s="677"/>
      <c r="R16" s="667"/>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69"/>
      <c r="AY16" s="669"/>
      <c r="AZ16" s="669"/>
      <c r="BA16" s="669"/>
      <c r="BB16" s="669"/>
      <c r="BC16" s="669"/>
      <c r="BD16" s="669"/>
      <c r="BE16" s="669"/>
      <c r="BF16" s="669"/>
      <c r="BG16" s="669"/>
      <c r="BH16" s="669"/>
      <c r="BI16" s="669"/>
      <c r="BJ16" s="669"/>
      <c r="BK16" s="669"/>
      <c r="BL16" s="669"/>
      <c r="BM16" s="669"/>
    </row>
    <row r="17" spans="1:65" ht="15.75">
      <c r="A17" s="684"/>
      <c r="C17" s="665"/>
      <c r="D17" s="665"/>
      <c r="E17" s="670"/>
      <c r="F17" s="670"/>
      <c r="G17" s="670"/>
      <c r="L17" s="670"/>
      <c r="M17" s="670"/>
      <c r="N17" s="670"/>
      <c r="O17" s="667"/>
      <c r="P17" s="677"/>
      <c r="Q17" s="677"/>
      <c r="R17" s="667"/>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9"/>
      <c r="AX17" s="669"/>
      <c r="AY17" s="669"/>
      <c r="AZ17" s="669"/>
      <c r="BA17" s="669"/>
      <c r="BB17" s="669"/>
      <c r="BC17" s="669"/>
      <c r="BD17" s="669"/>
      <c r="BE17" s="669"/>
      <c r="BF17" s="669"/>
      <c r="BG17" s="669"/>
      <c r="BH17" s="669"/>
      <c r="BI17" s="669"/>
      <c r="BJ17" s="669"/>
      <c r="BK17" s="669"/>
      <c r="BL17" s="669"/>
      <c r="BM17" s="669"/>
    </row>
    <row r="18" spans="1:65">
      <c r="A18" s="685">
        <v>1</v>
      </c>
      <c r="C18" s="665" t="s">
        <v>954</v>
      </c>
      <c r="D18" s="665"/>
      <c r="E18" s="686" t="s">
        <v>955</v>
      </c>
      <c r="F18" s="686"/>
      <c r="G18" s="787">
        <f>'2014 Attachment O Rev 1'!$I$87+'2014 Attachment O Rev 1'!$I$109+'2014 Attachment O Rev 1'!$I$117</f>
        <v>3515643970.1506486</v>
      </c>
      <c r="M18" s="670"/>
      <c r="N18" s="670"/>
      <c r="O18" s="667"/>
      <c r="P18" s="677"/>
      <c r="Q18" s="677"/>
      <c r="R18" s="667"/>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row>
    <row r="19" spans="1:65">
      <c r="A19" s="685">
        <v>2</v>
      </c>
      <c r="C19" s="665" t="s">
        <v>958</v>
      </c>
      <c r="D19" s="665"/>
      <c r="E19" s="686" t="s">
        <v>1086</v>
      </c>
      <c r="F19" s="686"/>
      <c r="G19" s="787">
        <f>'2014 Attachment O Rev 1'!$I$103+'2014 Attachment O Rev 1'!$I$109+'2014 Attachment O Rev 1'!$I$117</f>
        <v>2630926601.6401858</v>
      </c>
      <c r="M19" s="670"/>
      <c r="N19" s="670"/>
      <c r="O19" s="667"/>
      <c r="P19" s="677"/>
      <c r="Q19" s="677"/>
      <c r="R19" s="667"/>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669"/>
      <c r="BL19" s="669"/>
      <c r="BM19" s="669"/>
    </row>
    <row r="20" spans="1:65">
      <c r="A20" s="685"/>
      <c r="E20" s="686"/>
      <c r="F20" s="686"/>
      <c r="M20" s="670"/>
      <c r="N20" s="670"/>
      <c r="O20" s="667"/>
      <c r="P20" s="677"/>
      <c r="Q20" s="677"/>
      <c r="R20" s="667"/>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69"/>
      <c r="BC20" s="669"/>
      <c r="BD20" s="669"/>
      <c r="BE20" s="669"/>
      <c r="BF20" s="669"/>
      <c r="BG20" s="669"/>
      <c r="BH20" s="669"/>
      <c r="BI20" s="669"/>
      <c r="BJ20" s="669"/>
      <c r="BK20" s="669"/>
      <c r="BL20" s="669"/>
      <c r="BM20" s="669"/>
    </row>
    <row r="21" spans="1:65">
      <c r="A21" s="685"/>
      <c r="C21" s="665" t="s">
        <v>1087</v>
      </c>
      <c r="D21" s="665"/>
      <c r="E21" s="686"/>
      <c r="F21" s="686"/>
      <c r="G21" s="670"/>
      <c r="L21" s="670"/>
      <c r="M21" s="670"/>
      <c r="N21" s="670"/>
      <c r="O21" s="677"/>
      <c r="P21" s="677"/>
      <c r="Q21" s="677"/>
      <c r="R21" s="667"/>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row>
    <row r="22" spans="1:65">
      <c r="A22" s="685">
        <v>3</v>
      </c>
      <c r="C22" s="665" t="s">
        <v>961</v>
      </c>
      <c r="D22" s="665"/>
      <c r="E22" s="686" t="s">
        <v>962</v>
      </c>
      <c r="F22" s="686"/>
      <c r="G22" s="787">
        <f>'2014 Attachment O Rev 1'!$I$167</f>
        <v>64397168.262673937</v>
      </c>
      <c r="M22" s="670"/>
      <c r="N22" s="670"/>
      <c r="O22" s="677"/>
      <c r="P22" s="677"/>
      <c r="Q22" s="677"/>
      <c r="R22" s="667"/>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row>
    <row r="23" spans="1:65" ht="15.75">
      <c r="A23" s="685">
        <v>4</v>
      </c>
      <c r="C23" s="665" t="s">
        <v>1088</v>
      </c>
      <c r="D23" s="665"/>
      <c r="E23" s="686" t="s">
        <v>1089</v>
      </c>
      <c r="F23" s="686"/>
      <c r="G23" s="694">
        <f>IF(G22=0,0,G22/G18)</f>
        <v>1.8317317910867537E-2</v>
      </c>
      <c r="L23" s="695">
        <f>G23*1</f>
        <v>1.8317317910867537E-2</v>
      </c>
      <c r="M23" s="670"/>
      <c r="N23" s="692"/>
      <c r="O23" s="696"/>
      <c r="P23" s="697"/>
      <c r="Q23" s="677"/>
      <c r="R23" s="667"/>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c r="BM23" s="669"/>
    </row>
    <row r="24" spans="1:65" ht="15.75">
      <c r="A24" s="685"/>
      <c r="C24" s="665"/>
      <c r="D24" s="665"/>
      <c r="E24" s="686"/>
      <c r="F24" s="686"/>
      <c r="G24" s="694"/>
      <c r="L24" s="695"/>
      <c r="M24" s="670"/>
      <c r="N24" s="692"/>
      <c r="O24" s="696"/>
      <c r="P24" s="697"/>
      <c r="Q24" s="677"/>
      <c r="R24" s="667"/>
      <c r="S24" s="669"/>
      <c r="T24" s="669"/>
      <c r="U24" s="669"/>
      <c r="V24" s="669"/>
      <c r="W24" s="669"/>
      <c r="X24" s="669"/>
      <c r="Y24" s="669"/>
      <c r="Z24" s="669"/>
      <c r="AA24" s="669"/>
      <c r="AB24" s="669"/>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row>
    <row r="25" spans="1:65" ht="15.75">
      <c r="A25" s="698"/>
      <c r="B25" s="669"/>
      <c r="C25" s="665" t="s">
        <v>984</v>
      </c>
      <c r="D25" s="665"/>
      <c r="E25" s="699"/>
      <c r="F25" s="699"/>
      <c r="G25" s="670"/>
      <c r="H25" s="669"/>
      <c r="I25" s="669"/>
      <c r="J25" s="669"/>
      <c r="K25" s="669"/>
      <c r="L25" s="670"/>
      <c r="M25" s="670"/>
      <c r="N25" s="692"/>
      <c r="O25" s="696"/>
      <c r="P25" s="697"/>
      <c r="Q25" s="677"/>
      <c r="R25" s="667"/>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69"/>
      <c r="AZ25" s="669"/>
      <c r="BA25" s="669"/>
      <c r="BB25" s="669"/>
      <c r="BC25" s="669"/>
      <c r="BD25" s="669"/>
      <c r="BE25" s="669"/>
      <c r="BF25" s="669"/>
      <c r="BG25" s="669"/>
      <c r="BH25" s="669"/>
      <c r="BI25" s="669"/>
      <c r="BJ25" s="669"/>
      <c r="BK25" s="669"/>
      <c r="BL25" s="669"/>
      <c r="BM25" s="669"/>
    </row>
    <row r="26" spans="1:65" ht="15.75">
      <c r="A26" s="698" t="s">
        <v>985</v>
      </c>
      <c r="B26" s="669"/>
      <c r="C26" s="665" t="s">
        <v>986</v>
      </c>
      <c r="D26" s="665"/>
      <c r="E26" s="686" t="s">
        <v>987</v>
      </c>
      <c r="F26" s="686"/>
      <c r="G26" s="787">
        <f>'2014 Attachment O Rev 1'!$I$173+'2014 Attachment O Rev 1'!$I$174</f>
        <v>3746219.391277662</v>
      </c>
      <c r="H26" s="669"/>
      <c r="I26" s="669"/>
      <c r="J26" s="669"/>
      <c r="K26" s="669"/>
      <c r="L26" s="669"/>
      <c r="M26" s="670"/>
      <c r="N26" s="692"/>
      <c r="O26" s="696"/>
      <c r="P26" s="697"/>
      <c r="Q26" s="677"/>
      <c r="R26" s="667"/>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69"/>
      <c r="BB26" s="669"/>
      <c r="BC26" s="669"/>
      <c r="BD26" s="669"/>
      <c r="BE26" s="669"/>
      <c r="BF26" s="669"/>
      <c r="BG26" s="669"/>
      <c r="BH26" s="669"/>
      <c r="BI26" s="669"/>
      <c r="BJ26" s="669"/>
      <c r="BK26" s="669"/>
      <c r="BL26" s="669"/>
      <c r="BM26" s="669"/>
    </row>
    <row r="27" spans="1:65" ht="15.75">
      <c r="A27" s="698" t="s">
        <v>988</v>
      </c>
      <c r="B27" s="669"/>
      <c r="C27" s="665" t="s">
        <v>989</v>
      </c>
      <c r="D27" s="665"/>
      <c r="E27" s="686" t="s">
        <v>990</v>
      </c>
      <c r="F27" s="686"/>
      <c r="G27" s="694">
        <f>IF(G26=0,0,G26/G18)</f>
        <v>1.0655855436684429E-3</v>
      </c>
      <c r="H27" s="669"/>
      <c r="I27" s="669"/>
      <c r="J27" s="669"/>
      <c r="K27" s="669"/>
      <c r="L27" s="695">
        <f>G27*1</f>
        <v>1.0655855436684429E-3</v>
      </c>
      <c r="M27" s="670"/>
      <c r="N27" s="692"/>
      <c r="O27" s="696"/>
      <c r="P27" s="697"/>
      <c r="Q27" s="677"/>
      <c r="R27" s="667"/>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69"/>
      <c r="BM27" s="669"/>
    </row>
    <row r="28" spans="1:65" ht="15.75">
      <c r="A28" s="685"/>
      <c r="C28" s="665"/>
      <c r="D28" s="665"/>
      <c r="E28" s="686"/>
      <c r="F28" s="686"/>
      <c r="G28" s="694"/>
      <c r="L28" s="695"/>
      <c r="M28" s="670"/>
      <c r="N28" s="692"/>
      <c r="O28" s="696"/>
      <c r="P28" s="697"/>
      <c r="Q28" s="677"/>
      <c r="R28" s="667"/>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669"/>
      <c r="BK28" s="669"/>
      <c r="BL28" s="669"/>
      <c r="BM28" s="669"/>
    </row>
    <row r="29" spans="1:65">
      <c r="A29" s="700"/>
      <c r="C29" s="665" t="s">
        <v>991</v>
      </c>
      <c r="D29" s="665"/>
      <c r="E29" s="699"/>
      <c r="F29" s="699"/>
      <c r="G29" s="670"/>
      <c r="L29" s="670"/>
      <c r="M29" s="670"/>
      <c r="N29" s="670"/>
      <c r="O29" s="677"/>
      <c r="P29" s="670"/>
      <c r="Q29" s="677"/>
      <c r="R29" s="667"/>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69"/>
      <c r="AY29" s="669"/>
      <c r="AZ29" s="669"/>
      <c r="BA29" s="669"/>
      <c r="BB29" s="669"/>
      <c r="BC29" s="669"/>
      <c r="BD29" s="669"/>
      <c r="BE29" s="669"/>
      <c r="BF29" s="669"/>
      <c r="BG29" s="669"/>
      <c r="BH29" s="669"/>
      <c r="BI29" s="669"/>
      <c r="BJ29" s="669"/>
      <c r="BK29" s="669"/>
      <c r="BL29" s="669"/>
      <c r="BM29" s="669"/>
    </row>
    <row r="30" spans="1:65" ht="15.75">
      <c r="A30" s="700" t="s">
        <v>992</v>
      </c>
      <c r="C30" s="665" t="s">
        <v>993</v>
      </c>
      <c r="D30" s="665"/>
      <c r="E30" s="686" t="s">
        <v>994</v>
      </c>
      <c r="F30" s="686"/>
      <c r="G30" s="787">
        <f>'2014 Attachment O Rev 1'!$I$186</f>
        <v>35248921.703965507</v>
      </c>
      <c r="M30" s="670"/>
      <c r="N30" s="701"/>
      <c r="O30" s="677"/>
      <c r="P30" s="702"/>
      <c r="Q30" s="679"/>
      <c r="R30" s="667"/>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69"/>
      <c r="BM30" s="669"/>
    </row>
    <row r="31" spans="1:65" ht="15.75">
      <c r="A31" s="700" t="s">
        <v>995</v>
      </c>
      <c r="C31" s="665" t="s">
        <v>996</v>
      </c>
      <c r="D31" s="665"/>
      <c r="E31" s="686" t="s">
        <v>997</v>
      </c>
      <c r="F31" s="686"/>
      <c r="G31" s="694">
        <f>IF(G30=0,0,G30/G18)</f>
        <v>1.0026305849865412E-2</v>
      </c>
      <c r="L31" s="695">
        <f>G31*1</f>
        <v>1.0026305849865412E-2</v>
      </c>
      <c r="M31" s="670"/>
      <c r="N31" s="692"/>
      <c r="O31" s="677"/>
      <c r="P31" s="697"/>
      <c r="Q31" s="679"/>
      <c r="R31" s="667"/>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69"/>
      <c r="AY31" s="669"/>
      <c r="AZ31" s="669"/>
      <c r="BA31" s="669"/>
      <c r="BB31" s="669"/>
      <c r="BC31" s="669"/>
      <c r="BD31" s="669"/>
      <c r="BE31" s="669"/>
      <c r="BF31" s="669"/>
      <c r="BG31" s="669"/>
      <c r="BH31" s="669"/>
      <c r="BI31" s="669"/>
      <c r="BJ31" s="669"/>
      <c r="BK31" s="669"/>
      <c r="BL31" s="669"/>
      <c r="BM31" s="669"/>
    </row>
    <row r="32" spans="1:65">
      <c r="A32" s="700"/>
      <c r="C32" s="665"/>
      <c r="D32" s="665"/>
      <c r="E32" s="686"/>
      <c r="F32" s="686"/>
      <c r="G32" s="670"/>
      <c r="L32" s="670"/>
      <c r="M32" s="670"/>
      <c r="Q32" s="677"/>
      <c r="R32" s="667"/>
      <c r="S32" s="669"/>
      <c r="T32" s="669"/>
      <c r="U32" s="669"/>
      <c r="V32" s="669"/>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c r="BM32" s="669"/>
    </row>
    <row r="33" spans="1:65" ht="15.75">
      <c r="A33" s="703" t="s">
        <v>998</v>
      </c>
      <c r="B33" s="704"/>
      <c r="C33" s="683" t="s">
        <v>1090</v>
      </c>
      <c r="D33" s="683"/>
      <c r="E33" s="678" t="s">
        <v>1091</v>
      </c>
      <c r="F33" s="678"/>
      <c r="G33" s="712"/>
      <c r="L33" s="705">
        <f>L23+L27+L31</f>
        <v>2.9409209304401392E-2</v>
      </c>
      <c r="M33" s="670"/>
      <c r="Q33" s="677"/>
      <c r="R33" s="667"/>
      <c r="S33" s="669"/>
      <c r="T33" s="669"/>
      <c r="U33" s="669"/>
      <c r="V33" s="669"/>
      <c r="W33" s="669"/>
      <c r="X33" s="669"/>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69"/>
      <c r="BM33" s="669"/>
    </row>
    <row r="34" spans="1:65">
      <c r="A34" s="700"/>
      <c r="C34" s="665"/>
      <c r="D34" s="665"/>
      <c r="E34" s="686"/>
      <c r="F34" s="686"/>
      <c r="G34" s="670"/>
      <c r="L34" s="670"/>
      <c r="M34" s="670"/>
      <c r="N34" s="670"/>
      <c r="O34" s="677"/>
      <c r="P34" s="706"/>
      <c r="Q34" s="677"/>
      <c r="R34" s="667"/>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row>
    <row r="35" spans="1:65">
      <c r="A35" s="698"/>
      <c r="B35" s="707"/>
      <c r="C35" s="670" t="s">
        <v>1001</v>
      </c>
      <c r="D35" s="670"/>
      <c r="E35" s="686"/>
      <c r="F35" s="686"/>
      <c r="G35" s="670"/>
      <c r="L35" s="670"/>
      <c r="M35" s="708"/>
      <c r="N35" s="707"/>
      <c r="Q35" s="679"/>
      <c r="R35" s="677" t="s">
        <v>124</v>
      </c>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69"/>
    </row>
    <row r="36" spans="1:65">
      <c r="A36" s="700" t="s">
        <v>1002</v>
      </c>
      <c r="B36" s="707"/>
      <c r="C36" s="670" t="s">
        <v>606</v>
      </c>
      <c r="D36" s="670"/>
      <c r="E36" s="686" t="s">
        <v>1003</v>
      </c>
      <c r="F36" s="686"/>
      <c r="G36" s="787">
        <f>'2014 Attachment O Rev 1'!$I$198</f>
        <v>97366380.478326157</v>
      </c>
      <c r="L36" s="670"/>
      <c r="M36" s="708"/>
      <c r="N36" s="707"/>
      <c r="Q36" s="679"/>
      <c r="R36" s="677"/>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69"/>
      <c r="BM36" s="669"/>
    </row>
    <row r="37" spans="1:65">
      <c r="A37" s="700" t="s">
        <v>539</v>
      </c>
      <c r="B37" s="707"/>
      <c r="C37" s="670" t="s">
        <v>1004</v>
      </c>
      <c r="D37" s="670"/>
      <c r="E37" s="686" t="s">
        <v>1005</v>
      </c>
      <c r="F37" s="686"/>
      <c r="G37" s="694">
        <f>IF(G36=0,0,G36/G19)</f>
        <v>3.7008398644654515E-2</v>
      </c>
      <c r="L37" s="695">
        <f>G37*1</f>
        <v>3.7008398644654515E-2</v>
      </c>
      <c r="M37" s="708"/>
      <c r="N37" s="707"/>
      <c r="O37" s="677"/>
      <c r="P37" s="677"/>
      <c r="Q37" s="679"/>
      <c r="R37" s="677"/>
      <c r="S37" s="669"/>
      <c r="T37" s="669"/>
      <c r="U37" s="669"/>
      <c r="V37" s="669"/>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69"/>
      <c r="AY37" s="669"/>
      <c r="AZ37" s="669"/>
      <c r="BA37" s="669"/>
      <c r="BB37" s="669"/>
      <c r="BC37" s="669"/>
      <c r="BD37" s="669"/>
      <c r="BE37" s="669"/>
      <c r="BF37" s="669"/>
      <c r="BG37" s="669"/>
      <c r="BH37" s="669"/>
      <c r="BI37" s="669"/>
      <c r="BJ37" s="669"/>
      <c r="BK37" s="669"/>
      <c r="BL37" s="669"/>
      <c r="BM37" s="669"/>
    </row>
    <row r="38" spans="1:65">
      <c r="A38" s="700"/>
      <c r="C38" s="670"/>
      <c r="D38" s="670"/>
      <c r="E38" s="686"/>
      <c r="F38" s="686"/>
      <c r="G38" s="670"/>
      <c r="L38" s="670"/>
      <c r="M38" s="670"/>
      <c r="O38" s="667"/>
      <c r="P38" s="677"/>
      <c r="Q38" s="667"/>
      <c r="R38" s="667"/>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69"/>
      <c r="AY38" s="669"/>
      <c r="AZ38" s="669"/>
      <c r="BA38" s="669"/>
      <c r="BB38" s="669"/>
      <c r="BC38" s="669"/>
      <c r="BD38" s="669"/>
      <c r="BE38" s="669"/>
      <c r="BF38" s="669"/>
      <c r="BG38" s="669"/>
      <c r="BH38" s="669"/>
      <c r="BI38" s="669"/>
      <c r="BJ38" s="669"/>
      <c r="BK38" s="669"/>
      <c r="BL38" s="669"/>
      <c r="BM38" s="669"/>
    </row>
    <row r="39" spans="1:65">
      <c r="A39" s="700"/>
      <c r="C39" s="665" t="s">
        <v>608</v>
      </c>
      <c r="D39" s="665"/>
      <c r="E39" s="709"/>
      <c r="F39" s="709"/>
      <c r="M39" s="670"/>
      <c r="O39" s="677"/>
      <c r="P39" s="677"/>
      <c r="Q39" s="677"/>
      <c r="R39" s="667"/>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row>
    <row r="40" spans="1:65">
      <c r="A40" s="700" t="s">
        <v>540</v>
      </c>
      <c r="C40" s="665" t="s">
        <v>1006</v>
      </c>
      <c r="D40" s="665"/>
      <c r="E40" s="686" t="s">
        <v>1007</v>
      </c>
      <c r="F40" s="686"/>
      <c r="G40" s="787">
        <f>'2014 Attachment O Rev 1'!$I$200</f>
        <v>187071241.82345301</v>
      </c>
      <c r="L40" s="670"/>
      <c r="M40" s="670"/>
      <c r="O40" s="677"/>
      <c r="P40" s="677"/>
      <c r="Q40" s="677"/>
      <c r="R40" s="667"/>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669"/>
      <c r="BL40" s="669"/>
      <c r="BM40" s="669"/>
    </row>
    <row r="41" spans="1:65">
      <c r="A41" s="700" t="s">
        <v>541</v>
      </c>
      <c r="B41" s="707"/>
      <c r="C41" s="670" t="s">
        <v>1008</v>
      </c>
      <c r="D41" s="670"/>
      <c r="E41" s="686" t="s">
        <v>1009</v>
      </c>
      <c r="F41" s="686"/>
      <c r="G41" s="710">
        <f>IF(G40=0,0,G40/G19)</f>
        <v>7.1104698134424618E-2</v>
      </c>
      <c r="L41" s="695">
        <f>G41*1</f>
        <v>7.1104698134424618E-2</v>
      </c>
      <c r="M41" s="670"/>
      <c r="P41" s="711"/>
      <c r="Q41" s="679"/>
      <c r="R41" s="677"/>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69"/>
      <c r="AY41" s="669"/>
      <c r="AZ41" s="669"/>
      <c r="BA41" s="669"/>
      <c r="BB41" s="669"/>
      <c r="BC41" s="669"/>
      <c r="BD41" s="669"/>
      <c r="BE41" s="669"/>
      <c r="BF41" s="669"/>
      <c r="BG41" s="669"/>
      <c r="BH41" s="669"/>
      <c r="BI41" s="669"/>
      <c r="BJ41" s="669"/>
      <c r="BK41" s="669"/>
      <c r="BL41" s="669"/>
      <c r="BM41" s="669"/>
    </row>
    <row r="42" spans="1:65">
      <c r="A42" s="700"/>
      <c r="C42" s="665"/>
      <c r="D42" s="665"/>
      <c r="E42" s="686"/>
      <c r="F42" s="686"/>
      <c r="G42" s="670"/>
      <c r="L42" s="670"/>
      <c r="M42" s="670"/>
      <c r="N42" s="709"/>
      <c r="O42" s="677"/>
      <c r="P42" s="677"/>
      <c r="Q42" s="677"/>
      <c r="R42" s="667"/>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69"/>
      <c r="BM42" s="669"/>
    </row>
    <row r="43" spans="1:65" ht="15.75">
      <c r="A43" s="703" t="s">
        <v>542</v>
      </c>
      <c r="B43" s="704"/>
      <c r="C43" s="683" t="s">
        <v>1010</v>
      </c>
      <c r="D43" s="683"/>
      <c r="E43" s="678" t="s">
        <v>1011</v>
      </c>
      <c r="F43" s="678"/>
      <c r="G43" s="712"/>
      <c r="L43" s="705">
        <f>L37+L41</f>
        <v>0.10811309677907913</v>
      </c>
      <c r="M43" s="670"/>
      <c r="N43" s="709"/>
      <c r="O43" s="677"/>
      <c r="P43" s="677"/>
      <c r="Q43" s="677"/>
      <c r="R43" s="667"/>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669"/>
      <c r="BF43" s="669"/>
      <c r="BG43" s="669"/>
      <c r="BH43" s="669"/>
      <c r="BI43" s="669"/>
      <c r="BJ43" s="669"/>
      <c r="BK43" s="669"/>
      <c r="BL43" s="669"/>
      <c r="BM43" s="669"/>
    </row>
    <row r="44" spans="1:65">
      <c r="M44" s="713"/>
      <c r="N44" s="713"/>
      <c r="O44" s="677"/>
      <c r="P44" s="677"/>
      <c r="Q44" s="677"/>
      <c r="R44" s="667"/>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669"/>
      <c r="BF44" s="669"/>
      <c r="BG44" s="669"/>
      <c r="BH44" s="669"/>
      <c r="BI44" s="669"/>
      <c r="BJ44" s="669"/>
      <c r="BK44" s="669"/>
      <c r="BL44" s="669"/>
      <c r="BM44" s="669"/>
    </row>
    <row r="45" spans="1:65">
      <c r="M45" s="713"/>
      <c r="N45" s="713"/>
      <c r="O45" s="677"/>
      <c r="P45" s="677"/>
      <c r="Q45" s="677"/>
      <c r="R45" s="667"/>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69"/>
      <c r="BC45" s="669"/>
      <c r="BD45" s="669"/>
      <c r="BE45" s="669"/>
      <c r="BF45" s="669"/>
      <c r="BG45" s="669"/>
      <c r="BH45" s="669"/>
      <c r="BI45" s="669"/>
      <c r="BJ45" s="669"/>
      <c r="BK45" s="669"/>
      <c r="BL45" s="669"/>
      <c r="BM45" s="669"/>
    </row>
    <row r="46" spans="1:65">
      <c r="M46" s="713"/>
      <c r="N46" s="713"/>
      <c r="O46" s="677"/>
      <c r="P46" s="677"/>
      <c r="Q46" s="677"/>
      <c r="R46" s="667"/>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c r="BE46" s="669"/>
      <c r="BF46" s="669"/>
      <c r="BG46" s="669"/>
      <c r="BH46" s="669"/>
      <c r="BI46" s="669"/>
      <c r="BJ46" s="669"/>
      <c r="BK46" s="669"/>
      <c r="BL46" s="669"/>
      <c r="BM46" s="669"/>
    </row>
    <row r="47" spans="1:65">
      <c r="M47" s="665"/>
      <c r="N47" s="665"/>
      <c r="O47" s="667"/>
      <c r="P47" s="667"/>
      <c r="Q47" s="667"/>
      <c r="R47" s="667"/>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row>
    <row r="48" spans="1:65">
      <c r="M48" s="670"/>
      <c r="N48" s="670"/>
      <c r="O48" s="677"/>
      <c r="P48" s="667"/>
      <c r="Q48" s="677"/>
      <c r="R48" s="667"/>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row>
    <row r="49" spans="1:65" ht="15.75">
      <c r="M49" s="670"/>
      <c r="N49" s="692"/>
      <c r="O49" s="677"/>
      <c r="P49" s="677"/>
      <c r="Q49" s="702"/>
      <c r="R49" s="677"/>
      <c r="S49" s="669"/>
      <c r="T49" s="669"/>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69"/>
      <c r="AY49" s="669"/>
      <c r="AZ49" s="669"/>
      <c r="BA49" s="669"/>
      <c r="BB49" s="669"/>
      <c r="BC49" s="669"/>
      <c r="BD49" s="669"/>
      <c r="BE49" s="669"/>
      <c r="BF49" s="669"/>
      <c r="BG49" s="669"/>
      <c r="BH49" s="669"/>
      <c r="BI49" s="669"/>
      <c r="BJ49" s="669"/>
      <c r="BK49" s="669"/>
      <c r="BL49" s="669"/>
      <c r="BM49" s="669"/>
    </row>
    <row r="50" spans="1:65" ht="15.75">
      <c r="M50" s="670"/>
      <c r="N50" s="692"/>
      <c r="O50" s="677"/>
      <c r="P50" s="677"/>
      <c r="Q50" s="702"/>
      <c r="R50" s="677"/>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c r="BD50" s="669"/>
      <c r="BE50" s="669"/>
      <c r="BF50" s="669"/>
      <c r="BG50" s="669"/>
      <c r="BH50" s="669"/>
      <c r="BI50" s="669"/>
      <c r="BJ50" s="669"/>
      <c r="BK50" s="669"/>
      <c r="BL50" s="669"/>
      <c r="BM50" s="669"/>
    </row>
    <row r="51" spans="1:65" ht="15.75">
      <c r="M51" s="670"/>
      <c r="N51" s="692"/>
      <c r="O51" s="677"/>
      <c r="P51" s="677"/>
      <c r="Q51" s="702"/>
      <c r="R51" s="677"/>
      <c r="S51" s="669"/>
      <c r="T51" s="669"/>
      <c r="U51" s="669"/>
      <c r="V51" s="669"/>
      <c r="W51" s="669"/>
      <c r="X51" s="669"/>
      <c r="Y51" s="66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669"/>
      <c r="AV51" s="669"/>
      <c r="AW51" s="669"/>
      <c r="AX51" s="669"/>
      <c r="AY51" s="669"/>
      <c r="AZ51" s="669"/>
      <c r="BA51" s="669"/>
      <c r="BB51" s="669"/>
      <c r="BC51" s="669"/>
      <c r="BD51" s="669"/>
      <c r="BE51" s="669"/>
      <c r="BF51" s="669"/>
      <c r="BG51" s="669"/>
      <c r="BH51" s="669"/>
      <c r="BI51" s="669"/>
      <c r="BJ51" s="669"/>
      <c r="BK51" s="669"/>
      <c r="BL51" s="669"/>
      <c r="BM51" s="669"/>
    </row>
    <row r="52" spans="1:65" ht="15.75">
      <c r="A52" s="698"/>
      <c r="B52" s="707"/>
      <c r="C52" s="714"/>
      <c r="D52" s="714"/>
      <c r="E52" s="699"/>
      <c r="F52" s="699"/>
      <c r="G52" s="670"/>
      <c r="H52" s="714"/>
      <c r="I52" s="714"/>
      <c r="J52" s="694"/>
      <c r="K52" s="714"/>
      <c r="L52" s="670"/>
      <c r="M52" s="670"/>
      <c r="N52" s="692"/>
      <c r="O52" s="677"/>
      <c r="P52" s="677"/>
      <c r="Q52" s="702"/>
      <c r="R52" s="677"/>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69"/>
      <c r="AY52" s="669"/>
      <c r="AZ52" s="669"/>
      <c r="BA52" s="669"/>
      <c r="BB52" s="669"/>
      <c r="BC52" s="669"/>
      <c r="BD52" s="669"/>
      <c r="BE52" s="669"/>
      <c r="BF52" s="669"/>
      <c r="BG52" s="669"/>
      <c r="BH52" s="669"/>
      <c r="BI52" s="669"/>
      <c r="BJ52" s="669"/>
      <c r="BK52" s="669"/>
      <c r="BL52" s="669"/>
      <c r="BM52" s="669"/>
    </row>
    <row r="53" spans="1:65" ht="15.75">
      <c r="A53" s="698"/>
      <c r="B53" s="707"/>
      <c r="C53" s="714"/>
      <c r="D53" s="714"/>
      <c r="E53" s="699"/>
      <c r="F53" s="699"/>
      <c r="G53" s="670"/>
      <c r="H53" s="714"/>
      <c r="I53" s="714"/>
      <c r="J53" s="694"/>
      <c r="K53" s="714"/>
      <c r="L53" s="670"/>
      <c r="M53" s="670"/>
      <c r="N53" s="692"/>
      <c r="O53" s="677"/>
      <c r="P53" s="677"/>
      <c r="Q53" s="702"/>
      <c r="R53" s="677"/>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69"/>
      <c r="AY53" s="669"/>
      <c r="AZ53" s="669"/>
      <c r="BA53" s="669"/>
      <c r="BB53" s="669"/>
      <c r="BC53" s="669"/>
      <c r="BD53" s="669"/>
      <c r="BE53" s="669"/>
      <c r="BF53" s="669"/>
      <c r="BG53" s="669"/>
      <c r="BH53" s="669"/>
      <c r="BI53" s="669"/>
      <c r="BJ53" s="669"/>
      <c r="BK53" s="669"/>
      <c r="BL53" s="669"/>
      <c r="BM53" s="669"/>
    </row>
    <row r="54" spans="1:65" ht="15.75">
      <c r="A54" s="762"/>
      <c r="B54" s="669"/>
      <c r="C54" s="698"/>
      <c r="D54" s="698"/>
      <c r="E54" s="699"/>
      <c r="F54" s="699"/>
      <c r="G54" s="670"/>
      <c r="H54" s="714"/>
      <c r="I54" s="714"/>
      <c r="J54" s="694"/>
      <c r="K54" s="714"/>
      <c r="M54" s="670"/>
      <c r="N54" s="764"/>
      <c r="O54" s="788"/>
      <c r="P54" s="677"/>
      <c r="Q54" s="702"/>
      <c r="R54" s="677"/>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69"/>
      <c r="BB54" s="669"/>
      <c r="BC54" s="669"/>
      <c r="BD54" s="669"/>
      <c r="BE54" s="669"/>
      <c r="BF54" s="669"/>
      <c r="BG54" s="669"/>
      <c r="BH54" s="669"/>
      <c r="BI54" s="669"/>
      <c r="BJ54" s="669"/>
      <c r="BK54" s="669"/>
      <c r="BL54" s="669"/>
      <c r="BM54" s="669"/>
    </row>
    <row r="55" spans="1:65" ht="15.75">
      <c r="A55" s="762"/>
      <c r="B55" s="669"/>
      <c r="C55" s="698"/>
      <c r="D55" s="698"/>
      <c r="E55" s="699"/>
      <c r="F55" s="699"/>
      <c r="G55" s="670"/>
      <c r="H55" s="714"/>
      <c r="I55" s="714"/>
      <c r="J55" s="694"/>
      <c r="K55" s="714"/>
      <c r="M55" s="670"/>
      <c r="N55" s="692"/>
      <c r="O55" s="788"/>
      <c r="P55" s="677"/>
      <c r="Q55" s="702"/>
      <c r="R55" s="677"/>
      <c r="S55" s="669"/>
      <c r="T55" s="669"/>
      <c r="U55" s="669"/>
      <c r="V55" s="669"/>
      <c r="W55" s="669"/>
      <c r="X55" s="669"/>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69"/>
      <c r="AY55" s="669"/>
      <c r="AZ55" s="669"/>
      <c r="BA55" s="669"/>
      <c r="BB55" s="669"/>
      <c r="BC55" s="669"/>
      <c r="BD55" s="669"/>
      <c r="BE55" s="669"/>
      <c r="BF55" s="669"/>
      <c r="BG55" s="669"/>
      <c r="BH55" s="669"/>
      <c r="BI55" s="669"/>
      <c r="BJ55" s="669"/>
      <c r="BK55" s="669"/>
      <c r="BL55" s="669"/>
      <c r="BM55" s="669"/>
    </row>
    <row r="56" spans="1:65" ht="15.75">
      <c r="A56" s="789"/>
      <c r="B56" s="669"/>
      <c r="C56" s="698"/>
      <c r="D56" s="698"/>
      <c r="E56" s="699"/>
      <c r="F56" s="699"/>
      <c r="G56" s="670"/>
      <c r="H56" s="714"/>
      <c r="I56" s="714"/>
      <c r="J56" s="694"/>
      <c r="K56" s="714"/>
      <c r="M56" s="670"/>
      <c r="N56" s="692"/>
      <c r="O56" s="788"/>
      <c r="P56" s="677"/>
      <c r="Q56" s="702"/>
      <c r="R56" s="677"/>
      <c r="S56" s="669"/>
      <c r="T56" s="669"/>
      <c r="U56" s="669"/>
      <c r="V56" s="669"/>
      <c r="W56" s="669"/>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69"/>
      <c r="AY56" s="669"/>
      <c r="AZ56" s="669"/>
      <c r="BA56" s="669"/>
      <c r="BB56" s="669"/>
      <c r="BC56" s="669"/>
      <c r="BD56" s="669"/>
      <c r="BE56" s="669"/>
      <c r="BF56" s="669"/>
      <c r="BG56" s="669"/>
      <c r="BH56" s="669"/>
      <c r="BI56" s="669"/>
      <c r="BJ56" s="669"/>
      <c r="BK56" s="669"/>
      <c r="BL56" s="669"/>
      <c r="BM56" s="669"/>
    </row>
    <row r="57" spans="1:65">
      <c r="A57" s="672"/>
      <c r="C57" s="714"/>
      <c r="D57" s="714"/>
      <c r="E57" s="714"/>
      <c r="F57" s="714"/>
      <c r="G57" s="670"/>
      <c r="H57" s="714"/>
      <c r="I57" s="714"/>
      <c r="J57" s="714"/>
      <c r="K57" s="714"/>
      <c r="M57" s="670"/>
      <c r="N57" s="670"/>
      <c r="O57" s="677"/>
      <c r="P57" s="677"/>
      <c r="Q57" s="679"/>
      <c r="R57" s="677" t="s">
        <v>124</v>
      </c>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69"/>
      <c r="AY57" s="669"/>
      <c r="AZ57" s="669"/>
      <c r="BA57" s="669"/>
      <c r="BB57" s="669"/>
      <c r="BC57" s="669"/>
      <c r="BD57" s="669"/>
      <c r="BE57" s="669"/>
      <c r="BF57" s="669"/>
      <c r="BG57" s="669"/>
      <c r="BH57" s="669"/>
      <c r="BI57" s="669"/>
      <c r="BJ57" s="669"/>
      <c r="BK57" s="669"/>
      <c r="BL57" s="669"/>
      <c r="BM57" s="669"/>
    </row>
    <row r="58" spans="1:65">
      <c r="N58" s="662"/>
    </row>
    <row r="59" spans="1:65">
      <c r="N59" s="662"/>
    </row>
    <row r="61" spans="1:65">
      <c r="A61" s="672"/>
      <c r="C61" s="714"/>
      <c r="D61" s="714"/>
      <c r="E61" s="714"/>
      <c r="F61" s="714"/>
      <c r="G61" s="670"/>
      <c r="H61" s="714"/>
      <c r="I61" s="714"/>
      <c r="J61" s="714"/>
      <c r="K61" s="714"/>
      <c r="M61" s="670"/>
      <c r="N61" s="662" t="str">
        <f>N4</f>
        <v>Attachment GG - Generic Company</v>
      </c>
      <c r="O61" s="677"/>
      <c r="P61" s="667"/>
      <c r="Q61" s="677"/>
      <c r="R61" s="667"/>
      <c r="S61" s="669"/>
      <c r="T61" s="669"/>
      <c r="U61" s="669"/>
      <c r="V61" s="669"/>
      <c r="W61" s="669"/>
      <c r="X61" s="669"/>
      <c r="Y61" s="669"/>
      <c r="Z61" s="669"/>
      <c r="AA61" s="669"/>
      <c r="AB61" s="669"/>
      <c r="AC61" s="669"/>
      <c r="AD61" s="669"/>
      <c r="AE61" s="669"/>
      <c r="AF61" s="669"/>
      <c r="AG61" s="669"/>
      <c r="AH61" s="669"/>
      <c r="AI61" s="669"/>
      <c r="AJ61" s="669"/>
      <c r="AK61" s="669"/>
      <c r="AL61" s="669"/>
      <c r="AM61" s="669"/>
      <c r="AN61" s="669"/>
      <c r="AO61" s="669"/>
      <c r="AP61" s="669"/>
      <c r="AQ61" s="669"/>
      <c r="AR61" s="669"/>
      <c r="AS61" s="669"/>
      <c r="AT61" s="669"/>
      <c r="AU61" s="669"/>
      <c r="AV61" s="669"/>
      <c r="AW61" s="669"/>
      <c r="AX61" s="669"/>
      <c r="AY61" s="669"/>
      <c r="AZ61" s="669"/>
      <c r="BA61" s="669"/>
      <c r="BB61" s="669"/>
      <c r="BC61" s="669"/>
      <c r="BD61" s="669"/>
      <c r="BE61" s="669"/>
      <c r="BF61" s="669"/>
      <c r="BG61" s="669"/>
      <c r="BH61" s="669"/>
      <c r="BI61" s="669"/>
      <c r="BJ61" s="669"/>
      <c r="BK61" s="669"/>
      <c r="BL61" s="669"/>
      <c r="BM61" s="669"/>
    </row>
    <row r="62" spans="1:65">
      <c r="A62" s="672"/>
      <c r="C62" s="665" t="str">
        <f>C5</f>
        <v>Formula Rate calculation</v>
      </c>
      <c r="D62" s="665"/>
      <c r="E62" s="714"/>
      <c r="F62" s="714"/>
      <c r="G62" s="714" t="str">
        <f>G5</f>
        <v xml:space="preserve">     Rate Formula Template</v>
      </c>
      <c r="H62" s="714"/>
      <c r="I62" s="714"/>
      <c r="J62" s="714"/>
      <c r="K62" s="714"/>
      <c r="M62" s="670"/>
      <c r="N62" s="715" t="str">
        <f>N5</f>
        <v>For  the 12 months ended 12/31/2014</v>
      </c>
      <c r="O62" s="677"/>
      <c r="P62" s="667"/>
      <c r="Q62" s="677"/>
      <c r="R62" s="667"/>
      <c r="S62" s="669"/>
      <c r="T62" s="669"/>
      <c r="U62" s="669"/>
      <c r="V62" s="669"/>
      <c r="W62" s="669"/>
      <c r="X62" s="669"/>
      <c r="Y62" s="669"/>
      <c r="Z62" s="669"/>
      <c r="AA62" s="669"/>
      <c r="AB62" s="669"/>
      <c r="AC62" s="669"/>
      <c r="AD62" s="669"/>
      <c r="AE62" s="669"/>
      <c r="AF62" s="669"/>
      <c r="AG62" s="669"/>
      <c r="AH62" s="669"/>
      <c r="AI62" s="669"/>
      <c r="AJ62" s="669"/>
      <c r="AK62" s="669"/>
      <c r="AL62" s="669"/>
      <c r="AM62" s="669"/>
      <c r="AN62" s="669"/>
      <c r="AO62" s="669"/>
      <c r="AP62" s="669"/>
      <c r="AQ62" s="669"/>
      <c r="AR62" s="669"/>
      <c r="AS62" s="669"/>
      <c r="AT62" s="669"/>
      <c r="AU62" s="669"/>
      <c r="AV62" s="669"/>
      <c r="AW62" s="669"/>
      <c r="AX62" s="669"/>
      <c r="AY62" s="669"/>
      <c r="AZ62" s="669"/>
      <c r="BA62" s="669"/>
      <c r="BB62" s="669"/>
      <c r="BC62" s="669"/>
      <c r="BD62" s="669"/>
      <c r="BE62" s="669"/>
      <c r="BF62" s="669"/>
      <c r="BG62" s="669"/>
      <c r="BH62" s="669"/>
      <c r="BI62" s="669"/>
      <c r="BJ62" s="669"/>
      <c r="BK62" s="669"/>
      <c r="BL62" s="669"/>
      <c r="BM62" s="669"/>
    </row>
    <row r="63" spans="1:65">
      <c r="A63" s="672"/>
      <c r="C63" s="665"/>
      <c r="D63" s="665"/>
      <c r="E63" s="714"/>
      <c r="F63" s="714"/>
      <c r="G63" s="714" t="str">
        <f>G6</f>
        <v xml:space="preserve"> Utilizing Attachment O Data</v>
      </c>
      <c r="H63" s="714"/>
      <c r="I63" s="714"/>
      <c r="J63" s="714"/>
      <c r="K63" s="714"/>
      <c r="L63" s="670"/>
      <c r="M63" s="670"/>
      <c r="O63" s="677"/>
      <c r="P63" s="667"/>
      <c r="Q63" s="677"/>
      <c r="R63" s="667"/>
      <c r="S63" s="669"/>
      <c r="T63" s="669"/>
      <c r="U63" s="669"/>
      <c r="V63" s="669"/>
      <c r="W63" s="669"/>
      <c r="X63" s="669"/>
      <c r="Y63" s="669"/>
      <c r="Z63" s="669"/>
      <c r="AA63" s="669"/>
      <c r="AB63" s="669"/>
      <c r="AC63" s="669"/>
      <c r="AD63" s="669"/>
      <c r="AE63" s="669"/>
      <c r="AF63" s="669"/>
      <c r="AG63" s="669"/>
      <c r="AH63" s="669"/>
      <c r="AI63" s="669"/>
      <c r="AJ63" s="669"/>
      <c r="AK63" s="669"/>
      <c r="AL63" s="669"/>
      <c r="AM63" s="669"/>
      <c r="AN63" s="669"/>
      <c r="AO63" s="669"/>
      <c r="AP63" s="669"/>
      <c r="AQ63" s="669"/>
      <c r="AR63" s="669"/>
      <c r="AS63" s="669"/>
      <c r="AT63" s="669"/>
      <c r="AU63" s="669"/>
      <c r="AV63" s="669"/>
      <c r="AW63" s="669"/>
      <c r="AX63" s="669"/>
      <c r="AY63" s="669"/>
      <c r="AZ63" s="669"/>
      <c r="BA63" s="669"/>
      <c r="BB63" s="669"/>
      <c r="BC63" s="669"/>
      <c r="BD63" s="669"/>
      <c r="BE63" s="669"/>
      <c r="BF63" s="669"/>
      <c r="BG63" s="669"/>
      <c r="BH63" s="669"/>
      <c r="BI63" s="669"/>
      <c r="BJ63" s="669"/>
      <c r="BK63" s="669"/>
      <c r="BL63" s="669"/>
      <c r="BM63" s="669"/>
    </row>
    <row r="64" spans="1:65" ht="14.25" customHeight="1">
      <c r="A64" s="672"/>
      <c r="C64" s="714"/>
      <c r="D64" s="714"/>
      <c r="E64" s="714"/>
      <c r="F64" s="714"/>
      <c r="G64" s="714"/>
      <c r="H64" s="714"/>
      <c r="I64" s="714"/>
      <c r="J64" s="714"/>
      <c r="K64" s="714"/>
      <c r="M64" s="670"/>
      <c r="N64" s="714" t="s">
        <v>1012</v>
      </c>
      <c r="O64" s="677"/>
      <c r="P64" s="667"/>
      <c r="Q64" s="677"/>
      <c r="R64" s="667"/>
      <c r="S64" s="669"/>
      <c r="T64" s="669"/>
      <c r="U64" s="669"/>
      <c r="V64" s="669"/>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69"/>
      <c r="AS64" s="669"/>
      <c r="AT64" s="669"/>
      <c r="AU64" s="669"/>
      <c r="AV64" s="669"/>
      <c r="AW64" s="669"/>
      <c r="AX64" s="669"/>
      <c r="AY64" s="669"/>
      <c r="AZ64" s="669"/>
      <c r="BA64" s="669"/>
      <c r="BB64" s="669"/>
      <c r="BC64" s="669"/>
      <c r="BD64" s="669"/>
      <c r="BE64" s="669"/>
      <c r="BF64" s="669"/>
      <c r="BG64" s="669"/>
      <c r="BH64" s="669"/>
      <c r="BI64" s="669"/>
      <c r="BJ64" s="669"/>
      <c r="BK64" s="669"/>
      <c r="BL64" s="669"/>
      <c r="BM64" s="669"/>
    </row>
    <row r="65" spans="1:65">
      <c r="A65" s="672"/>
      <c r="E65" s="714"/>
      <c r="F65" s="714"/>
      <c r="G65" s="714" t="str">
        <f>G8</f>
        <v>Northern States Power Companies</v>
      </c>
      <c r="H65" s="714"/>
      <c r="I65" s="714"/>
      <c r="J65" s="714"/>
      <c r="K65" s="714"/>
      <c r="L65" s="714"/>
      <c r="M65" s="670"/>
      <c r="N65" s="670"/>
      <c r="O65" s="677"/>
      <c r="P65" s="667"/>
      <c r="Q65" s="677"/>
      <c r="R65" s="667"/>
      <c r="S65" s="669"/>
      <c r="T65" s="669"/>
      <c r="U65" s="669"/>
      <c r="V65" s="669"/>
      <c r="W65" s="669"/>
      <c r="X65" s="669"/>
      <c r="Y65" s="669"/>
      <c r="Z65" s="669"/>
      <c r="AA65" s="669"/>
      <c r="AB65" s="669"/>
      <c r="AC65" s="669"/>
      <c r="AD65" s="669"/>
      <c r="AE65" s="669"/>
      <c r="AF65" s="669"/>
      <c r="AG65" s="669"/>
      <c r="AH65" s="669"/>
      <c r="AI65" s="669"/>
      <c r="AJ65" s="669"/>
      <c r="AK65" s="669"/>
      <c r="AL65" s="669"/>
      <c r="AM65" s="669"/>
      <c r="AN65" s="669"/>
      <c r="AO65" s="669"/>
      <c r="AP65" s="669"/>
      <c r="AQ65" s="669"/>
      <c r="AR65" s="669"/>
      <c r="AS65" s="669"/>
      <c r="AT65" s="669"/>
      <c r="AU65" s="669"/>
      <c r="AV65" s="669"/>
      <c r="AW65" s="669"/>
      <c r="AX65" s="669"/>
      <c r="AY65" s="669"/>
      <c r="AZ65" s="669"/>
      <c r="BA65" s="669"/>
      <c r="BB65" s="669"/>
      <c r="BC65" s="669"/>
      <c r="BD65" s="669"/>
      <c r="BE65" s="669"/>
      <c r="BF65" s="669"/>
      <c r="BG65" s="669"/>
      <c r="BH65" s="669"/>
      <c r="BI65" s="669"/>
      <c r="BJ65" s="669"/>
      <c r="BK65" s="669"/>
      <c r="BL65" s="669"/>
      <c r="BM65" s="669"/>
    </row>
    <row r="66" spans="1:65">
      <c r="A66" s="672"/>
      <c r="E66" s="665"/>
      <c r="F66" s="665"/>
      <c r="G66" s="665"/>
      <c r="H66" s="665"/>
      <c r="I66" s="665"/>
      <c r="J66" s="665"/>
      <c r="K66" s="665"/>
      <c r="L66" s="665"/>
      <c r="M66" s="665"/>
      <c r="N66" s="665"/>
      <c r="O66" s="677"/>
      <c r="P66" s="667"/>
      <c r="Q66" s="677"/>
      <c r="R66" s="667"/>
      <c r="S66" s="669"/>
      <c r="T66" s="669"/>
      <c r="U66" s="669"/>
      <c r="V66" s="669"/>
      <c r="W66" s="669"/>
      <c r="X66" s="669"/>
      <c r="Y66" s="669"/>
      <c r="Z66" s="669"/>
      <c r="AA66" s="669"/>
      <c r="AB66" s="669"/>
      <c r="AC66" s="669"/>
      <c r="AD66" s="669"/>
      <c r="AE66" s="669"/>
      <c r="AF66" s="669"/>
      <c r="AG66" s="669"/>
      <c r="AH66" s="669"/>
      <c r="AI66" s="669"/>
      <c r="AJ66" s="669"/>
      <c r="AK66" s="669"/>
      <c r="AL66" s="669"/>
      <c r="AM66" s="669"/>
      <c r="AN66" s="669"/>
      <c r="AO66" s="669"/>
      <c r="AP66" s="669"/>
      <c r="AQ66" s="669"/>
      <c r="AR66" s="669"/>
      <c r="AS66" s="669"/>
      <c r="AT66" s="669"/>
      <c r="AU66" s="669"/>
      <c r="AV66" s="669"/>
      <c r="AW66" s="669"/>
      <c r="AX66" s="669"/>
      <c r="AY66" s="669"/>
      <c r="AZ66" s="669"/>
      <c r="BA66" s="669"/>
      <c r="BB66" s="669"/>
      <c r="BC66" s="669"/>
      <c r="BD66" s="669"/>
      <c r="BE66" s="669"/>
      <c r="BF66" s="669"/>
      <c r="BG66" s="669"/>
      <c r="BH66" s="669"/>
      <c r="BI66" s="669"/>
      <c r="BJ66" s="669"/>
      <c r="BK66" s="669"/>
      <c r="BL66" s="669"/>
      <c r="BM66" s="669"/>
    </row>
    <row r="67" spans="1:65" ht="15.75">
      <c r="A67" s="672"/>
      <c r="C67" s="714"/>
      <c r="D67" s="714"/>
      <c r="E67" s="683" t="s">
        <v>1092</v>
      </c>
      <c r="F67" s="683"/>
      <c r="H67" s="665"/>
      <c r="I67" s="665"/>
      <c r="J67" s="665"/>
      <c r="K67" s="665"/>
      <c r="L67" s="665"/>
      <c r="M67" s="670"/>
      <c r="N67" s="670"/>
      <c r="O67" s="677"/>
      <c r="P67" s="667"/>
      <c r="Q67" s="677"/>
      <c r="R67" s="667"/>
      <c r="S67" s="669"/>
      <c r="T67" s="669"/>
      <c r="U67" s="669"/>
      <c r="V67" s="669"/>
      <c r="W67" s="669"/>
      <c r="X67" s="669"/>
      <c r="Y67" s="669"/>
      <c r="Z67" s="669"/>
      <c r="AA67" s="669"/>
      <c r="AB67" s="669"/>
      <c r="AC67" s="669"/>
      <c r="AD67" s="669"/>
      <c r="AE67" s="669"/>
      <c r="AF67" s="669"/>
      <c r="AG67" s="669"/>
      <c r="AH67" s="669"/>
      <c r="AI67" s="669"/>
      <c r="AJ67" s="669"/>
      <c r="AK67" s="669"/>
      <c r="AL67" s="669"/>
      <c r="AM67" s="669"/>
      <c r="AN67" s="669"/>
      <c r="AO67" s="669"/>
      <c r="AP67" s="669"/>
      <c r="AQ67" s="669"/>
      <c r="AR67" s="669"/>
      <c r="AS67" s="669"/>
      <c r="AT67" s="669"/>
      <c r="AU67" s="669"/>
      <c r="AV67" s="669"/>
      <c r="AW67" s="669"/>
      <c r="AX67" s="669"/>
      <c r="AY67" s="669"/>
      <c r="AZ67" s="669"/>
      <c r="BA67" s="669"/>
      <c r="BB67" s="669"/>
      <c r="BC67" s="669"/>
      <c r="BD67" s="669"/>
      <c r="BE67" s="669"/>
      <c r="BF67" s="669"/>
      <c r="BG67" s="669"/>
      <c r="BH67" s="669"/>
      <c r="BI67" s="669"/>
      <c r="BJ67" s="669"/>
      <c r="BK67" s="669"/>
      <c r="BL67" s="669"/>
      <c r="BM67" s="669"/>
    </row>
    <row r="68" spans="1:65" ht="15.75">
      <c r="A68" s="672"/>
      <c r="C68" s="714"/>
      <c r="D68" s="714"/>
      <c r="E68" s="683"/>
      <c r="F68" s="683"/>
      <c r="H68" s="665"/>
      <c r="I68" s="665"/>
      <c r="J68" s="665"/>
      <c r="K68" s="665"/>
      <c r="L68" s="665"/>
      <c r="M68" s="670"/>
      <c r="N68" s="670"/>
      <c r="O68" s="677"/>
      <c r="P68" s="667"/>
      <c r="Q68" s="677"/>
      <c r="R68" s="667"/>
      <c r="S68" s="669"/>
      <c r="T68" s="669"/>
      <c r="U68" s="669"/>
      <c r="V68" s="669"/>
      <c r="W68" s="669"/>
      <c r="X68" s="669"/>
      <c r="Y68" s="669"/>
      <c r="Z68" s="669"/>
      <c r="AA68" s="669"/>
      <c r="AB68" s="669"/>
      <c r="AC68" s="669"/>
      <c r="AD68" s="669"/>
      <c r="AE68" s="669"/>
      <c r="AF68" s="669"/>
      <c r="AG68" s="669"/>
      <c r="AH68" s="669"/>
      <c r="AI68" s="669"/>
      <c r="AJ68" s="669"/>
      <c r="AK68" s="669"/>
      <c r="AL68" s="669"/>
      <c r="AM68" s="669"/>
      <c r="AN68" s="669"/>
      <c r="AO68" s="669"/>
      <c r="AP68" s="669"/>
      <c r="AQ68" s="669"/>
      <c r="AR68" s="669"/>
      <c r="AS68" s="669"/>
      <c r="AT68" s="669"/>
      <c r="AU68" s="669"/>
      <c r="AV68" s="669"/>
      <c r="AW68" s="669"/>
      <c r="AX68" s="669"/>
      <c r="AY68" s="669"/>
      <c r="AZ68" s="669"/>
      <c r="BA68" s="669"/>
      <c r="BB68" s="669"/>
      <c r="BC68" s="669"/>
      <c r="BD68" s="669"/>
      <c r="BE68" s="669"/>
      <c r="BF68" s="669"/>
      <c r="BG68" s="669"/>
      <c r="BH68" s="669"/>
      <c r="BI68" s="669"/>
      <c r="BJ68" s="669"/>
      <c r="BK68" s="669"/>
      <c r="BL68" s="669"/>
      <c r="BM68" s="669"/>
    </row>
    <row r="69" spans="1:65" ht="15.75">
      <c r="A69" s="672"/>
      <c r="C69" s="790">
        <v>-1</v>
      </c>
      <c r="D69" s="790">
        <v>-2</v>
      </c>
      <c r="E69" s="790">
        <v>-3</v>
      </c>
      <c r="F69" s="790">
        <v>-4</v>
      </c>
      <c r="G69" s="790">
        <v>-5</v>
      </c>
      <c r="H69" s="790">
        <v>-6</v>
      </c>
      <c r="I69" s="790">
        <v>-7</v>
      </c>
      <c r="J69" s="790">
        <v>-8</v>
      </c>
      <c r="K69" s="790">
        <v>-9</v>
      </c>
      <c r="L69" s="790">
        <v>-10</v>
      </c>
      <c r="M69" s="790">
        <v>-11</v>
      </c>
      <c r="N69" s="790">
        <v>-12</v>
      </c>
      <c r="O69" s="677"/>
      <c r="P69" s="667"/>
      <c r="Q69" s="677"/>
      <c r="R69" s="667"/>
      <c r="S69" s="669"/>
      <c r="T69" s="669"/>
      <c r="U69" s="669"/>
      <c r="V69" s="669"/>
      <c r="W69" s="669"/>
      <c r="X69" s="669"/>
      <c r="Y69" s="669"/>
      <c r="Z69" s="669"/>
      <c r="AA69" s="669"/>
      <c r="AB69" s="669"/>
      <c r="AC69" s="669"/>
      <c r="AD69" s="669"/>
      <c r="AE69" s="669"/>
      <c r="AF69" s="669"/>
      <c r="AG69" s="669"/>
      <c r="AH69" s="669"/>
      <c r="AI69" s="669"/>
      <c r="AJ69" s="669"/>
      <c r="AK69" s="669"/>
      <c r="AL69" s="669"/>
      <c r="AM69" s="669"/>
      <c r="AN69" s="669"/>
      <c r="AO69" s="669"/>
      <c r="AP69" s="669"/>
      <c r="AQ69" s="669"/>
      <c r="AR69" s="669"/>
      <c r="AS69" s="669"/>
      <c r="AT69" s="669"/>
      <c r="AU69" s="669"/>
      <c r="AV69" s="669"/>
      <c r="AW69" s="669"/>
      <c r="AX69" s="669"/>
      <c r="AY69" s="669"/>
      <c r="AZ69" s="669"/>
      <c r="BA69" s="669"/>
      <c r="BB69" s="669"/>
      <c r="BC69" s="669"/>
      <c r="BD69" s="669"/>
      <c r="BE69" s="669"/>
      <c r="BF69" s="669"/>
      <c r="BG69" s="669"/>
      <c r="BH69" s="669"/>
      <c r="BI69" s="669"/>
      <c r="BJ69" s="669"/>
      <c r="BK69" s="669"/>
      <c r="BL69" s="669"/>
      <c r="BM69" s="669"/>
    </row>
    <row r="70" spans="1:65" ht="63">
      <c r="A70" s="718" t="s">
        <v>1025</v>
      </c>
      <c r="B70" s="719"/>
      <c r="C70" s="719" t="s">
        <v>1026</v>
      </c>
      <c r="D70" s="720" t="s">
        <v>1027</v>
      </c>
      <c r="E70" s="721" t="s">
        <v>1093</v>
      </c>
      <c r="F70" s="721" t="s">
        <v>1090</v>
      </c>
      <c r="G70" s="723" t="s">
        <v>1034</v>
      </c>
      <c r="H70" s="721" t="s">
        <v>1035</v>
      </c>
      <c r="I70" s="721" t="s">
        <v>1010</v>
      </c>
      <c r="J70" s="723" t="s">
        <v>1036</v>
      </c>
      <c r="K70" s="721" t="s">
        <v>942</v>
      </c>
      <c r="L70" s="724" t="s">
        <v>1037</v>
      </c>
      <c r="M70" s="725" t="s">
        <v>1038</v>
      </c>
      <c r="N70" s="724" t="s">
        <v>1094</v>
      </c>
      <c r="O70" s="696"/>
      <c r="P70" s="667"/>
      <c r="Q70" s="677"/>
      <c r="R70" s="667"/>
      <c r="S70" s="669"/>
      <c r="T70" s="669"/>
      <c r="U70" s="669"/>
      <c r="V70" s="669"/>
      <c r="W70" s="669"/>
      <c r="X70" s="669"/>
      <c r="Y70" s="669"/>
      <c r="Z70" s="669"/>
      <c r="AA70" s="669"/>
      <c r="AB70" s="669"/>
      <c r="AC70" s="669"/>
      <c r="AD70" s="669"/>
      <c r="AE70" s="669"/>
      <c r="AF70" s="669"/>
      <c r="AG70" s="669"/>
      <c r="AH70" s="669"/>
      <c r="AI70" s="669"/>
      <c r="AJ70" s="669"/>
      <c r="AK70" s="669"/>
      <c r="AL70" s="669"/>
      <c r="AM70" s="669"/>
      <c r="AN70" s="669"/>
      <c r="AO70" s="669"/>
      <c r="AP70" s="669"/>
      <c r="AQ70" s="669"/>
      <c r="AR70" s="669"/>
      <c r="AS70" s="669"/>
      <c r="AT70" s="669"/>
      <c r="AU70" s="669"/>
      <c r="AV70" s="669"/>
      <c r="AW70" s="669"/>
      <c r="AX70" s="669"/>
      <c r="AY70" s="669"/>
      <c r="AZ70" s="669"/>
      <c r="BA70" s="669"/>
      <c r="BB70" s="669"/>
      <c r="BC70" s="669"/>
      <c r="BD70" s="669"/>
      <c r="BE70" s="669"/>
      <c r="BF70" s="669"/>
      <c r="BG70" s="669"/>
      <c r="BH70" s="669"/>
      <c r="BI70" s="669"/>
      <c r="BJ70" s="669"/>
      <c r="BK70" s="669"/>
      <c r="BL70" s="669"/>
      <c r="BM70" s="669"/>
    </row>
    <row r="71" spans="1:65" ht="46.5" customHeight="1">
      <c r="A71" s="727"/>
      <c r="B71" s="728"/>
      <c r="C71" s="728"/>
      <c r="D71" s="728"/>
      <c r="E71" s="730" t="s">
        <v>432</v>
      </c>
      <c r="F71" s="730" t="s">
        <v>1095</v>
      </c>
      <c r="G71" s="732" t="s">
        <v>1096</v>
      </c>
      <c r="H71" s="730" t="s">
        <v>435</v>
      </c>
      <c r="I71" s="730" t="s">
        <v>1046</v>
      </c>
      <c r="J71" s="732" t="s">
        <v>1097</v>
      </c>
      <c r="K71" s="730" t="s">
        <v>455</v>
      </c>
      <c r="L71" s="732" t="s">
        <v>1098</v>
      </c>
      <c r="M71" s="733" t="s">
        <v>1049</v>
      </c>
      <c r="N71" s="734" t="s">
        <v>1099</v>
      </c>
      <c r="O71" s="677"/>
      <c r="P71" s="667"/>
      <c r="Q71" s="677"/>
      <c r="R71" s="667"/>
      <c r="S71" s="669"/>
      <c r="T71" s="669"/>
      <c r="U71" s="669"/>
      <c r="V71" s="669"/>
      <c r="W71" s="669"/>
      <c r="X71" s="669"/>
      <c r="Y71" s="669"/>
      <c r="Z71" s="669"/>
      <c r="AA71" s="669"/>
      <c r="AB71" s="669"/>
      <c r="AC71" s="669"/>
      <c r="AD71" s="669"/>
      <c r="AE71" s="669"/>
      <c r="AF71" s="669"/>
      <c r="AG71" s="669"/>
      <c r="AH71" s="669"/>
      <c r="AI71" s="669"/>
      <c r="AJ71" s="669"/>
      <c r="AK71" s="669"/>
      <c r="AL71" s="669"/>
      <c r="AM71" s="669"/>
      <c r="AN71" s="669"/>
      <c r="AO71" s="669"/>
      <c r="AP71" s="669"/>
      <c r="AQ71" s="669"/>
      <c r="AR71" s="669"/>
      <c r="AS71" s="669"/>
      <c r="AT71" s="669"/>
      <c r="AU71" s="669"/>
      <c r="AV71" s="669"/>
      <c r="AW71" s="669"/>
      <c r="AX71" s="669"/>
      <c r="AY71" s="669"/>
      <c r="AZ71" s="669"/>
      <c r="BA71" s="669"/>
      <c r="BB71" s="669"/>
      <c r="BC71" s="669"/>
      <c r="BD71" s="669"/>
      <c r="BE71" s="669"/>
      <c r="BF71" s="669"/>
      <c r="BG71" s="669"/>
      <c r="BH71" s="669"/>
      <c r="BI71" s="669"/>
      <c r="BJ71" s="669"/>
      <c r="BK71" s="669"/>
      <c r="BL71" s="669"/>
      <c r="BM71" s="669"/>
    </row>
    <row r="72" spans="1:65">
      <c r="A72" s="735"/>
      <c r="B72" s="665"/>
      <c r="C72" s="665"/>
      <c r="D72" s="665"/>
      <c r="E72" s="665"/>
      <c r="F72" s="665"/>
      <c r="G72" s="736"/>
      <c r="H72" s="665"/>
      <c r="I72" s="665"/>
      <c r="J72" s="736"/>
      <c r="K72" s="665"/>
      <c r="L72" s="736"/>
      <c r="M72" s="670"/>
      <c r="N72" s="737"/>
      <c r="O72" s="677"/>
      <c r="P72" s="667"/>
      <c r="Q72" s="677"/>
      <c r="R72" s="667"/>
      <c r="S72" s="669"/>
      <c r="T72" s="669"/>
      <c r="U72" s="669"/>
      <c r="V72" s="669"/>
      <c r="W72" s="669"/>
      <c r="X72" s="669"/>
      <c r="Y72" s="669"/>
      <c r="Z72" s="669"/>
      <c r="AA72" s="669"/>
      <c r="AB72" s="669"/>
      <c r="AC72" s="669"/>
      <c r="AD72" s="669"/>
      <c r="AE72" s="669"/>
      <c r="AF72" s="669"/>
      <c r="AG72" s="669"/>
      <c r="AH72" s="669"/>
      <c r="AI72" s="669"/>
      <c r="AJ72" s="669"/>
      <c r="AK72" s="669"/>
      <c r="AL72" s="669"/>
      <c r="AM72" s="669"/>
      <c r="AN72" s="669"/>
      <c r="AO72" s="669"/>
      <c r="AP72" s="669"/>
      <c r="AQ72" s="669"/>
      <c r="AR72" s="669"/>
      <c r="AS72" s="669"/>
      <c r="AT72" s="669"/>
      <c r="AU72" s="669"/>
      <c r="AV72" s="669"/>
      <c r="AW72" s="669"/>
      <c r="AX72" s="669"/>
      <c r="AY72" s="669"/>
      <c r="AZ72" s="669"/>
      <c r="BA72" s="669"/>
      <c r="BB72" s="669"/>
      <c r="BC72" s="669"/>
      <c r="BD72" s="669"/>
      <c r="BE72" s="669"/>
      <c r="BF72" s="669"/>
      <c r="BG72" s="669"/>
      <c r="BH72" s="669"/>
      <c r="BI72" s="669"/>
      <c r="BJ72" s="669"/>
      <c r="BK72" s="669"/>
      <c r="BL72" s="669"/>
      <c r="BM72" s="669"/>
    </row>
    <row r="73" spans="1:65">
      <c r="A73" s="791" t="s">
        <v>562</v>
      </c>
      <c r="C73" s="792" t="s">
        <v>1100</v>
      </c>
      <c r="D73" s="793" t="s">
        <v>1067</v>
      </c>
      <c r="E73" s="740">
        <f>'WP Att GG Support Rev 1'!C23</f>
        <v>7072818.700000002</v>
      </c>
      <c r="F73" s="695">
        <f>$L$33</f>
        <v>2.9409209304401392E-2</v>
      </c>
      <c r="G73" s="870">
        <f>E73*F73</f>
        <v>208006.00552038421</v>
      </c>
      <c r="H73" s="740">
        <f>'WP Att GG Support Rev 1'!C56</f>
        <v>5935079.120000001</v>
      </c>
      <c r="I73" s="695">
        <f>$L$43</f>
        <v>0.10811309677907913</v>
      </c>
      <c r="J73" s="870">
        <f>H73*I73</f>
        <v>641659.78329205187</v>
      </c>
      <c r="K73" s="794">
        <f>'WP Att GG Support Rev 1'!C61</f>
        <v>185753.40000000002</v>
      </c>
      <c r="L73" s="870">
        <f>G73+J73+K73</f>
        <v>1035419.1888124361</v>
      </c>
      <c r="M73" s="744">
        <v>-22820</v>
      </c>
      <c r="N73" s="737">
        <f>L73+M73</f>
        <v>1012599.1888124361</v>
      </c>
      <c r="O73" s="746"/>
      <c r="P73" s="667"/>
      <c r="Q73" s="677"/>
      <c r="R73" s="746"/>
      <c r="S73" s="746"/>
      <c r="T73" s="746"/>
      <c r="U73" s="746"/>
    </row>
    <row r="74" spans="1:65">
      <c r="A74" s="791" t="s">
        <v>1101</v>
      </c>
      <c r="C74" s="792" t="s">
        <v>1102</v>
      </c>
      <c r="D74" s="793" t="s">
        <v>1068</v>
      </c>
      <c r="E74" s="740">
        <f>'WP Att GG Support Rev 1'!D23</f>
        <v>3487897.5099999984</v>
      </c>
      <c r="F74" s="695">
        <f>$L$33</f>
        <v>2.9409209304401392E-2</v>
      </c>
      <c r="G74" s="870">
        <f>E74*F74</f>
        <v>102576.3079038904</v>
      </c>
      <c r="H74" s="740">
        <f>'WP Att GG Support Rev 1'!D56</f>
        <v>2934465.13</v>
      </c>
      <c r="I74" s="695">
        <f>$L$43</f>
        <v>0.10811309677907913</v>
      </c>
      <c r="J74" s="870">
        <f>H74*I74</f>
        <v>317254.112594523</v>
      </c>
      <c r="K74" s="794">
        <f>'WP Att GG Support Rev 1'!D61</f>
        <v>91602.60000000002</v>
      </c>
      <c r="L74" s="870">
        <f>G74+J74+K74</f>
        <v>511433.02049841342</v>
      </c>
      <c r="M74" s="744">
        <v>-11271</v>
      </c>
      <c r="N74" s="737">
        <f>L74+M74</f>
        <v>500162.02049841342</v>
      </c>
      <c r="O74" s="746"/>
      <c r="P74" s="667"/>
      <c r="Q74" s="677"/>
      <c r="R74" s="746"/>
      <c r="S74" s="746"/>
      <c r="T74" s="746"/>
      <c r="U74" s="746"/>
    </row>
    <row r="75" spans="1:65">
      <c r="A75" s="791" t="s">
        <v>1103</v>
      </c>
      <c r="C75" s="792" t="s">
        <v>1104</v>
      </c>
      <c r="D75" s="793" t="s">
        <v>1069</v>
      </c>
      <c r="E75" s="740">
        <f>'WP Att GG Support Rev 1'!E23</f>
        <v>4462295.25</v>
      </c>
      <c r="F75" s="695">
        <f>$L$33</f>
        <v>2.9409209304401392E-2</v>
      </c>
      <c r="G75" s="870">
        <f>E75*F75</f>
        <v>131232.57498528613</v>
      </c>
      <c r="H75" s="740">
        <f>'WP Att GG Support Rev 1'!E56</f>
        <v>4047235.7849999997</v>
      </c>
      <c r="I75" s="695">
        <f>$L$43</f>
        <v>0.10811309677907913</v>
      </c>
      <c r="J75" s="870">
        <f>H75*I75</f>
        <v>437559.19411145727</v>
      </c>
      <c r="K75" s="794">
        <f>'WP Att GG Support Rev 1'!E61</f>
        <v>117193.25999999997</v>
      </c>
      <c r="L75" s="870">
        <f>G75+J75+K75</f>
        <v>685985.02909674344</v>
      </c>
      <c r="M75" s="740">
        <v>-15408</v>
      </c>
      <c r="N75" s="737">
        <f>L75+M75</f>
        <v>670577.02909674344</v>
      </c>
      <c r="O75" s="746"/>
      <c r="P75" s="667"/>
      <c r="Q75" s="677"/>
      <c r="R75" s="746"/>
      <c r="S75" s="746"/>
      <c r="T75" s="746"/>
      <c r="U75" s="746"/>
    </row>
    <row r="76" spans="1:65">
      <c r="A76" s="791" t="s">
        <v>1105</v>
      </c>
      <c r="C76" s="792" t="s">
        <v>1106</v>
      </c>
      <c r="D76" s="793" t="s">
        <v>1070</v>
      </c>
      <c r="E76" s="740">
        <f>'WP Att GG Support Rev 1'!F23</f>
        <v>7706681.2699999968</v>
      </c>
      <c r="F76" s="695">
        <f t="shared" ref="F76:F88" si="0">$L$33</f>
        <v>2.9409209304401392E-2</v>
      </c>
      <c r="G76" s="870">
        <f t="shared" ref="G76:G88" si="1">E76*F76</f>
        <v>226647.40251173984</v>
      </c>
      <c r="H76" s="740">
        <f>'WP Att GG Support Rev 1'!F56</f>
        <v>6989846.0899999999</v>
      </c>
      <c r="I76" s="695">
        <f t="shared" ref="I76:I88" si="2">$L$43</f>
        <v>0.10811309677907913</v>
      </c>
      <c r="J76" s="870">
        <f t="shared" ref="J76:J88" si="3">H76*I76</f>
        <v>755693.90679903782</v>
      </c>
      <c r="K76" s="794">
        <f>'WP Att GG Support Rev 1'!F61</f>
        <v>202400.51999999993</v>
      </c>
      <c r="L76" s="870">
        <f t="shared" ref="L76:L88" si="4">G76+J76+K76</f>
        <v>1184741.8293107776</v>
      </c>
      <c r="M76" s="740">
        <v>-31658</v>
      </c>
      <c r="N76" s="737">
        <f t="shared" ref="N76:N88" si="5">L76+M76</f>
        <v>1153083.8293107776</v>
      </c>
      <c r="O76" s="746"/>
      <c r="P76" s="667"/>
      <c r="Q76" s="677"/>
      <c r="R76" s="746"/>
      <c r="S76" s="746"/>
      <c r="T76" s="746"/>
      <c r="U76" s="746"/>
    </row>
    <row r="77" spans="1:65">
      <c r="A77" s="791" t="s">
        <v>1107</v>
      </c>
      <c r="C77" s="792" t="s">
        <v>1108</v>
      </c>
      <c r="D77" s="793" t="s">
        <v>1071</v>
      </c>
      <c r="E77" s="740">
        <f>'WP Att GG Support Rev 1'!G23</f>
        <v>30458515.474915478</v>
      </c>
      <c r="F77" s="695">
        <f t="shared" si="0"/>
        <v>2.9409209304401392E-2</v>
      </c>
      <c r="G77" s="870">
        <f t="shared" si="1"/>
        <v>895760.8567031381</v>
      </c>
      <c r="H77" s="740">
        <f>'WP Att GG Support Rev 1'!G56</f>
        <v>29403288.874674577</v>
      </c>
      <c r="I77" s="695">
        <f t="shared" si="2"/>
        <v>0.10811309677907913</v>
      </c>
      <c r="J77" s="870">
        <f t="shared" si="3"/>
        <v>3178880.6157309134</v>
      </c>
      <c r="K77" s="794">
        <f>'WP Att GG Support Rev 1'!G61</f>
        <v>608939.91521480423</v>
      </c>
      <c r="L77" s="870">
        <f t="shared" si="4"/>
        <v>4683581.3876488553</v>
      </c>
      <c r="M77" s="740">
        <v>246193</v>
      </c>
      <c r="N77" s="737">
        <f t="shared" si="5"/>
        <v>4929774.3876488553</v>
      </c>
      <c r="O77" s="746"/>
      <c r="P77" s="667"/>
      <c r="Q77" s="677"/>
      <c r="R77" s="746"/>
      <c r="S77" s="746"/>
      <c r="T77" s="746"/>
      <c r="U77" s="746"/>
    </row>
    <row r="78" spans="1:65">
      <c r="A78" s="791" t="s">
        <v>1109</v>
      </c>
      <c r="C78" s="795" t="s">
        <v>1110</v>
      </c>
      <c r="D78" s="793" t="s">
        <v>1072</v>
      </c>
      <c r="E78" s="740">
        <f>'WP Att GG Support Rev 1'!H23</f>
        <v>187920084.73209459</v>
      </c>
      <c r="F78" s="695">
        <f t="shared" si="0"/>
        <v>2.9409209304401392E-2</v>
      </c>
      <c r="G78" s="870">
        <f t="shared" si="1"/>
        <v>5526581.1043870142</v>
      </c>
      <c r="H78" s="740">
        <f>'WP Att GG Support Rev 1'!H56</f>
        <v>186007727.37677571</v>
      </c>
      <c r="I78" s="695">
        <f t="shared" si="2"/>
        <v>0.10811309677907913</v>
      </c>
      <c r="J78" s="870">
        <f t="shared" si="3"/>
        <v>20109871.43154192</v>
      </c>
      <c r="K78" s="794">
        <f>'WP Att GG Support Rev 1'!H61</f>
        <v>1465109.1994932857</v>
      </c>
      <c r="L78" s="870">
        <f t="shared" si="4"/>
        <v>27101561.73542222</v>
      </c>
      <c r="M78" s="740">
        <v>1438234</v>
      </c>
      <c r="N78" s="737">
        <f t="shared" si="5"/>
        <v>28539795.73542222</v>
      </c>
      <c r="O78" s="746"/>
      <c r="P78" s="667"/>
      <c r="Q78" s="677"/>
      <c r="R78" s="746"/>
      <c r="S78" s="746"/>
      <c r="T78" s="746"/>
      <c r="U78" s="746"/>
    </row>
    <row r="79" spans="1:65">
      <c r="A79" s="791" t="s">
        <v>1111</v>
      </c>
      <c r="C79" s="792" t="s">
        <v>1112</v>
      </c>
      <c r="D79" s="793" t="s">
        <v>1073</v>
      </c>
      <c r="E79" s="740">
        <f>'WP Att GG Support Rev 1'!I23</f>
        <v>132170202.73352344</v>
      </c>
      <c r="F79" s="695">
        <f t="shared" si="0"/>
        <v>2.9409209304401392E-2</v>
      </c>
      <c r="G79" s="870">
        <f t="shared" si="1"/>
        <v>3887021.1559953559</v>
      </c>
      <c r="H79" s="740">
        <f>'WP Att GG Support Rev 1'!I56</f>
        <v>132056247.73144895</v>
      </c>
      <c r="I79" s="695">
        <f t="shared" si="2"/>
        <v>0.10811309677907913</v>
      </c>
      <c r="J79" s="870">
        <f t="shared" si="3"/>
        <v>14277009.891272189</v>
      </c>
      <c r="K79" s="794">
        <f>'WP Att GG Support Rev 1'!I61</f>
        <v>320569.48347439978</v>
      </c>
      <c r="L79" s="870">
        <f t="shared" si="4"/>
        <v>18484600.530741945</v>
      </c>
      <c r="M79" s="740">
        <v>-229889</v>
      </c>
      <c r="N79" s="737">
        <f t="shared" si="5"/>
        <v>18254711.530741945</v>
      </c>
      <c r="O79" s="746"/>
      <c r="P79" s="667"/>
      <c r="Q79" s="677"/>
      <c r="R79" s="746"/>
      <c r="S79" s="746"/>
      <c r="T79" s="746"/>
      <c r="U79" s="746"/>
    </row>
    <row r="80" spans="1:65">
      <c r="A80" s="791" t="s">
        <v>1113</v>
      </c>
      <c r="C80" s="796" t="s">
        <v>1114</v>
      </c>
      <c r="D80" s="793" t="s">
        <v>1074</v>
      </c>
      <c r="E80" s="740">
        <f>'WP Att GG Support Rev 1'!J23</f>
        <v>468201.81000000023</v>
      </c>
      <c r="F80" s="695">
        <f t="shared" si="0"/>
        <v>2.9409209304401392E-2</v>
      </c>
      <c r="G80" s="870">
        <f t="shared" si="1"/>
        <v>13769.445026989579</v>
      </c>
      <c r="H80" s="740">
        <f>'WP Att GG Support Rev 1'!J56</f>
        <v>424829.52000000008</v>
      </c>
      <c r="I80" s="695">
        <f t="shared" si="2"/>
        <v>0.10811309677907913</v>
      </c>
      <c r="J80" s="870">
        <f t="shared" si="3"/>
        <v>45929.63501036974</v>
      </c>
      <c r="K80" s="794">
        <f>'WP Att GG Support Rev 1'!J61</f>
        <v>12296.400000000003</v>
      </c>
      <c r="L80" s="870">
        <f t="shared" si="4"/>
        <v>71995.480037359332</v>
      </c>
      <c r="M80" s="740">
        <v>-1638</v>
      </c>
      <c r="N80" s="737">
        <f t="shared" si="5"/>
        <v>70357.480037359332</v>
      </c>
      <c r="O80" s="746"/>
      <c r="P80" s="667"/>
      <c r="Q80" s="677"/>
      <c r="R80" s="746"/>
      <c r="S80" s="746"/>
      <c r="T80" s="746"/>
      <c r="U80" s="746"/>
    </row>
    <row r="81" spans="1:21">
      <c r="A81" s="791" t="s">
        <v>1115</v>
      </c>
      <c r="C81" s="796" t="s">
        <v>1116</v>
      </c>
      <c r="D81" s="793" t="s">
        <v>1075</v>
      </c>
      <c r="E81" s="740">
        <f>'WP Att GG Support Rev 1'!K23</f>
        <v>127736.33000000006</v>
      </c>
      <c r="F81" s="695">
        <f t="shared" si="0"/>
        <v>2.9409209304401392E-2</v>
      </c>
      <c r="G81" s="870">
        <f t="shared" si="1"/>
        <v>3756.6244647460885</v>
      </c>
      <c r="H81" s="740">
        <f>'WP Att GG Support Rev 1'!K56</f>
        <v>111427.73000000001</v>
      </c>
      <c r="I81" s="695">
        <f t="shared" si="2"/>
        <v>0.10811309677907913</v>
      </c>
      <c r="J81" s="870">
        <f t="shared" si="3"/>
        <v>12046.7969573631</v>
      </c>
      <c r="K81" s="794">
        <f>'WP Att GG Support Rev 1'!K61</f>
        <v>3354.72</v>
      </c>
      <c r="L81" s="870">
        <f t="shared" si="4"/>
        <v>19158.141422109187</v>
      </c>
      <c r="M81" s="740">
        <v>-483</v>
      </c>
      <c r="N81" s="737">
        <f t="shared" si="5"/>
        <v>18675.141422109187</v>
      </c>
      <c r="O81" s="746"/>
      <c r="P81" s="667"/>
      <c r="Q81" s="677"/>
      <c r="R81" s="746"/>
      <c r="S81" s="746"/>
      <c r="T81" s="746"/>
      <c r="U81" s="746"/>
    </row>
    <row r="82" spans="1:21">
      <c r="A82" s="791" t="s">
        <v>1117</v>
      </c>
      <c r="C82" s="797" t="s">
        <v>1118</v>
      </c>
      <c r="D82" s="793" t="s">
        <v>1076</v>
      </c>
      <c r="E82" s="740">
        <f>'WP Att GG Support Rev 1'!L23</f>
        <v>47486.62999999999</v>
      </c>
      <c r="F82" s="695">
        <f t="shared" si="0"/>
        <v>2.9409209304401392E-2</v>
      </c>
      <c r="G82" s="870">
        <f t="shared" si="1"/>
        <v>1396.544240830666</v>
      </c>
      <c r="H82" s="740">
        <f>'WP Att GG Support Rev 1'!L56</f>
        <v>39112.219999999972</v>
      </c>
      <c r="I82" s="695">
        <f t="shared" si="2"/>
        <v>0.10811309677907913</v>
      </c>
      <c r="J82" s="870">
        <f t="shared" si="3"/>
        <v>4228.5432261046308</v>
      </c>
      <c r="K82" s="794">
        <f>'WP Att GG Support Rev 1'!L61</f>
        <v>1118.04</v>
      </c>
      <c r="L82" s="870">
        <f t="shared" si="4"/>
        <v>6743.127466935297</v>
      </c>
      <c r="M82" s="740">
        <v>7398</v>
      </c>
      <c r="N82" s="737">
        <f t="shared" si="5"/>
        <v>14141.127466935297</v>
      </c>
      <c r="O82" s="746"/>
      <c r="P82" s="667"/>
      <c r="Q82" s="677"/>
      <c r="R82" s="746"/>
      <c r="S82" s="746"/>
      <c r="T82" s="746"/>
      <c r="U82" s="746"/>
    </row>
    <row r="83" spans="1:21">
      <c r="A83" s="791" t="s">
        <v>1119</v>
      </c>
      <c r="C83" s="797" t="s">
        <v>1120</v>
      </c>
      <c r="D83" s="793" t="s">
        <v>1077</v>
      </c>
      <c r="E83" s="740">
        <f>'WP Att GG Support Rev 1'!M23</f>
        <v>230828.43999999997</v>
      </c>
      <c r="F83" s="695">
        <f t="shared" si="0"/>
        <v>2.9409209304401392E-2</v>
      </c>
      <c r="G83" s="870">
        <f t="shared" si="1"/>
        <v>6788.4819053684578</v>
      </c>
      <c r="H83" s="740">
        <f>'WP Att GG Support Rev 1'!M56</f>
        <v>200222.50999999995</v>
      </c>
      <c r="I83" s="695">
        <f t="shared" si="2"/>
        <v>0.10811309677907913</v>
      </c>
      <c r="J83" s="870">
        <f t="shared" si="3"/>
        <v>21646.675600980132</v>
      </c>
      <c r="K83" s="794">
        <f>'WP Att GG Support Rev 1'!M61</f>
        <v>4957.2000000000007</v>
      </c>
      <c r="L83" s="870">
        <f t="shared" si="4"/>
        <v>33392.357506348591</v>
      </c>
      <c r="M83" s="740">
        <v>36508</v>
      </c>
      <c r="N83" s="737">
        <f t="shared" si="5"/>
        <v>69900.357506348591</v>
      </c>
      <c r="O83" s="746"/>
      <c r="P83" s="667"/>
      <c r="Q83" s="677"/>
      <c r="R83" s="746"/>
      <c r="S83" s="746"/>
      <c r="T83" s="746"/>
      <c r="U83" s="746"/>
    </row>
    <row r="84" spans="1:21">
      <c r="A84" s="791" t="s">
        <v>1121</v>
      </c>
      <c r="C84" s="796" t="s">
        <v>1122</v>
      </c>
      <c r="D84" s="793" t="s">
        <v>1078</v>
      </c>
      <c r="E84" s="740">
        <f>'WP Att GG Support Rev 1'!N23</f>
        <v>3957255.7844287585</v>
      </c>
      <c r="F84" s="695">
        <f t="shared" si="0"/>
        <v>2.9409209304401392E-2</v>
      </c>
      <c r="G84" s="870">
        <f t="shared" si="1"/>
        <v>116379.76363531848</v>
      </c>
      <c r="H84" s="740">
        <f>'WP Att GG Support Rev 1'!N56</f>
        <v>3779383.9510306688</v>
      </c>
      <c r="I84" s="695">
        <f t="shared" si="2"/>
        <v>0.10811309677907913</v>
      </c>
      <c r="J84" s="870">
        <f t="shared" si="3"/>
        <v>408600.90286307712</v>
      </c>
      <c r="K84" s="794">
        <f>'WP Att GG Support Rev 1'!N61</f>
        <v>77260.830116008103</v>
      </c>
      <c r="L84" s="870">
        <f t="shared" si="4"/>
        <v>602241.49661440367</v>
      </c>
      <c r="M84" s="740">
        <v>705488.5</v>
      </c>
      <c r="N84" s="737">
        <f t="shared" si="5"/>
        <v>1307729.9966144036</v>
      </c>
      <c r="O84" s="746"/>
      <c r="P84" s="667"/>
      <c r="Q84" s="677"/>
      <c r="R84" s="746"/>
      <c r="S84" s="746"/>
      <c r="T84" s="746"/>
      <c r="U84" s="746"/>
    </row>
    <row r="85" spans="1:21">
      <c r="A85" s="791" t="s">
        <v>1123</v>
      </c>
      <c r="C85" s="797" t="s">
        <v>1124</v>
      </c>
      <c r="D85" s="793" t="s">
        <v>1079</v>
      </c>
      <c r="E85" s="740">
        <f>'WP Att GG Support Rev 1'!O23</f>
        <v>20463074.690626998</v>
      </c>
      <c r="F85" s="695">
        <f t="shared" si="0"/>
        <v>2.9409209304401392E-2</v>
      </c>
      <c r="G85" s="870">
        <f t="shared" si="1"/>
        <v>601802.84658824815</v>
      </c>
      <c r="H85" s="740">
        <f>'WP Att GG Support Rev 1'!O56</f>
        <v>20099081.872632198</v>
      </c>
      <c r="I85" s="695">
        <f t="shared" si="2"/>
        <v>0.10811309677907913</v>
      </c>
      <c r="J85" s="870">
        <f t="shared" si="3"/>
        <v>2172973.9836665196</v>
      </c>
      <c r="K85" s="794">
        <f>'WP Att GG Support Rev 1'!O61</f>
        <v>412647.39361014852</v>
      </c>
      <c r="L85" s="870">
        <f t="shared" si="4"/>
        <v>3187424.2238649167</v>
      </c>
      <c r="M85" s="740">
        <v>36121.5</v>
      </c>
      <c r="N85" s="737">
        <f t="shared" si="5"/>
        <v>3223545.7238649167</v>
      </c>
      <c r="O85" s="746"/>
      <c r="P85" s="667"/>
      <c r="Q85" s="677"/>
      <c r="R85" s="746"/>
      <c r="S85" s="746"/>
      <c r="T85" s="746"/>
      <c r="U85" s="746"/>
    </row>
    <row r="86" spans="1:21">
      <c r="A86" s="791" t="s">
        <v>1125</v>
      </c>
      <c r="C86" s="797" t="s">
        <v>1126</v>
      </c>
      <c r="D86" s="793" t="s">
        <v>1081</v>
      </c>
      <c r="E86" s="740">
        <f>'WP Att GG Support Rev 1'!Q23</f>
        <v>4141814.8192307698</v>
      </c>
      <c r="F86" s="695">
        <f t="shared" si="0"/>
        <v>2.9409209304401392E-2</v>
      </c>
      <c r="G86" s="870">
        <f t="shared" si="1"/>
        <v>121807.49891882912</v>
      </c>
      <c r="H86" s="740">
        <f>'WP Att GG Support Rev 1'!Q56</f>
        <v>4120206.4043876836</v>
      </c>
      <c r="I86" s="695">
        <f t="shared" si="2"/>
        <v>0.10811309677907913</v>
      </c>
      <c r="J86" s="870">
        <f t="shared" si="3"/>
        <v>445448.27374734724</v>
      </c>
      <c r="K86" s="794">
        <f>'WP Att GG Support Rev 1'!Q61</f>
        <v>80390.19969096448</v>
      </c>
      <c r="L86" s="870">
        <f t="shared" si="4"/>
        <v>647645.97235714085</v>
      </c>
      <c r="M86" s="740">
        <v>0</v>
      </c>
      <c r="N86" s="737">
        <f t="shared" si="5"/>
        <v>647645.97235714085</v>
      </c>
      <c r="O86" s="746"/>
      <c r="P86" s="667"/>
      <c r="Q86" s="677"/>
      <c r="R86" s="746"/>
      <c r="S86" s="746"/>
      <c r="T86" s="746"/>
      <c r="U86" s="746"/>
    </row>
    <row r="87" spans="1:21">
      <c r="A87" s="791" t="s">
        <v>1127</v>
      </c>
      <c r="C87" s="797" t="s">
        <v>1128</v>
      </c>
      <c r="D87" s="793" t="s">
        <v>1082</v>
      </c>
      <c r="E87" s="740">
        <f>'WP Att GG Support Rev 1'!R23</f>
        <v>3361346.5200000005</v>
      </c>
      <c r="F87" s="695">
        <f t="shared" si="0"/>
        <v>2.9409209304401392E-2</v>
      </c>
      <c r="G87" s="870">
        <f t="shared" si="1"/>
        <v>98854.543351301254</v>
      </c>
      <c r="H87" s="740">
        <f>'WP Att GG Support Rev 1'!R56</f>
        <v>3344609.1294080019</v>
      </c>
      <c r="I87" s="695">
        <f t="shared" si="2"/>
        <v>0.10811309677907913</v>
      </c>
      <c r="J87" s="870">
        <f t="shared" si="3"/>
        <v>361596.05049587891</v>
      </c>
      <c r="K87" s="794">
        <f>'WP Att GG Support Rev 1'!R61</f>
        <v>65488.03177295519</v>
      </c>
      <c r="L87" s="870">
        <f t="shared" si="4"/>
        <v>525938.62562013534</v>
      </c>
      <c r="M87" s="740">
        <v>0</v>
      </c>
      <c r="N87" s="737">
        <f t="shared" si="5"/>
        <v>525938.62562013534</v>
      </c>
      <c r="O87" s="746"/>
      <c r="P87" s="667"/>
      <c r="Q87" s="677"/>
      <c r="R87" s="746"/>
      <c r="S87" s="746"/>
      <c r="T87" s="746"/>
      <c r="U87" s="746"/>
    </row>
    <row r="88" spans="1:21">
      <c r="A88" s="791" t="s">
        <v>1129</v>
      </c>
      <c r="C88" s="797" t="s">
        <v>1130</v>
      </c>
      <c r="D88" s="793" t="s">
        <v>1080</v>
      </c>
      <c r="E88" s="740">
        <f>'WP Att GG Support Rev 1'!P23</f>
        <v>262037.76923076922</v>
      </c>
      <c r="F88" s="695">
        <f t="shared" si="0"/>
        <v>2.9409209304401392E-2</v>
      </c>
      <c r="G88" s="870">
        <f t="shared" si="1"/>
        <v>7706.3236009661232</v>
      </c>
      <c r="H88" s="740">
        <f>'WP Att GG Support Rev 1'!P56</f>
        <v>237168.44532051281</v>
      </c>
      <c r="I88" s="695">
        <f t="shared" si="2"/>
        <v>0.10811309677907913</v>
      </c>
      <c r="J88" s="870">
        <f t="shared" si="3"/>
        <v>25641.015081880338</v>
      </c>
      <c r="K88" s="794">
        <f>'WP Att GG Support Rev 1'!P61</f>
        <v>7526.9687500000009</v>
      </c>
      <c r="L88" s="870">
        <f t="shared" si="4"/>
        <v>40874.307432846457</v>
      </c>
      <c r="M88" s="740">
        <v>0</v>
      </c>
      <c r="N88" s="737">
        <f t="shared" si="5"/>
        <v>40874.307432846457</v>
      </c>
      <c r="O88" s="746"/>
      <c r="P88" s="667"/>
      <c r="Q88" s="677"/>
      <c r="R88" s="746"/>
      <c r="S88" s="746"/>
      <c r="T88" s="746"/>
      <c r="U88" s="746"/>
    </row>
    <row r="89" spans="1:21">
      <c r="A89" s="738"/>
      <c r="C89" s="746"/>
      <c r="D89" s="746"/>
      <c r="E89" s="746"/>
      <c r="F89" s="746"/>
      <c r="G89" s="748"/>
      <c r="H89" s="746"/>
      <c r="I89" s="746"/>
      <c r="J89" s="748"/>
      <c r="K89" s="746"/>
      <c r="L89" s="748"/>
      <c r="M89" s="746"/>
      <c r="N89" s="748"/>
      <c r="O89" s="746"/>
      <c r="P89" s="667"/>
      <c r="Q89" s="677"/>
      <c r="R89" s="746"/>
      <c r="S89" s="746"/>
      <c r="T89" s="746"/>
      <c r="U89" s="746"/>
    </row>
    <row r="90" spans="1:21">
      <c r="A90" s="738"/>
      <c r="C90" s="746"/>
      <c r="D90" s="746"/>
      <c r="E90" s="746"/>
      <c r="F90" s="746"/>
      <c r="G90" s="748"/>
      <c r="H90" s="746"/>
      <c r="I90" s="746"/>
      <c r="J90" s="748"/>
      <c r="K90" s="746"/>
      <c r="L90" s="748"/>
      <c r="M90" s="746"/>
      <c r="N90" s="748"/>
      <c r="O90" s="746"/>
      <c r="P90" s="667"/>
      <c r="Q90" s="677"/>
      <c r="R90" s="746"/>
      <c r="S90" s="746"/>
      <c r="T90" s="746"/>
      <c r="U90" s="746"/>
    </row>
    <row r="91" spans="1:21">
      <c r="A91" s="738"/>
      <c r="C91" s="746"/>
      <c r="D91" s="746"/>
      <c r="E91" s="746"/>
      <c r="F91" s="746"/>
      <c r="G91" s="748"/>
      <c r="H91" s="746"/>
      <c r="I91" s="746"/>
      <c r="J91" s="748"/>
      <c r="K91" s="746"/>
      <c r="L91" s="748"/>
      <c r="M91" s="746"/>
      <c r="N91" s="748"/>
      <c r="O91" s="746"/>
      <c r="P91" s="667"/>
      <c r="Q91" s="677"/>
      <c r="R91" s="746"/>
      <c r="S91" s="746"/>
      <c r="T91" s="746"/>
      <c r="U91" s="746"/>
    </row>
    <row r="92" spans="1:21">
      <c r="A92" s="749"/>
      <c r="B92" s="750"/>
      <c r="C92" s="751"/>
      <c r="D92" s="751"/>
      <c r="E92" s="751"/>
      <c r="F92" s="751"/>
      <c r="G92" s="752"/>
      <c r="H92" s="751"/>
      <c r="I92" s="751"/>
      <c r="J92" s="752"/>
      <c r="K92" s="751"/>
      <c r="L92" s="752"/>
      <c r="M92" s="751"/>
      <c r="N92" s="752"/>
      <c r="O92" s="746"/>
      <c r="P92" s="667"/>
      <c r="Q92" s="677"/>
      <c r="R92" s="746"/>
      <c r="S92" s="746"/>
      <c r="T92" s="746"/>
      <c r="U92" s="746"/>
    </row>
    <row r="93" spans="1:21">
      <c r="A93" s="676" t="s">
        <v>1053</v>
      </c>
      <c r="B93" s="707"/>
      <c r="C93" s="665" t="s">
        <v>1131</v>
      </c>
      <c r="D93" s="665"/>
      <c r="E93" s="857">
        <f>SUM(E73:E92)</f>
        <v>406338278.46405077</v>
      </c>
      <c r="F93" s="699"/>
      <c r="G93" s="670"/>
      <c r="H93" s="670"/>
      <c r="I93" s="670"/>
      <c r="J93" s="670"/>
      <c r="K93" s="670"/>
      <c r="L93" s="753">
        <f>SUM(L73:L92)</f>
        <v>58822736.453853585</v>
      </c>
      <c r="M93" s="753">
        <f>SUM(M73:M92)</f>
        <v>2156776</v>
      </c>
      <c r="N93" s="753">
        <f>SUM(N73:N92)</f>
        <v>60979512.453853585</v>
      </c>
      <c r="O93" s="746"/>
      <c r="P93" s="667"/>
      <c r="Q93" s="677"/>
      <c r="R93" s="746"/>
      <c r="S93" s="746"/>
      <c r="T93" s="746"/>
      <c r="U93" s="746"/>
    </row>
    <row r="94" spans="1:21">
      <c r="A94" s="754"/>
      <c r="B94" s="746"/>
      <c r="C94" s="746"/>
      <c r="D94" s="746"/>
      <c r="E94" s="746"/>
      <c r="F94" s="746"/>
      <c r="G94" s="746"/>
      <c r="H94" s="746"/>
      <c r="I94" s="746"/>
      <c r="J94" s="746"/>
      <c r="K94" s="746"/>
      <c r="L94" s="746"/>
      <c r="M94" s="746"/>
      <c r="N94" s="746"/>
      <c r="O94" s="746"/>
      <c r="P94" s="667"/>
      <c r="Q94" s="677"/>
      <c r="R94" s="746"/>
      <c r="S94" s="746"/>
      <c r="T94" s="746"/>
      <c r="U94" s="746"/>
    </row>
    <row r="95" spans="1:21">
      <c r="A95" s="755">
        <v>3</v>
      </c>
      <c r="B95" s="746"/>
      <c r="C95" s="714" t="s">
        <v>1055</v>
      </c>
      <c r="D95" s="746"/>
      <c r="E95" s="860"/>
      <c r="F95" s="746"/>
      <c r="G95" s="871"/>
      <c r="H95" s="746"/>
      <c r="I95" s="746"/>
      <c r="J95" s="871"/>
      <c r="K95" s="871"/>
      <c r="L95" s="753">
        <f>L93</f>
        <v>58822736.453853585</v>
      </c>
      <c r="M95" s="746"/>
      <c r="N95" s="746"/>
      <c r="O95" s="746"/>
      <c r="P95" s="667"/>
      <c r="Q95" s="677"/>
      <c r="R95" s="746"/>
      <c r="S95" s="746"/>
      <c r="T95" s="746"/>
      <c r="U95" s="746"/>
    </row>
    <row r="96" spans="1:21">
      <c r="A96" s="746"/>
      <c r="B96" s="746"/>
      <c r="C96" s="746"/>
      <c r="D96" s="746"/>
      <c r="E96" s="746"/>
      <c r="F96" s="746"/>
      <c r="G96" s="746"/>
      <c r="H96" s="746"/>
      <c r="I96" s="746"/>
      <c r="J96" s="746"/>
      <c r="K96" s="746"/>
      <c r="L96" s="746"/>
      <c r="M96" s="746"/>
      <c r="N96" s="746"/>
      <c r="O96" s="746"/>
      <c r="P96" s="667"/>
      <c r="Q96" s="677"/>
      <c r="R96" s="746"/>
      <c r="S96" s="746"/>
      <c r="T96" s="746"/>
      <c r="U96" s="746"/>
    </row>
    <row r="97" spans="1:21">
      <c r="A97" s="746"/>
      <c r="B97" s="746"/>
      <c r="C97" s="746"/>
      <c r="D97" s="746"/>
      <c r="E97" s="746"/>
      <c r="F97" s="746"/>
      <c r="G97" s="746"/>
      <c r="H97" s="746"/>
      <c r="I97" s="746"/>
      <c r="J97" s="746"/>
      <c r="K97" s="746"/>
      <c r="L97" s="746"/>
      <c r="M97" s="746"/>
      <c r="N97" s="746"/>
      <c r="O97" s="746"/>
      <c r="P97" s="667"/>
      <c r="Q97" s="746"/>
      <c r="R97" s="746"/>
      <c r="S97" s="746"/>
      <c r="T97" s="746"/>
      <c r="U97" s="746"/>
    </row>
    <row r="98" spans="1:21">
      <c r="A98" s="714" t="s">
        <v>705</v>
      </c>
      <c r="B98" s="746"/>
      <c r="C98" s="746"/>
      <c r="D98" s="746"/>
      <c r="E98" s="746"/>
      <c r="F98" s="746"/>
      <c r="G98" s="746"/>
      <c r="H98" s="746"/>
      <c r="I98" s="746"/>
      <c r="J98" s="746"/>
      <c r="K98" s="746"/>
      <c r="L98" s="746"/>
      <c r="M98" s="746"/>
      <c r="N98" s="746"/>
      <c r="O98" s="746"/>
      <c r="P98" s="667"/>
      <c r="Q98" s="746"/>
      <c r="R98" s="746"/>
      <c r="S98" s="746"/>
      <c r="T98" s="746"/>
      <c r="U98" s="746"/>
    </row>
    <row r="99" spans="1:21" ht="15.75" thickBot="1">
      <c r="A99" s="756" t="s">
        <v>706</v>
      </c>
      <c r="B99" s="746"/>
      <c r="C99" s="746"/>
      <c r="D99" s="746"/>
      <c r="E99" s="746"/>
      <c r="F99" s="746"/>
      <c r="G99" s="746"/>
      <c r="H99" s="746"/>
      <c r="I99" s="746"/>
      <c r="J99" s="746"/>
      <c r="K99" s="746"/>
      <c r="L99" s="746"/>
      <c r="M99" s="746"/>
      <c r="N99" s="746"/>
      <c r="O99" s="746"/>
      <c r="P99" s="746"/>
      <c r="Q99" s="746"/>
      <c r="R99" s="746"/>
      <c r="S99" s="746"/>
      <c r="T99" s="746"/>
      <c r="U99" s="746"/>
    </row>
    <row r="100" spans="1:21" ht="33" customHeight="1">
      <c r="A100" s="757" t="s">
        <v>707</v>
      </c>
      <c r="B100" s="758"/>
      <c r="C100" s="886" t="s">
        <v>1132</v>
      </c>
      <c r="D100" s="886"/>
      <c r="E100" s="886"/>
      <c r="F100" s="886"/>
      <c r="G100" s="886"/>
      <c r="H100" s="886"/>
      <c r="I100" s="886"/>
      <c r="J100" s="886"/>
      <c r="K100" s="886"/>
      <c r="L100" s="886"/>
      <c r="M100" s="886"/>
      <c r="N100" s="886"/>
      <c r="O100" s="746"/>
      <c r="P100" s="746"/>
      <c r="Q100" s="746"/>
      <c r="R100" s="746"/>
      <c r="S100" s="746"/>
      <c r="T100" s="746"/>
      <c r="U100" s="746"/>
    </row>
    <row r="101" spans="1:21" ht="34.5" customHeight="1">
      <c r="A101" s="757" t="s">
        <v>709</v>
      </c>
      <c r="B101" s="758"/>
      <c r="C101" s="886" t="s">
        <v>1133</v>
      </c>
      <c r="D101" s="886"/>
      <c r="E101" s="886"/>
      <c r="F101" s="886"/>
      <c r="G101" s="886"/>
      <c r="H101" s="886"/>
      <c r="I101" s="886"/>
      <c r="J101" s="886"/>
      <c r="K101" s="886"/>
      <c r="L101" s="886"/>
      <c r="M101" s="886"/>
      <c r="N101" s="886"/>
      <c r="O101" s="746"/>
      <c r="P101" s="746"/>
      <c r="Q101" s="746"/>
      <c r="R101" s="746"/>
      <c r="S101" s="746"/>
      <c r="T101" s="746"/>
      <c r="U101" s="746"/>
    </row>
    <row r="102" spans="1:21" ht="34.5" customHeight="1">
      <c r="A102" s="757" t="s">
        <v>711</v>
      </c>
      <c r="B102" s="758"/>
      <c r="C102" s="887" t="s">
        <v>1134</v>
      </c>
      <c r="D102" s="888"/>
      <c r="E102" s="888"/>
      <c r="F102" s="888"/>
      <c r="G102" s="888"/>
      <c r="H102" s="888"/>
      <c r="I102" s="888"/>
      <c r="J102" s="888"/>
      <c r="K102" s="888"/>
      <c r="L102" s="888"/>
      <c r="M102" s="888"/>
      <c r="N102" s="888"/>
      <c r="O102" s="746"/>
      <c r="P102" s="746"/>
      <c r="Q102" s="746"/>
      <c r="R102" s="746"/>
      <c r="S102" s="746"/>
      <c r="T102" s="746"/>
      <c r="U102" s="746"/>
    </row>
    <row r="103" spans="1:21">
      <c r="A103" s="757" t="s">
        <v>713</v>
      </c>
      <c r="B103" s="758"/>
      <c r="C103" s="889" t="s">
        <v>1135</v>
      </c>
      <c r="D103" s="889"/>
      <c r="E103" s="889"/>
      <c r="F103" s="889"/>
      <c r="G103" s="889"/>
      <c r="H103" s="889"/>
      <c r="I103" s="889"/>
      <c r="J103" s="889"/>
      <c r="K103" s="889"/>
      <c r="L103" s="889"/>
      <c r="M103" s="889"/>
      <c r="N103" s="889"/>
      <c r="O103" s="746"/>
      <c r="P103" s="746"/>
      <c r="Q103" s="746"/>
      <c r="R103" s="746"/>
      <c r="S103" s="746"/>
      <c r="T103" s="746"/>
      <c r="U103" s="746"/>
    </row>
    <row r="104" spans="1:21">
      <c r="A104" s="759" t="s">
        <v>715</v>
      </c>
      <c r="B104" s="758"/>
      <c r="C104" s="890" t="s">
        <v>1062</v>
      </c>
      <c r="D104" s="890"/>
      <c r="E104" s="890"/>
      <c r="F104" s="890"/>
      <c r="G104" s="890"/>
      <c r="H104" s="890"/>
      <c r="I104" s="890"/>
      <c r="J104" s="890"/>
      <c r="K104" s="890"/>
      <c r="L104" s="890"/>
      <c r="M104" s="890"/>
      <c r="N104" s="890"/>
      <c r="O104" s="746"/>
      <c r="P104" s="746"/>
      <c r="Q104" s="746"/>
      <c r="R104" s="746"/>
      <c r="S104" s="746"/>
      <c r="T104" s="746"/>
      <c r="U104" s="746"/>
    </row>
    <row r="105" spans="1:21">
      <c r="A105" s="759" t="s">
        <v>717</v>
      </c>
      <c r="B105" s="758"/>
      <c r="C105" s="891" t="s">
        <v>1063</v>
      </c>
      <c r="D105" s="890"/>
      <c r="E105" s="890"/>
      <c r="F105" s="890"/>
      <c r="G105" s="890"/>
      <c r="H105" s="890"/>
      <c r="I105" s="890"/>
      <c r="J105" s="890"/>
      <c r="K105" s="890"/>
      <c r="L105" s="890"/>
      <c r="M105" s="890"/>
      <c r="N105" s="890"/>
      <c r="O105" s="746"/>
      <c r="P105" s="746"/>
      <c r="Q105" s="746"/>
      <c r="R105" s="746"/>
      <c r="S105" s="746"/>
      <c r="T105" s="746"/>
      <c r="U105" s="746"/>
    </row>
    <row r="106" spans="1:21">
      <c r="A106" s="759" t="s">
        <v>721</v>
      </c>
      <c r="B106" s="758"/>
      <c r="C106" s="885" t="s">
        <v>1136</v>
      </c>
      <c r="D106" s="885"/>
      <c r="E106" s="885"/>
      <c r="F106" s="885"/>
      <c r="G106" s="885"/>
      <c r="H106" s="885"/>
      <c r="I106" s="885"/>
      <c r="J106" s="885"/>
      <c r="K106" s="885"/>
      <c r="L106" s="885"/>
      <c r="M106" s="885"/>
      <c r="N106" s="885"/>
      <c r="O106" s="746"/>
      <c r="P106" s="746"/>
      <c r="Q106" s="746"/>
      <c r="R106" s="746"/>
      <c r="S106" s="746"/>
      <c r="T106" s="746"/>
      <c r="U106" s="746"/>
    </row>
    <row r="107" spans="1:21">
      <c r="A107" s="760" t="s">
        <v>723</v>
      </c>
      <c r="B107" s="669"/>
      <c r="C107" s="885" t="s">
        <v>1137</v>
      </c>
      <c r="D107" s="885"/>
      <c r="E107" s="885"/>
      <c r="F107" s="885"/>
      <c r="G107" s="885"/>
      <c r="H107" s="885"/>
      <c r="I107" s="885"/>
      <c r="J107" s="885"/>
      <c r="K107" s="885"/>
      <c r="L107" s="885"/>
      <c r="M107" s="885"/>
      <c r="N107" s="885"/>
      <c r="O107" s="746"/>
      <c r="P107" s="746"/>
      <c r="Q107" s="746"/>
      <c r="R107" s="746"/>
      <c r="S107" s="746"/>
      <c r="T107" s="746"/>
      <c r="U107" s="746"/>
    </row>
    <row r="108" spans="1:21">
      <c r="A108" s="761"/>
      <c r="B108" s="746"/>
      <c r="C108" s="746"/>
      <c r="D108" s="746"/>
      <c r="E108" s="746"/>
      <c r="F108" s="746"/>
      <c r="G108" s="746"/>
      <c r="H108" s="746"/>
      <c r="I108" s="746"/>
      <c r="J108" s="746"/>
      <c r="K108" s="746"/>
      <c r="L108" s="746"/>
      <c r="M108" s="746"/>
      <c r="N108" s="746"/>
      <c r="O108" s="746"/>
      <c r="P108" s="746"/>
      <c r="Q108" s="746"/>
      <c r="R108" s="746"/>
      <c r="S108" s="746"/>
      <c r="T108" s="746"/>
      <c r="U108" s="746"/>
    </row>
    <row r="109" spans="1:21" ht="15.75">
      <c r="A109" s="762"/>
      <c r="B109" s="368"/>
      <c r="C109" s="763"/>
      <c r="D109" s="698"/>
      <c r="E109" s="699"/>
      <c r="F109" s="699"/>
      <c r="G109" s="670"/>
      <c r="H109" s="714"/>
      <c r="I109" s="714"/>
      <c r="J109" s="694"/>
      <c r="K109" s="714"/>
      <c r="M109" s="670"/>
      <c r="N109" s="764"/>
      <c r="O109" s="746"/>
      <c r="P109" s="746"/>
      <c r="Q109" s="746"/>
      <c r="R109" s="746"/>
      <c r="S109" s="746"/>
      <c r="T109" s="746"/>
      <c r="U109" s="746"/>
    </row>
    <row r="110" spans="1:21" ht="15.75">
      <c r="A110" s="762"/>
      <c r="B110" s="368"/>
      <c r="C110" s="763"/>
      <c r="D110" s="698"/>
      <c r="E110" s="699"/>
      <c r="F110" s="699"/>
      <c r="G110" s="670"/>
      <c r="H110" s="714"/>
      <c r="I110" s="714"/>
      <c r="J110" s="694"/>
      <c r="K110" s="714"/>
      <c r="M110" s="670"/>
      <c r="N110" s="692"/>
      <c r="O110" s="746"/>
      <c r="P110" s="746"/>
      <c r="Q110" s="746"/>
      <c r="R110" s="746"/>
      <c r="S110" s="746"/>
      <c r="T110" s="746"/>
      <c r="U110" s="746"/>
    </row>
    <row r="111" spans="1:21">
      <c r="C111" s="746"/>
      <c r="D111" s="746"/>
      <c r="E111" s="746"/>
      <c r="F111" s="746"/>
      <c r="G111" s="746"/>
      <c r="H111" s="746"/>
      <c r="I111" s="746"/>
      <c r="J111" s="746"/>
      <c r="K111" s="746"/>
      <c r="L111" s="746"/>
      <c r="M111" s="746"/>
      <c r="N111" s="746"/>
      <c r="O111" s="746"/>
      <c r="P111" s="746"/>
      <c r="Q111" s="746"/>
      <c r="R111" s="746"/>
      <c r="S111" s="746"/>
      <c r="T111" s="746"/>
      <c r="U111" s="746"/>
    </row>
    <row r="112" spans="1:21">
      <c r="C112" s="746"/>
      <c r="D112" s="746"/>
      <c r="E112" s="746"/>
      <c r="F112" s="746"/>
      <c r="G112" s="746"/>
      <c r="H112" s="746"/>
      <c r="I112" s="746"/>
      <c r="J112" s="746"/>
      <c r="K112" s="746"/>
      <c r="L112" s="746"/>
      <c r="M112" s="746"/>
      <c r="N112" s="746"/>
      <c r="O112" s="746"/>
      <c r="P112" s="746"/>
      <c r="Q112" s="746"/>
      <c r="R112" s="746"/>
      <c r="S112" s="746"/>
      <c r="T112" s="746"/>
      <c r="U112" s="746"/>
    </row>
    <row r="113" spans="3:21">
      <c r="C113" s="746"/>
      <c r="D113" s="746"/>
      <c r="E113" s="746"/>
      <c r="F113" s="746"/>
      <c r="G113" s="746"/>
      <c r="H113" s="746"/>
      <c r="I113" s="746"/>
      <c r="J113" s="746"/>
      <c r="K113" s="746"/>
      <c r="L113" s="746"/>
      <c r="M113" s="746"/>
      <c r="N113" s="746"/>
      <c r="O113" s="746"/>
      <c r="P113" s="746"/>
      <c r="Q113" s="746"/>
      <c r="R113" s="746"/>
      <c r="S113" s="746"/>
      <c r="T113" s="746"/>
      <c r="U113" s="746"/>
    </row>
    <row r="114" spans="3:21">
      <c r="C114" s="746"/>
      <c r="D114" s="746"/>
      <c r="E114" s="746"/>
      <c r="F114" s="746"/>
      <c r="G114" s="746"/>
      <c r="H114" s="746"/>
      <c r="I114" s="746"/>
      <c r="J114" s="746"/>
      <c r="K114" s="746"/>
      <c r="L114" s="746"/>
      <c r="M114" s="746"/>
      <c r="N114" s="746"/>
      <c r="O114" s="746"/>
      <c r="P114" s="746"/>
      <c r="Q114" s="746"/>
      <c r="R114" s="746"/>
      <c r="S114" s="746"/>
      <c r="T114" s="746"/>
      <c r="U114" s="746"/>
    </row>
    <row r="115" spans="3:21">
      <c r="C115" s="746"/>
      <c r="D115" s="746"/>
      <c r="E115" s="746"/>
      <c r="F115" s="746"/>
      <c r="G115" s="746"/>
      <c r="H115" s="746"/>
      <c r="I115" s="746"/>
      <c r="J115" s="746"/>
      <c r="K115" s="746"/>
      <c r="L115" s="746"/>
      <c r="M115" s="746"/>
      <c r="N115" s="746"/>
      <c r="O115" s="746"/>
      <c r="P115" s="746"/>
      <c r="Q115" s="746"/>
      <c r="R115" s="746"/>
      <c r="S115" s="746"/>
      <c r="T115" s="746"/>
      <c r="U115" s="746"/>
    </row>
    <row r="116" spans="3:21">
      <c r="C116" s="746"/>
      <c r="D116" s="746"/>
      <c r="E116" s="746"/>
      <c r="F116" s="746"/>
      <c r="G116" s="746"/>
      <c r="H116" s="746"/>
      <c r="I116" s="746"/>
      <c r="J116" s="746"/>
      <c r="K116" s="746"/>
      <c r="L116" s="746"/>
      <c r="M116" s="746"/>
      <c r="N116" s="746"/>
      <c r="O116" s="746"/>
      <c r="P116" s="746"/>
      <c r="Q116" s="746"/>
      <c r="R116" s="746"/>
      <c r="S116" s="746"/>
      <c r="T116" s="746"/>
      <c r="U116" s="746"/>
    </row>
    <row r="117" spans="3:21">
      <c r="C117" s="746"/>
      <c r="D117" s="746"/>
      <c r="E117" s="746"/>
      <c r="F117" s="746"/>
      <c r="G117" s="746"/>
      <c r="H117" s="746"/>
      <c r="I117" s="746"/>
      <c r="J117" s="746"/>
      <c r="K117" s="746"/>
      <c r="L117" s="746"/>
      <c r="M117" s="746"/>
      <c r="N117" s="746"/>
      <c r="O117" s="746"/>
      <c r="P117" s="746"/>
      <c r="Q117" s="746"/>
      <c r="R117" s="746"/>
      <c r="S117" s="746"/>
      <c r="T117" s="746"/>
      <c r="U117" s="746"/>
    </row>
    <row r="118" spans="3:21">
      <c r="C118" s="746"/>
      <c r="D118" s="746"/>
      <c r="E118" s="746"/>
      <c r="F118" s="746"/>
      <c r="G118" s="746"/>
      <c r="H118" s="746"/>
      <c r="I118" s="746"/>
      <c r="J118" s="746"/>
      <c r="K118" s="746"/>
      <c r="L118" s="746"/>
      <c r="M118" s="746"/>
      <c r="N118" s="746"/>
      <c r="O118" s="746"/>
      <c r="P118" s="746"/>
      <c r="Q118" s="746"/>
      <c r="R118" s="746"/>
      <c r="S118" s="746"/>
      <c r="T118" s="746"/>
      <c r="U118" s="746"/>
    </row>
    <row r="119" spans="3:21">
      <c r="C119" s="746"/>
      <c r="D119" s="746"/>
      <c r="E119" s="746"/>
      <c r="F119" s="746"/>
      <c r="G119" s="746"/>
      <c r="H119" s="746"/>
      <c r="I119" s="746"/>
      <c r="J119" s="746"/>
      <c r="K119" s="746"/>
      <c r="L119" s="746"/>
      <c r="M119" s="746"/>
      <c r="N119" s="746"/>
      <c r="O119" s="746"/>
      <c r="P119" s="746"/>
      <c r="Q119" s="746"/>
      <c r="R119" s="746"/>
      <c r="S119" s="746"/>
      <c r="T119" s="746"/>
      <c r="U119" s="746"/>
    </row>
    <row r="120" spans="3:21">
      <c r="C120" s="746"/>
      <c r="D120" s="746"/>
      <c r="E120" s="746"/>
      <c r="F120" s="746"/>
      <c r="G120" s="746"/>
      <c r="H120" s="746"/>
      <c r="I120" s="746"/>
      <c r="J120" s="746"/>
      <c r="K120" s="746"/>
      <c r="L120" s="746"/>
      <c r="M120" s="746"/>
      <c r="N120" s="746"/>
      <c r="O120" s="746"/>
      <c r="P120" s="746"/>
      <c r="Q120" s="746"/>
      <c r="R120" s="746"/>
      <c r="S120" s="746"/>
      <c r="T120" s="746"/>
      <c r="U120" s="746"/>
    </row>
    <row r="121" spans="3:21">
      <c r="C121" s="746"/>
      <c r="D121" s="746"/>
      <c r="E121" s="746"/>
      <c r="F121" s="746"/>
      <c r="G121" s="746"/>
      <c r="H121" s="746"/>
      <c r="I121" s="746"/>
      <c r="J121" s="746"/>
      <c r="K121" s="746"/>
      <c r="L121" s="746"/>
      <c r="M121" s="746"/>
      <c r="N121" s="746"/>
      <c r="O121" s="746"/>
      <c r="P121" s="746"/>
      <c r="Q121" s="746"/>
      <c r="R121" s="746"/>
      <c r="S121" s="746"/>
      <c r="T121" s="746"/>
      <c r="U121" s="746"/>
    </row>
    <row r="122" spans="3:21">
      <c r="C122" s="746"/>
      <c r="D122" s="746"/>
      <c r="E122" s="746"/>
      <c r="F122" s="746"/>
      <c r="G122" s="746"/>
      <c r="H122" s="746"/>
      <c r="I122" s="746"/>
      <c r="J122" s="746"/>
      <c r="K122" s="746"/>
      <c r="L122" s="746"/>
      <c r="M122" s="746"/>
      <c r="N122" s="746"/>
      <c r="O122" s="746"/>
      <c r="P122" s="746"/>
      <c r="Q122" s="746"/>
      <c r="R122" s="746"/>
      <c r="S122" s="746"/>
      <c r="T122" s="746"/>
      <c r="U122" s="746"/>
    </row>
    <row r="123" spans="3:21">
      <c r="C123" s="746"/>
      <c r="D123" s="746"/>
      <c r="E123" s="746"/>
      <c r="F123" s="746"/>
      <c r="G123" s="746"/>
      <c r="H123" s="746"/>
      <c r="I123" s="746"/>
      <c r="J123" s="746"/>
      <c r="K123" s="746"/>
      <c r="L123" s="746"/>
      <c r="M123" s="746"/>
      <c r="N123" s="746"/>
      <c r="O123" s="746"/>
      <c r="P123" s="746"/>
      <c r="Q123" s="746"/>
      <c r="R123" s="746"/>
      <c r="S123" s="746"/>
      <c r="T123" s="746"/>
      <c r="U123" s="746"/>
    </row>
    <row r="124" spans="3:21">
      <c r="C124" s="746"/>
      <c r="D124" s="746"/>
      <c r="E124" s="746"/>
      <c r="F124" s="746"/>
      <c r="G124" s="746"/>
      <c r="H124" s="746"/>
      <c r="I124" s="746"/>
      <c r="J124" s="746"/>
      <c r="K124" s="746"/>
      <c r="L124" s="746"/>
      <c r="M124" s="746"/>
      <c r="N124" s="746"/>
      <c r="O124" s="746"/>
      <c r="P124" s="746"/>
      <c r="Q124" s="746"/>
      <c r="R124" s="746"/>
      <c r="S124" s="746"/>
      <c r="T124" s="746"/>
      <c r="U124" s="746"/>
    </row>
    <row r="125" spans="3:21">
      <c r="C125" s="746"/>
      <c r="D125" s="746"/>
      <c r="E125" s="746"/>
      <c r="F125" s="746"/>
      <c r="G125" s="746"/>
      <c r="H125" s="746"/>
      <c r="I125" s="746"/>
      <c r="J125" s="746"/>
      <c r="K125" s="746"/>
      <c r="L125" s="746"/>
      <c r="M125" s="746"/>
      <c r="N125" s="746"/>
      <c r="O125" s="746"/>
      <c r="P125" s="746"/>
      <c r="Q125" s="746"/>
      <c r="R125" s="746"/>
      <c r="S125" s="746"/>
      <c r="T125" s="746"/>
      <c r="U125" s="746"/>
    </row>
    <row r="126" spans="3:21">
      <c r="C126" s="746"/>
      <c r="D126" s="746"/>
      <c r="E126" s="746"/>
      <c r="F126" s="746"/>
      <c r="G126" s="746"/>
      <c r="H126" s="746"/>
      <c r="I126" s="746"/>
      <c r="J126" s="746"/>
      <c r="K126" s="746"/>
      <c r="L126" s="746"/>
      <c r="M126" s="746"/>
      <c r="N126" s="746"/>
      <c r="O126" s="746"/>
      <c r="P126" s="746"/>
      <c r="Q126" s="746"/>
      <c r="R126" s="746"/>
      <c r="S126" s="746"/>
      <c r="T126" s="746"/>
      <c r="U126" s="746"/>
    </row>
    <row r="127" spans="3:21">
      <c r="C127" s="746"/>
      <c r="D127" s="746"/>
      <c r="E127" s="746"/>
      <c r="F127" s="746"/>
      <c r="G127" s="746"/>
      <c r="H127" s="746"/>
      <c r="I127" s="746"/>
      <c r="J127" s="746"/>
      <c r="K127" s="746"/>
      <c r="L127" s="746"/>
      <c r="M127" s="746"/>
      <c r="N127" s="746"/>
      <c r="O127" s="746"/>
      <c r="P127" s="746"/>
      <c r="Q127" s="746"/>
      <c r="R127" s="746"/>
      <c r="S127" s="746"/>
      <c r="T127" s="746"/>
      <c r="U127" s="746"/>
    </row>
    <row r="128" spans="3:21">
      <c r="C128" s="746"/>
      <c r="D128" s="746"/>
      <c r="E128" s="746"/>
      <c r="F128" s="746"/>
      <c r="G128" s="746"/>
      <c r="H128" s="746"/>
      <c r="I128" s="746"/>
      <c r="J128" s="746"/>
      <c r="K128" s="746"/>
      <c r="L128" s="746"/>
      <c r="M128" s="746"/>
      <c r="N128" s="746"/>
      <c r="O128" s="746"/>
      <c r="P128" s="746"/>
      <c r="Q128" s="746"/>
      <c r="R128" s="746"/>
      <c r="S128" s="746"/>
      <c r="T128" s="746"/>
      <c r="U128" s="746"/>
    </row>
    <row r="129" spans="3:21">
      <c r="C129" s="746"/>
      <c r="D129" s="746"/>
      <c r="E129" s="746"/>
      <c r="F129" s="746"/>
      <c r="G129" s="746"/>
      <c r="H129" s="746"/>
      <c r="I129" s="746"/>
      <c r="J129" s="746"/>
      <c r="K129" s="746"/>
      <c r="L129" s="746"/>
      <c r="M129" s="746"/>
      <c r="N129" s="746"/>
      <c r="O129" s="746"/>
      <c r="P129" s="746"/>
      <c r="Q129" s="746"/>
      <c r="R129" s="746"/>
      <c r="S129" s="746"/>
      <c r="T129" s="746"/>
      <c r="U129" s="746"/>
    </row>
    <row r="130" spans="3:21">
      <c r="C130" s="746"/>
      <c r="D130" s="746"/>
      <c r="E130" s="746"/>
      <c r="F130" s="746"/>
      <c r="G130" s="746"/>
      <c r="H130" s="746"/>
      <c r="I130" s="746"/>
      <c r="J130" s="746"/>
      <c r="K130" s="746"/>
      <c r="L130" s="746"/>
      <c r="M130" s="746"/>
      <c r="N130" s="746"/>
      <c r="O130" s="746"/>
      <c r="P130" s="746"/>
      <c r="Q130" s="746"/>
      <c r="R130" s="746"/>
      <c r="S130" s="746"/>
      <c r="T130" s="746"/>
      <c r="U130" s="746"/>
    </row>
    <row r="131" spans="3:21">
      <c r="C131" s="746"/>
      <c r="D131" s="746"/>
      <c r="E131" s="746"/>
      <c r="F131" s="746"/>
      <c r="G131" s="746"/>
      <c r="H131" s="746"/>
      <c r="I131" s="746"/>
      <c r="J131" s="746"/>
      <c r="K131" s="746"/>
      <c r="L131" s="746"/>
      <c r="M131" s="746"/>
      <c r="N131" s="746"/>
      <c r="O131" s="746"/>
      <c r="P131" s="746"/>
      <c r="Q131" s="746"/>
      <c r="R131" s="746"/>
      <c r="S131" s="746"/>
      <c r="T131" s="746"/>
      <c r="U131" s="746"/>
    </row>
    <row r="132" spans="3:21">
      <c r="C132" s="746"/>
      <c r="D132" s="746"/>
      <c r="E132" s="746"/>
      <c r="F132" s="746"/>
      <c r="G132" s="746"/>
      <c r="H132" s="746"/>
      <c r="I132" s="746"/>
      <c r="J132" s="746"/>
      <c r="K132" s="746"/>
      <c r="L132" s="746"/>
      <c r="M132" s="746"/>
      <c r="N132" s="746"/>
      <c r="O132" s="746"/>
      <c r="P132" s="746"/>
      <c r="Q132" s="746"/>
      <c r="R132" s="746"/>
      <c r="S132" s="746"/>
      <c r="T132" s="746"/>
      <c r="U132" s="746"/>
    </row>
    <row r="133" spans="3:21">
      <c r="C133" s="746"/>
      <c r="D133" s="746"/>
      <c r="E133" s="746"/>
      <c r="F133" s="746"/>
      <c r="G133" s="746"/>
      <c r="H133" s="746"/>
      <c r="I133" s="746"/>
      <c r="J133" s="746"/>
      <c r="K133" s="746"/>
      <c r="L133" s="746"/>
      <c r="M133" s="746"/>
      <c r="N133" s="746"/>
      <c r="O133" s="746"/>
      <c r="P133" s="746"/>
      <c r="Q133" s="746"/>
      <c r="R133" s="746"/>
      <c r="S133" s="746"/>
      <c r="T133" s="746"/>
      <c r="U133" s="746"/>
    </row>
    <row r="134" spans="3:21">
      <c r="C134" s="746"/>
      <c r="D134" s="746"/>
      <c r="E134" s="746"/>
      <c r="F134" s="746"/>
      <c r="G134" s="746"/>
      <c r="H134" s="746"/>
      <c r="I134" s="746"/>
      <c r="J134" s="746"/>
      <c r="K134" s="746"/>
      <c r="L134" s="746"/>
      <c r="M134" s="746"/>
      <c r="N134" s="746"/>
      <c r="O134" s="746"/>
      <c r="P134" s="746"/>
      <c r="Q134" s="746"/>
      <c r="R134" s="746"/>
      <c r="S134" s="746"/>
      <c r="T134" s="746"/>
      <c r="U134" s="746"/>
    </row>
    <row r="135" spans="3:21">
      <c r="C135" s="746"/>
      <c r="D135" s="746"/>
      <c r="E135" s="746"/>
      <c r="F135" s="746"/>
      <c r="G135" s="746"/>
      <c r="H135" s="746"/>
      <c r="I135" s="746"/>
      <c r="J135" s="746"/>
      <c r="K135" s="746"/>
      <c r="L135" s="746"/>
      <c r="M135" s="746"/>
      <c r="N135" s="746"/>
      <c r="O135" s="746"/>
      <c r="P135" s="746"/>
      <c r="Q135" s="746"/>
      <c r="R135" s="746"/>
      <c r="S135" s="746"/>
      <c r="T135" s="746"/>
      <c r="U135" s="746"/>
    </row>
    <row r="136" spans="3:21">
      <c r="C136" s="746"/>
      <c r="D136" s="746"/>
      <c r="E136" s="746"/>
      <c r="F136" s="746"/>
      <c r="G136" s="746"/>
      <c r="H136" s="746"/>
      <c r="I136" s="746"/>
      <c r="J136" s="746"/>
      <c r="K136" s="746"/>
      <c r="L136" s="746"/>
      <c r="M136" s="746"/>
      <c r="N136" s="746"/>
      <c r="O136" s="746"/>
      <c r="P136" s="746"/>
      <c r="Q136" s="746"/>
      <c r="R136" s="746"/>
      <c r="S136" s="746"/>
      <c r="T136" s="746"/>
      <c r="U136" s="746"/>
    </row>
    <row r="137" spans="3:21">
      <c r="C137" s="746"/>
      <c r="D137" s="746"/>
      <c r="E137" s="746"/>
      <c r="F137" s="746"/>
      <c r="G137" s="746"/>
      <c r="H137" s="746"/>
      <c r="I137" s="746"/>
      <c r="J137" s="746"/>
      <c r="K137" s="746"/>
      <c r="L137" s="746"/>
      <c r="M137" s="746"/>
      <c r="N137" s="746"/>
      <c r="O137" s="746"/>
      <c r="P137" s="746"/>
      <c r="Q137" s="746"/>
      <c r="R137" s="746"/>
      <c r="S137" s="746"/>
      <c r="T137" s="746"/>
      <c r="U137" s="746"/>
    </row>
    <row r="138" spans="3:21">
      <c r="C138" s="746"/>
      <c r="D138" s="746"/>
      <c r="E138" s="746"/>
      <c r="F138" s="746"/>
      <c r="G138" s="746"/>
      <c r="H138" s="746"/>
      <c r="I138" s="746"/>
      <c r="J138" s="746"/>
      <c r="K138" s="746"/>
      <c r="L138" s="746"/>
      <c r="M138" s="746"/>
      <c r="N138" s="746"/>
      <c r="O138" s="746"/>
      <c r="P138" s="746"/>
      <c r="Q138" s="746"/>
      <c r="R138" s="746"/>
      <c r="S138" s="746"/>
      <c r="T138" s="746"/>
      <c r="U138" s="746"/>
    </row>
    <row r="139" spans="3:21">
      <c r="C139" s="746"/>
      <c r="D139" s="746"/>
      <c r="E139" s="746"/>
      <c r="F139" s="746"/>
      <c r="G139" s="746"/>
      <c r="H139" s="746"/>
      <c r="I139" s="746"/>
      <c r="J139" s="746"/>
      <c r="K139" s="746"/>
      <c r="L139" s="746"/>
      <c r="M139" s="746"/>
      <c r="N139" s="746"/>
      <c r="O139" s="746"/>
      <c r="P139" s="746"/>
      <c r="Q139" s="746"/>
      <c r="R139" s="746"/>
      <c r="S139" s="746"/>
      <c r="T139" s="746"/>
      <c r="U139" s="746"/>
    </row>
    <row r="140" spans="3:21">
      <c r="C140" s="746"/>
      <c r="D140" s="746"/>
      <c r="E140" s="746"/>
      <c r="F140" s="746"/>
      <c r="G140" s="746"/>
      <c r="H140" s="746"/>
      <c r="I140" s="746"/>
      <c r="J140" s="746"/>
      <c r="K140" s="746"/>
      <c r="L140" s="746"/>
      <c r="M140" s="746"/>
      <c r="N140" s="746"/>
      <c r="O140" s="746"/>
      <c r="P140" s="746"/>
      <c r="Q140" s="746"/>
      <c r="R140" s="746"/>
      <c r="S140" s="746"/>
      <c r="T140" s="746"/>
      <c r="U140" s="746"/>
    </row>
    <row r="141" spans="3:21">
      <c r="C141" s="746"/>
      <c r="D141" s="746"/>
      <c r="E141" s="746"/>
      <c r="F141" s="746"/>
      <c r="G141" s="746"/>
      <c r="H141" s="746"/>
      <c r="I141" s="746"/>
      <c r="J141" s="746"/>
      <c r="K141" s="746"/>
      <c r="L141" s="746"/>
      <c r="M141" s="746"/>
      <c r="N141" s="746"/>
      <c r="O141" s="746"/>
      <c r="P141" s="746"/>
      <c r="Q141" s="746"/>
      <c r="R141" s="746"/>
      <c r="S141" s="746"/>
      <c r="T141" s="746"/>
      <c r="U141" s="746"/>
    </row>
    <row r="142" spans="3:21">
      <c r="C142" s="746"/>
      <c r="D142" s="746"/>
      <c r="E142" s="746"/>
      <c r="F142" s="746"/>
      <c r="G142" s="746"/>
      <c r="H142" s="746"/>
      <c r="I142" s="746"/>
      <c r="J142" s="746"/>
      <c r="K142" s="746"/>
      <c r="L142" s="746"/>
      <c r="M142" s="746"/>
      <c r="N142" s="746"/>
      <c r="O142" s="746"/>
      <c r="P142" s="746"/>
      <c r="Q142" s="746"/>
      <c r="R142" s="746"/>
      <c r="S142" s="746"/>
      <c r="T142" s="746"/>
      <c r="U142" s="746"/>
    </row>
    <row r="143" spans="3:21">
      <c r="C143" s="746"/>
      <c r="D143" s="746"/>
      <c r="E143" s="746"/>
      <c r="F143" s="746"/>
      <c r="G143" s="746"/>
      <c r="H143" s="746"/>
      <c r="I143" s="746"/>
      <c r="J143" s="746"/>
      <c r="K143" s="746"/>
      <c r="L143" s="746"/>
      <c r="M143" s="746"/>
      <c r="N143" s="746"/>
      <c r="O143" s="746"/>
      <c r="P143" s="746"/>
      <c r="Q143" s="746"/>
      <c r="R143" s="746"/>
      <c r="S143" s="746"/>
      <c r="T143" s="746"/>
      <c r="U143" s="746"/>
    </row>
    <row r="144" spans="3:21">
      <c r="C144" s="746"/>
      <c r="D144" s="746"/>
      <c r="E144" s="746"/>
      <c r="F144" s="746"/>
      <c r="G144" s="746"/>
      <c r="H144" s="746"/>
      <c r="I144" s="746"/>
      <c r="J144" s="746"/>
      <c r="K144" s="746"/>
      <c r="L144" s="746"/>
      <c r="M144" s="746"/>
      <c r="N144" s="746"/>
      <c r="O144" s="746"/>
      <c r="P144" s="746"/>
      <c r="Q144" s="746"/>
      <c r="R144" s="746"/>
      <c r="S144" s="746"/>
      <c r="T144" s="746"/>
      <c r="U144" s="746"/>
    </row>
    <row r="145" spans="3:21">
      <c r="C145" s="746"/>
      <c r="D145" s="746"/>
      <c r="E145" s="746"/>
      <c r="F145" s="746"/>
      <c r="G145" s="746"/>
      <c r="H145" s="746"/>
      <c r="I145" s="746"/>
      <c r="J145" s="746"/>
      <c r="K145" s="746"/>
      <c r="L145" s="746"/>
      <c r="M145" s="746"/>
      <c r="N145" s="746"/>
      <c r="O145" s="746"/>
      <c r="P145" s="746"/>
      <c r="Q145" s="746"/>
      <c r="R145" s="746"/>
      <c r="S145" s="746"/>
      <c r="T145" s="746"/>
      <c r="U145" s="746"/>
    </row>
    <row r="146" spans="3:21">
      <c r="C146" s="746"/>
      <c r="D146" s="746"/>
      <c r="E146" s="746"/>
      <c r="F146" s="746"/>
      <c r="G146" s="746"/>
      <c r="H146" s="746"/>
      <c r="I146" s="746"/>
      <c r="J146" s="746"/>
      <c r="K146" s="746"/>
      <c r="L146" s="746"/>
      <c r="M146" s="746"/>
      <c r="N146" s="746"/>
      <c r="O146" s="746"/>
      <c r="P146" s="746"/>
      <c r="Q146" s="746"/>
      <c r="R146" s="746"/>
      <c r="S146" s="746"/>
      <c r="T146" s="746"/>
      <c r="U146" s="746"/>
    </row>
    <row r="147" spans="3:21">
      <c r="C147" s="746"/>
      <c r="D147" s="746"/>
      <c r="E147" s="746"/>
      <c r="F147" s="746"/>
      <c r="G147" s="746"/>
      <c r="H147" s="746"/>
      <c r="I147" s="746"/>
      <c r="J147" s="746"/>
      <c r="K147" s="746"/>
      <c r="L147" s="746"/>
      <c r="M147" s="746"/>
      <c r="N147" s="746"/>
      <c r="O147" s="746"/>
      <c r="P147" s="746"/>
      <c r="Q147" s="746"/>
      <c r="R147" s="746"/>
      <c r="S147" s="746"/>
      <c r="T147" s="746"/>
      <c r="U147" s="746"/>
    </row>
    <row r="148" spans="3:21">
      <c r="C148" s="746"/>
      <c r="D148" s="746"/>
      <c r="E148" s="746"/>
      <c r="F148" s="746"/>
      <c r="G148" s="746"/>
      <c r="H148" s="746"/>
      <c r="I148" s="746"/>
      <c r="J148" s="746"/>
      <c r="K148" s="746"/>
      <c r="L148" s="746"/>
      <c r="M148" s="746"/>
      <c r="N148" s="746"/>
      <c r="O148" s="746"/>
      <c r="P148" s="746"/>
      <c r="Q148" s="746"/>
      <c r="R148" s="746"/>
      <c r="S148" s="746"/>
      <c r="T148" s="746"/>
      <c r="U148" s="746"/>
    </row>
    <row r="149" spans="3:21">
      <c r="C149" s="746"/>
      <c r="D149" s="746"/>
      <c r="E149" s="746"/>
      <c r="F149" s="746"/>
      <c r="G149" s="746"/>
      <c r="H149" s="746"/>
      <c r="I149" s="746"/>
      <c r="J149" s="746"/>
      <c r="K149" s="746"/>
      <c r="L149" s="746"/>
      <c r="M149" s="746"/>
      <c r="N149" s="746"/>
      <c r="O149" s="746"/>
      <c r="P149" s="746"/>
      <c r="Q149" s="746"/>
      <c r="R149" s="746"/>
      <c r="S149" s="746"/>
      <c r="T149" s="746"/>
      <c r="U149" s="746"/>
    </row>
    <row r="150" spans="3:21">
      <c r="C150" s="746"/>
      <c r="D150" s="746"/>
      <c r="E150" s="746"/>
      <c r="F150" s="746"/>
      <c r="G150" s="746"/>
      <c r="H150" s="746"/>
      <c r="I150" s="746"/>
      <c r="J150" s="746"/>
      <c r="K150" s="746"/>
      <c r="L150" s="746"/>
      <c r="M150" s="746"/>
      <c r="N150" s="746"/>
      <c r="O150" s="746"/>
      <c r="P150" s="746"/>
      <c r="Q150" s="746"/>
      <c r="R150" s="746"/>
      <c r="S150" s="746"/>
      <c r="T150" s="746"/>
      <c r="U150" s="746"/>
    </row>
    <row r="151" spans="3:21">
      <c r="C151" s="746"/>
      <c r="D151" s="746"/>
      <c r="E151" s="746"/>
      <c r="F151" s="746"/>
      <c r="G151" s="746"/>
      <c r="H151" s="746"/>
      <c r="I151" s="746"/>
      <c r="J151" s="746"/>
      <c r="K151" s="746"/>
      <c r="L151" s="746"/>
      <c r="M151" s="746"/>
      <c r="N151" s="746"/>
      <c r="O151" s="746"/>
      <c r="P151" s="746"/>
      <c r="Q151" s="746"/>
      <c r="R151" s="746"/>
      <c r="S151" s="746"/>
      <c r="T151" s="746"/>
      <c r="U151" s="746"/>
    </row>
    <row r="152" spans="3:21">
      <c r="C152" s="746"/>
      <c r="D152" s="746"/>
      <c r="E152" s="746"/>
      <c r="F152" s="746"/>
      <c r="G152" s="746"/>
      <c r="H152" s="746"/>
      <c r="I152" s="746"/>
      <c r="J152" s="746"/>
      <c r="K152" s="746"/>
      <c r="L152" s="746"/>
      <c r="M152" s="746"/>
      <c r="N152" s="746"/>
      <c r="O152" s="746"/>
      <c r="P152" s="746"/>
      <c r="Q152" s="746"/>
      <c r="R152" s="746"/>
      <c r="S152" s="746"/>
      <c r="T152" s="746"/>
      <c r="U152" s="746"/>
    </row>
    <row r="153" spans="3:21">
      <c r="C153" s="746"/>
      <c r="D153" s="746"/>
      <c r="E153" s="746"/>
      <c r="F153" s="746"/>
      <c r="G153" s="746"/>
      <c r="H153" s="746"/>
      <c r="I153" s="746"/>
      <c r="J153" s="746"/>
      <c r="K153" s="746"/>
      <c r="L153" s="746"/>
      <c r="M153" s="746"/>
      <c r="N153" s="746"/>
      <c r="O153" s="746"/>
      <c r="P153" s="746"/>
      <c r="Q153" s="746"/>
      <c r="R153" s="746"/>
      <c r="S153" s="746"/>
      <c r="T153" s="746"/>
      <c r="U153" s="746"/>
    </row>
    <row r="154" spans="3:21">
      <c r="C154" s="746"/>
      <c r="D154" s="746"/>
      <c r="E154" s="746"/>
      <c r="F154" s="746"/>
      <c r="G154" s="746"/>
      <c r="H154" s="746"/>
      <c r="I154" s="746"/>
      <c r="J154" s="746"/>
      <c r="K154" s="746"/>
      <c r="L154" s="746"/>
      <c r="M154" s="746"/>
      <c r="N154" s="746"/>
      <c r="O154" s="746"/>
      <c r="P154" s="746"/>
      <c r="Q154" s="746"/>
      <c r="R154" s="746"/>
      <c r="S154" s="746"/>
      <c r="T154" s="746"/>
      <c r="U154" s="746"/>
    </row>
    <row r="155" spans="3:21">
      <c r="C155" s="746"/>
      <c r="D155" s="746"/>
      <c r="E155" s="746"/>
      <c r="F155" s="746"/>
      <c r="G155" s="746"/>
      <c r="H155" s="746"/>
      <c r="I155" s="746"/>
      <c r="J155" s="746"/>
      <c r="K155" s="746"/>
      <c r="L155" s="746"/>
      <c r="M155" s="746"/>
      <c r="N155" s="746"/>
      <c r="O155" s="746"/>
      <c r="P155" s="746"/>
      <c r="Q155" s="746"/>
      <c r="R155" s="746"/>
      <c r="S155" s="746"/>
      <c r="T155" s="746"/>
      <c r="U155" s="746"/>
    </row>
    <row r="156" spans="3:21">
      <c r="C156" s="746"/>
      <c r="D156" s="746"/>
      <c r="E156" s="746"/>
      <c r="F156" s="746"/>
      <c r="G156" s="746"/>
      <c r="H156" s="746"/>
      <c r="I156" s="746"/>
      <c r="J156" s="746"/>
      <c r="K156" s="746"/>
      <c r="L156" s="746"/>
      <c r="M156" s="746"/>
      <c r="N156" s="746"/>
      <c r="O156" s="746"/>
      <c r="P156" s="746"/>
      <c r="Q156" s="746"/>
      <c r="R156" s="746"/>
      <c r="S156" s="746"/>
      <c r="T156" s="746"/>
      <c r="U156" s="746"/>
    </row>
    <row r="157" spans="3:21">
      <c r="C157" s="746"/>
      <c r="D157" s="746"/>
      <c r="E157" s="746"/>
      <c r="F157" s="746"/>
      <c r="G157" s="746"/>
      <c r="H157" s="746"/>
      <c r="I157" s="746"/>
      <c r="J157" s="746"/>
      <c r="K157" s="746"/>
      <c r="L157" s="746"/>
      <c r="M157" s="746"/>
      <c r="N157" s="746"/>
      <c r="O157" s="746"/>
      <c r="P157" s="746"/>
      <c r="Q157" s="746"/>
      <c r="R157" s="746"/>
      <c r="S157" s="746"/>
      <c r="T157" s="746"/>
      <c r="U157" s="746"/>
    </row>
    <row r="158" spans="3:21">
      <c r="C158" s="746"/>
      <c r="D158" s="746"/>
      <c r="E158" s="746"/>
      <c r="F158" s="746"/>
      <c r="G158" s="746"/>
      <c r="H158" s="746"/>
      <c r="I158" s="746"/>
      <c r="J158" s="746"/>
      <c r="K158" s="746"/>
      <c r="L158" s="746"/>
      <c r="M158" s="746"/>
      <c r="N158" s="746"/>
      <c r="O158" s="746"/>
      <c r="P158" s="746"/>
      <c r="Q158" s="746"/>
      <c r="R158" s="746"/>
      <c r="S158" s="746"/>
      <c r="T158" s="746"/>
      <c r="U158" s="746"/>
    </row>
    <row r="159" spans="3:21">
      <c r="C159" s="746"/>
      <c r="D159" s="746"/>
      <c r="E159" s="746"/>
      <c r="F159" s="746"/>
      <c r="G159" s="746"/>
      <c r="H159" s="746"/>
      <c r="I159" s="746"/>
      <c r="J159" s="746"/>
      <c r="K159" s="746"/>
      <c r="L159" s="746"/>
      <c r="M159" s="746"/>
      <c r="N159" s="746"/>
      <c r="O159" s="746"/>
      <c r="P159" s="746"/>
      <c r="Q159" s="746"/>
      <c r="R159" s="746"/>
      <c r="S159" s="746"/>
      <c r="T159" s="746"/>
      <c r="U159" s="746"/>
    </row>
    <row r="160" spans="3:21">
      <c r="C160" s="746"/>
      <c r="D160" s="746"/>
      <c r="E160" s="746"/>
      <c r="F160" s="746"/>
      <c r="G160" s="746"/>
      <c r="H160" s="746"/>
      <c r="I160" s="746"/>
      <c r="J160" s="746"/>
      <c r="K160" s="746"/>
      <c r="L160" s="746"/>
      <c r="M160" s="746"/>
      <c r="N160" s="746"/>
      <c r="O160" s="746"/>
      <c r="P160" s="746"/>
      <c r="Q160" s="746"/>
      <c r="R160" s="746"/>
      <c r="S160" s="746"/>
      <c r="T160" s="746"/>
      <c r="U160" s="746"/>
    </row>
    <row r="161" spans="3:21">
      <c r="C161" s="746"/>
      <c r="D161" s="746"/>
      <c r="E161" s="746"/>
      <c r="F161" s="746"/>
      <c r="G161" s="746"/>
      <c r="H161" s="746"/>
      <c r="I161" s="746"/>
      <c r="J161" s="746"/>
      <c r="K161" s="746"/>
      <c r="L161" s="746"/>
      <c r="M161" s="746"/>
      <c r="N161" s="746"/>
      <c r="O161" s="746"/>
      <c r="P161" s="746"/>
      <c r="Q161" s="746"/>
      <c r="R161" s="746"/>
      <c r="S161" s="746"/>
      <c r="T161" s="746"/>
      <c r="U161" s="746"/>
    </row>
    <row r="162" spans="3:21">
      <c r="C162" s="746"/>
      <c r="D162" s="746"/>
      <c r="E162" s="746"/>
      <c r="F162" s="746"/>
      <c r="G162" s="746"/>
      <c r="H162" s="746"/>
      <c r="I162" s="746"/>
      <c r="J162" s="746"/>
      <c r="K162" s="746"/>
      <c r="L162" s="746"/>
      <c r="M162" s="746"/>
      <c r="N162" s="746"/>
      <c r="O162" s="746"/>
      <c r="P162" s="746"/>
      <c r="Q162" s="746"/>
      <c r="R162" s="746"/>
      <c r="S162" s="746"/>
      <c r="T162" s="746"/>
      <c r="U162" s="746"/>
    </row>
    <row r="163" spans="3:21">
      <c r="C163" s="746"/>
      <c r="D163" s="746"/>
      <c r="E163" s="746"/>
      <c r="F163" s="746"/>
      <c r="G163" s="746"/>
      <c r="H163" s="746"/>
      <c r="I163" s="746"/>
      <c r="J163" s="746"/>
      <c r="K163" s="746"/>
      <c r="L163" s="746"/>
      <c r="M163" s="746"/>
      <c r="N163" s="746"/>
      <c r="O163" s="746"/>
      <c r="P163" s="746"/>
      <c r="Q163" s="746"/>
      <c r="R163" s="746"/>
      <c r="S163" s="746"/>
      <c r="T163" s="746"/>
      <c r="U163" s="746"/>
    </row>
    <row r="164" spans="3:21">
      <c r="C164" s="746"/>
      <c r="D164" s="746"/>
      <c r="E164" s="746"/>
      <c r="F164" s="746"/>
      <c r="G164" s="746"/>
      <c r="H164" s="746"/>
      <c r="I164" s="746"/>
      <c r="J164" s="746"/>
      <c r="K164" s="746"/>
      <c r="L164" s="746"/>
      <c r="M164" s="746"/>
      <c r="N164" s="746"/>
      <c r="O164" s="746"/>
      <c r="P164" s="746"/>
      <c r="Q164" s="746"/>
      <c r="R164" s="746"/>
      <c r="S164" s="746"/>
      <c r="T164" s="746"/>
      <c r="U164" s="746"/>
    </row>
    <row r="165" spans="3:21">
      <c r="C165" s="746"/>
      <c r="D165" s="746"/>
      <c r="E165" s="746"/>
      <c r="F165" s="746"/>
      <c r="G165" s="746"/>
      <c r="H165" s="746"/>
      <c r="I165" s="746"/>
      <c r="J165" s="746"/>
      <c r="K165" s="746"/>
      <c r="L165" s="746"/>
      <c r="M165" s="746"/>
      <c r="N165" s="746"/>
      <c r="O165" s="746"/>
      <c r="P165" s="746"/>
      <c r="Q165" s="746"/>
      <c r="R165" s="746"/>
      <c r="S165" s="746"/>
      <c r="T165" s="746"/>
      <c r="U165" s="746"/>
    </row>
    <row r="166" spans="3:21">
      <c r="C166" s="746"/>
      <c r="D166" s="746"/>
      <c r="E166" s="746"/>
      <c r="F166" s="746"/>
      <c r="G166" s="746"/>
      <c r="H166" s="746"/>
      <c r="I166" s="746"/>
      <c r="J166" s="746"/>
      <c r="K166" s="746"/>
      <c r="L166" s="746"/>
      <c r="M166" s="746"/>
      <c r="N166" s="746"/>
      <c r="O166" s="746"/>
      <c r="P166" s="746"/>
      <c r="Q166" s="746"/>
      <c r="R166" s="746"/>
      <c r="S166" s="746"/>
      <c r="T166" s="746"/>
      <c r="U166" s="746"/>
    </row>
    <row r="167" spans="3:21">
      <c r="C167" s="746"/>
      <c r="D167" s="746"/>
      <c r="E167" s="746"/>
      <c r="F167" s="746"/>
      <c r="G167" s="746"/>
      <c r="H167" s="746"/>
      <c r="I167" s="746"/>
      <c r="J167" s="746"/>
      <c r="K167" s="746"/>
      <c r="L167" s="746"/>
      <c r="M167" s="746"/>
      <c r="N167" s="746"/>
      <c r="O167" s="746"/>
      <c r="P167" s="746"/>
      <c r="Q167" s="746"/>
      <c r="R167" s="746"/>
      <c r="S167" s="746"/>
      <c r="T167" s="746"/>
      <c r="U167" s="746"/>
    </row>
    <row r="168" spans="3:21">
      <c r="C168" s="746"/>
      <c r="D168" s="746"/>
      <c r="E168" s="746"/>
      <c r="F168" s="746"/>
      <c r="G168" s="746"/>
      <c r="H168" s="746"/>
      <c r="I168" s="746"/>
      <c r="J168" s="746"/>
      <c r="K168" s="746"/>
      <c r="L168" s="746"/>
      <c r="M168" s="746"/>
      <c r="N168" s="746"/>
      <c r="O168" s="746"/>
      <c r="P168" s="746"/>
      <c r="Q168" s="746"/>
      <c r="R168" s="746"/>
      <c r="S168" s="746"/>
      <c r="T168" s="746"/>
      <c r="U168" s="746"/>
    </row>
    <row r="169" spans="3:21">
      <c r="C169" s="746"/>
      <c r="D169" s="746"/>
      <c r="E169" s="746"/>
      <c r="F169" s="746"/>
      <c r="G169" s="746"/>
      <c r="H169" s="746"/>
      <c r="I169" s="746"/>
      <c r="J169" s="746"/>
      <c r="K169" s="746"/>
      <c r="L169" s="746"/>
      <c r="M169" s="746"/>
      <c r="N169" s="746"/>
      <c r="O169" s="746"/>
      <c r="P169" s="746"/>
      <c r="Q169" s="746"/>
      <c r="R169" s="746"/>
      <c r="S169" s="746"/>
      <c r="T169" s="746"/>
      <c r="U169" s="746"/>
    </row>
    <row r="170" spans="3:21">
      <c r="C170" s="746"/>
      <c r="D170" s="746"/>
      <c r="E170" s="746"/>
      <c r="F170" s="746"/>
      <c r="G170" s="746"/>
      <c r="H170" s="746"/>
      <c r="I170" s="746"/>
      <c r="J170" s="746"/>
      <c r="K170" s="746"/>
      <c r="L170" s="746"/>
      <c r="M170" s="746"/>
      <c r="N170" s="746"/>
      <c r="O170" s="746"/>
      <c r="P170" s="746"/>
      <c r="Q170" s="746"/>
      <c r="R170" s="746"/>
      <c r="S170" s="746"/>
      <c r="T170" s="746"/>
      <c r="U170" s="746"/>
    </row>
    <row r="171" spans="3:21">
      <c r="C171" s="746"/>
      <c r="D171" s="746"/>
      <c r="E171" s="746"/>
      <c r="F171" s="746"/>
      <c r="G171" s="746"/>
      <c r="H171" s="746"/>
      <c r="I171" s="746"/>
      <c r="J171" s="746"/>
      <c r="K171" s="746"/>
      <c r="L171" s="746"/>
      <c r="M171" s="746"/>
      <c r="N171" s="746"/>
      <c r="O171" s="746"/>
      <c r="P171" s="746"/>
      <c r="Q171" s="746"/>
      <c r="R171" s="746"/>
      <c r="S171" s="746"/>
      <c r="T171" s="746"/>
      <c r="U171" s="746"/>
    </row>
    <row r="172" spans="3:21">
      <c r="C172" s="746"/>
      <c r="D172" s="746"/>
      <c r="E172" s="746"/>
      <c r="F172" s="746"/>
      <c r="G172" s="746"/>
      <c r="H172" s="746"/>
      <c r="I172" s="746"/>
      <c r="J172" s="746"/>
      <c r="K172" s="746"/>
      <c r="L172" s="746"/>
      <c r="M172" s="746"/>
      <c r="N172" s="746"/>
      <c r="O172" s="746"/>
      <c r="P172" s="746"/>
      <c r="Q172" s="746"/>
      <c r="R172" s="746"/>
      <c r="S172" s="746"/>
      <c r="T172" s="746"/>
      <c r="U172" s="746"/>
    </row>
    <row r="173" spans="3:21">
      <c r="C173" s="746"/>
      <c r="D173" s="746"/>
      <c r="E173" s="746"/>
      <c r="F173" s="746"/>
      <c r="G173" s="746"/>
      <c r="H173" s="746"/>
      <c r="I173" s="746"/>
      <c r="J173" s="746"/>
      <c r="K173" s="746"/>
      <c r="L173" s="746"/>
      <c r="M173" s="746"/>
      <c r="N173" s="746"/>
      <c r="O173" s="746"/>
      <c r="P173" s="746"/>
      <c r="Q173" s="746"/>
      <c r="R173" s="746"/>
      <c r="S173" s="746"/>
      <c r="T173" s="746"/>
      <c r="U173" s="746"/>
    </row>
    <row r="174" spans="3:21">
      <c r="C174" s="746"/>
      <c r="D174" s="746"/>
      <c r="E174" s="746"/>
      <c r="F174" s="746"/>
      <c r="G174" s="746"/>
      <c r="H174" s="746"/>
      <c r="I174" s="746"/>
      <c r="J174" s="746"/>
      <c r="K174" s="746"/>
      <c r="L174" s="746"/>
      <c r="M174" s="746"/>
      <c r="N174" s="746"/>
      <c r="O174" s="746"/>
      <c r="P174" s="746"/>
      <c r="Q174" s="746"/>
      <c r="R174" s="746"/>
      <c r="S174" s="746"/>
      <c r="T174" s="746"/>
      <c r="U174" s="746"/>
    </row>
    <row r="175" spans="3:21">
      <c r="C175" s="746"/>
      <c r="D175" s="746"/>
      <c r="E175" s="746"/>
      <c r="F175" s="746"/>
      <c r="G175" s="746"/>
      <c r="H175" s="746"/>
      <c r="I175" s="746"/>
      <c r="J175" s="746"/>
      <c r="K175" s="746"/>
      <c r="L175" s="746"/>
      <c r="M175" s="746"/>
      <c r="N175" s="746"/>
      <c r="O175" s="746"/>
      <c r="P175" s="746"/>
      <c r="Q175" s="746"/>
      <c r="R175" s="746"/>
      <c r="S175" s="746"/>
      <c r="T175" s="746"/>
      <c r="U175" s="746"/>
    </row>
    <row r="176" spans="3:21">
      <c r="C176" s="746"/>
      <c r="D176" s="746"/>
      <c r="E176" s="746"/>
      <c r="F176" s="746"/>
      <c r="G176" s="746"/>
      <c r="H176" s="746"/>
      <c r="I176" s="746"/>
      <c r="J176" s="746"/>
      <c r="K176" s="746"/>
      <c r="L176" s="746"/>
      <c r="M176" s="746"/>
      <c r="N176" s="746"/>
      <c r="O176" s="746"/>
      <c r="P176" s="746"/>
      <c r="Q176" s="746"/>
      <c r="R176" s="746"/>
      <c r="S176" s="746"/>
      <c r="T176" s="746"/>
      <c r="U176" s="746"/>
    </row>
    <row r="177" spans="3:21">
      <c r="C177" s="746"/>
      <c r="D177" s="746"/>
      <c r="E177" s="746"/>
      <c r="F177" s="746"/>
      <c r="G177" s="746"/>
      <c r="H177" s="746"/>
      <c r="I177" s="746"/>
      <c r="J177" s="746"/>
      <c r="K177" s="746"/>
      <c r="L177" s="746"/>
      <c r="M177" s="746"/>
      <c r="N177" s="746"/>
      <c r="O177" s="746"/>
      <c r="P177" s="746"/>
      <c r="Q177" s="746"/>
      <c r="R177" s="746"/>
      <c r="S177" s="746"/>
      <c r="T177" s="746"/>
      <c r="U177" s="746"/>
    </row>
    <row r="178" spans="3:21">
      <c r="C178" s="746"/>
      <c r="D178" s="746"/>
      <c r="E178" s="746"/>
      <c r="F178" s="746"/>
      <c r="G178" s="746"/>
      <c r="H178" s="746"/>
      <c r="I178" s="746"/>
      <c r="J178" s="746"/>
      <c r="K178" s="746"/>
      <c r="L178" s="746"/>
      <c r="M178" s="746"/>
      <c r="N178" s="746"/>
      <c r="O178" s="746"/>
      <c r="P178" s="746"/>
      <c r="Q178" s="746"/>
      <c r="R178" s="746"/>
      <c r="S178" s="746"/>
      <c r="T178" s="746"/>
      <c r="U178" s="746"/>
    </row>
    <row r="179" spans="3:21">
      <c r="C179" s="746"/>
      <c r="D179" s="746"/>
      <c r="E179" s="746"/>
      <c r="F179" s="746"/>
      <c r="G179" s="746"/>
      <c r="H179" s="746"/>
      <c r="I179" s="746"/>
      <c r="J179" s="746"/>
      <c r="K179" s="746"/>
      <c r="L179" s="746"/>
      <c r="M179" s="746"/>
      <c r="N179" s="746"/>
      <c r="O179" s="746"/>
      <c r="P179" s="746"/>
      <c r="Q179" s="746"/>
      <c r="R179" s="746"/>
      <c r="S179" s="746"/>
      <c r="T179" s="746"/>
      <c r="U179" s="746"/>
    </row>
    <row r="180" spans="3:21">
      <c r="C180" s="746"/>
      <c r="D180" s="746"/>
      <c r="E180" s="746"/>
      <c r="F180" s="746"/>
      <c r="G180" s="746"/>
      <c r="H180" s="746"/>
      <c r="I180" s="746"/>
      <c r="J180" s="746"/>
      <c r="K180" s="746"/>
      <c r="L180" s="746"/>
      <c r="M180" s="746"/>
      <c r="N180" s="746"/>
      <c r="O180" s="746"/>
      <c r="P180" s="746"/>
      <c r="Q180" s="746"/>
      <c r="R180" s="746"/>
      <c r="S180" s="746"/>
      <c r="T180" s="746"/>
      <c r="U180" s="746"/>
    </row>
    <row r="181" spans="3:21">
      <c r="C181" s="746"/>
      <c r="D181" s="746"/>
      <c r="E181" s="746"/>
      <c r="F181" s="746"/>
      <c r="G181" s="746"/>
      <c r="H181" s="746"/>
      <c r="I181" s="746"/>
      <c r="J181" s="746"/>
      <c r="K181" s="746"/>
      <c r="L181" s="746"/>
      <c r="M181" s="746"/>
      <c r="N181" s="746"/>
      <c r="O181" s="746"/>
      <c r="P181" s="746"/>
      <c r="Q181" s="746"/>
      <c r="R181" s="746"/>
      <c r="S181" s="746"/>
      <c r="T181" s="746"/>
      <c r="U181" s="746"/>
    </row>
    <row r="182" spans="3:21">
      <c r="C182" s="746"/>
      <c r="D182" s="746"/>
      <c r="E182" s="746"/>
      <c r="F182" s="746"/>
      <c r="G182" s="746"/>
      <c r="H182" s="746"/>
      <c r="I182" s="746"/>
      <c r="J182" s="746"/>
      <c r="K182" s="746"/>
      <c r="L182" s="746"/>
      <c r="M182" s="746"/>
      <c r="N182" s="746"/>
      <c r="O182" s="746"/>
      <c r="P182" s="746"/>
      <c r="Q182" s="746"/>
      <c r="R182" s="746"/>
      <c r="S182" s="746"/>
      <c r="T182" s="746"/>
      <c r="U182" s="746"/>
    </row>
    <row r="183" spans="3:21">
      <c r="C183" s="746"/>
      <c r="D183" s="746"/>
      <c r="E183" s="746"/>
      <c r="F183" s="746"/>
      <c r="G183" s="746"/>
      <c r="H183" s="746"/>
      <c r="I183" s="746"/>
      <c r="J183" s="746"/>
      <c r="K183" s="746"/>
      <c r="L183" s="746"/>
      <c r="M183" s="746"/>
      <c r="N183" s="746"/>
      <c r="O183" s="746"/>
      <c r="P183" s="746"/>
      <c r="Q183" s="746"/>
      <c r="R183" s="746"/>
      <c r="S183" s="746"/>
      <c r="T183" s="746"/>
      <c r="U183" s="746"/>
    </row>
    <row r="184" spans="3:21">
      <c r="C184" s="746"/>
      <c r="D184" s="746"/>
      <c r="E184" s="746"/>
      <c r="F184" s="746"/>
      <c r="G184" s="746"/>
      <c r="H184" s="746"/>
      <c r="I184" s="746"/>
      <c r="J184" s="746"/>
      <c r="K184" s="746"/>
      <c r="L184" s="746"/>
      <c r="M184" s="746"/>
      <c r="N184" s="746"/>
      <c r="O184" s="746"/>
      <c r="P184" s="746"/>
      <c r="Q184" s="746"/>
      <c r="R184" s="746"/>
      <c r="S184" s="746"/>
      <c r="T184" s="746"/>
      <c r="U184" s="746"/>
    </row>
    <row r="185" spans="3:21">
      <c r="C185" s="746"/>
      <c r="D185" s="746"/>
      <c r="E185" s="746"/>
      <c r="F185" s="746"/>
      <c r="G185" s="746"/>
      <c r="H185" s="746"/>
      <c r="I185" s="746"/>
      <c r="J185" s="746"/>
      <c r="K185" s="746"/>
      <c r="L185" s="746"/>
      <c r="M185" s="746"/>
      <c r="N185" s="746"/>
      <c r="O185" s="746"/>
      <c r="P185" s="746"/>
      <c r="Q185" s="746"/>
      <c r="R185" s="746"/>
      <c r="S185" s="746"/>
      <c r="T185" s="746"/>
      <c r="U185" s="746"/>
    </row>
    <row r="186" spans="3:21">
      <c r="C186" s="746"/>
      <c r="D186" s="746"/>
      <c r="E186" s="746"/>
      <c r="F186" s="746"/>
      <c r="G186" s="746"/>
      <c r="H186" s="746"/>
      <c r="I186" s="746"/>
      <c r="J186" s="746"/>
      <c r="K186" s="746"/>
      <c r="L186" s="746"/>
      <c r="M186" s="746"/>
      <c r="N186" s="746"/>
      <c r="O186" s="746"/>
      <c r="P186" s="746"/>
      <c r="Q186" s="746"/>
      <c r="R186" s="746"/>
      <c r="S186" s="746"/>
      <c r="T186" s="746"/>
      <c r="U186" s="746"/>
    </row>
    <row r="187" spans="3:21">
      <c r="C187" s="746"/>
      <c r="D187" s="746"/>
      <c r="E187" s="746"/>
      <c r="F187" s="746"/>
      <c r="G187" s="746"/>
      <c r="H187" s="746"/>
      <c r="I187" s="746"/>
      <c r="J187" s="746"/>
      <c r="K187" s="746"/>
      <c r="L187" s="746"/>
      <c r="M187" s="746"/>
      <c r="N187" s="746"/>
      <c r="O187" s="746"/>
      <c r="P187" s="746"/>
      <c r="Q187" s="746"/>
      <c r="R187" s="746"/>
      <c r="S187" s="746"/>
      <c r="T187" s="746"/>
      <c r="U187" s="746"/>
    </row>
    <row r="188" spans="3:21">
      <c r="C188" s="746"/>
      <c r="D188" s="746"/>
      <c r="E188" s="746"/>
      <c r="F188" s="746"/>
      <c r="G188" s="746"/>
      <c r="H188" s="746"/>
      <c r="I188" s="746"/>
      <c r="J188" s="746"/>
      <c r="K188" s="746"/>
      <c r="L188" s="746"/>
      <c r="M188" s="746"/>
      <c r="N188" s="746"/>
      <c r="O188" s="746"/>
      <c r="P188" s="746"/>
      <c r="Q188" s="746"/>
      <c r="R188" s="746"/>
      <c r="S188" s="746"/>
      <c r="T188" s="746"/>
      <c r="U188" s="746"/>
    </row>
    <row r="189" spans="3:21">
      <c r="C189" s="746"/>
      <c r="D189" s="746"/>
      <c r="E189" s="746"/>
      <c r="F189" s="746"/>
      <c r="G189" s="746"/>
      <c r="H189" s="746"/>
      <c r="I189" s="746"/>
      <c r="J189" s="746"/>
      <c r="K189" s="746"/>
      <c r="L189" s="746"/>
      <c r="M189" s="746"/>
      <c r="N189" s="746"/>
      <c r="O189" s="746"/>
      <c r="P189" s="746"/>
      <c r="Q189" s="746"/>
      <c r="R189" s="746"/>
      <c r="S189" s="746"/>
      <c r="T189" s="746"/>
      <c r="U189" s="746"/>
    </row>
    <row r="190" spans="3:21">
      <c r="C190" s="746"/>
      <c r="D190" s="746"/>
      <c r="E190" s="746"/>
      <c r="F190" s="746"/>
      <c r="G190" s="746"/>
      <c r="H190" s="746"/>
      <c r="I190" s="746"/>
      <c r="J190" s="746"/>
      <c r="K190" s="746"/>
      <c r="L190" s="746"/>
      <c r="M190" s="746"/>
      <c r="N190" s="746"/>
      <c r="O190" s="746"/>
      <c r="P190" s="746"/>
      <c r="Q190" s="746"/>
      <c r="R190" s="746"/>
      <c r="S190" s="746"/>
      <c r="T190" s="746"/>
      <c r="U190" s="746"/>
    </row>
    <row r="191" spans="3:21">
      <c r="C191" s="746"/>
      <c r="D191" s="746"/>
      <c r="E191" s="746"/>
      <c r="F191" s="746"/>
      <c r="G191" s="746"/>
      <c r="H191" s="746"/>
      <c r="I191" s="746"/>
      <c r="J191" s="746"/>
      <c r="K191" s="746"/>
      <c r="L191" s="746"/>
      <c r="M191" s="746"/>
      <c r="N191" s="746"/>
      <c r="O191" s="746"/>
      <c r="P191" s="746"/>
      <c r="Q191" s="746"/>
      <c r="R191" s="746"/>
      <c r="S191" s="746"/>
      <c r="T191" s="746"/>
      <c r="U191" s="746"/>
    </row>
    <row r="192" spans="3:21">
      <c r="C192" s="746"/>
      <c r="D192" s="746"/>
      <c r="E192" s="746"/>
      <c r="F192" s="746"/>
      <c r="G192" s="746"/>
      <c r="H192" s="746"/>
      <c r="I192" s="746"/>
      <c r="J192" s="746"/>
      <c r="K192" s="746"/>
      <c r="L192" s="746"/>
      <c r="M192" s="746"/>
      <c r="N192" s="746"/>
      <c r="O192" s="746"/>
      <c r="P192" s="746"/>
      <c r="Q192" s="746"/>
      <c r="R192" s="746"/>
      <c r="S192" s="746"/>
      <c r="T192" s="746"/>
      <c r="U192" s="746"/>
    </row>
    <row r="193" spans="3:21">
      <c r="C193" s="746"/>
      <c r="D193" s="746"/>
      <c r="E193" s="746"/>
      <c r="F193" s="746"/>
      <c r="G193" s="746"/>
      <c r="H193" s="746"/>
      <c r="I193" s="746"/>
      <c r="J193" s="746"/>
      <c r="K193" s="746"/>
      <c r="L193" s="746"/>
      <c r="M193" s="746"/>
      <c r="N193" s="746"/>
      <c r="O193" s="746"/>
      <c r="P193" s="746"/>
      <c r="Q193" s="746"/>
      <c r="R193" s="746"/>
      <c r="S193" s="746"/>
      <c r="T193" s="746"/>
      <c r="U193" s="746"/>
    </row>
    <row r="194" spans="3:21">
      <c r="C194" s="746"/>
      <c r="D194" s="746"/>
      <c r="E194" s="746"/>
      <c r="F194" s="746"/>
      <c r="G194" s="746"/>
      <c r="H194" s="746"/>
      <c r="I194" s="746"/>
      <c r="J194" s="746"/>
      <c r="K194" s="746"/>
      <c r="L194" s="746"/>
      <c r="M194" s="746"/>
      <c r="N194" s="746"/>
      <c r="O194" s="746"/>
      <c r="P194" s="746"/>
      <c r="Q194" s="746"/>
      <c r="R194" s="746"/>
      <c r="S194" s="746"/>
      <c r="T194" s="746"/>
      <c r="U194" s="746"/>
    </row>
    <row r="195" spans="3:21">
      <c r="C195" s="746"/>
      <c r="D195" s="746"/>
      <c r="E195" s="746"/>
      <c r="F195" s="746"/>
      <c r="G195" s="746"/>
      <c r="H195" s="746"/>
      <c r="I195" s="746"/>
      <c r="J195" s="746"/>
      <c r="K195" s="746"/>
      <c r="L195" s="746"/>
      <c r="M195" s="746"/>
      <c r="N195" s="746"/>
      <c r="O195" s="746"/>
      <c r="P195" s="746"/>
      <c r="Q195" s="746"/>
      <c r="R195" s="746"/>
      <c r="S195" s="746"/>
      <c r="T195" s="746"/>
      <c r="U195" s="746"/>
    </row>
    <row r="196" spans="3:21">
      <c r="C196" s="746"/>
      <c r="D196" s="746"/>
      <c r="E196" s="746"/>
      <c r="F196" s="746"/>
      <c r="G196" s="746"/>
      <c r="H196" s="746"/>
      <c r="I196" s="746"/>
      <c r="J196" s="746"/>
      <c r="K196" s="746"/>
      <c r="L196" s="746"/>
      <c r="M196" s="746"/>
      <c r="N196" s="746"/>
      <c r="O196" s="746"/>
      <c r="P196" s="746"/>
      <c r="Q196" s="746"/>
      <c r="R196" s="746"/>
      <c r="S196" s="746"/>
      <c r="T196" s="746"/>
      <c r="U196" s="746"/>
    </row>
    <row r="197" spans="3:21">
      <c r="C197" s="746"/>
      <c r="D197" s="746"/>
      <c r="E197" s="746"/>
      <c r="F197" s="746"/>
      <c r="G197" s="746"/>
      <c r="H197" s="746"/>
      <c r="I197" s="746"/>
      <c r="J197" s="746"/>
      <c r="K197" s="746"/>
      <c r="L197" s="746"/>
      <c r="M197" s="746"/>
      <c r="N197" s="746"/>
      <c r="O197" s="746"/>
      <c r="P197" s="746"/>
      <c r="Q197" s="746"/>
      <c r="R197" s="746"/>
      <c r="S197" s="746"/>
      <c r="T197" s="746"/>
      <c r="U197" s="746"/>
    </row>
    <row r="198" spans="3:21">
      <c r="C198" s="746"/>
      <c r="D198" s="746"/>
      <c r="E198" s="746"/>
      <c r="F198" s="746"/>
      <c r="G198" s="746"/>
      <c r="H198" s="746"/>
      <c r="I198" s="746"/>
      <c r="J198" s="746"/>
      <c r="K198" s="746"/>
      <c r="L198" s="746"/>
      <c r="M198" s="746"/>
      <c r="N198" s="746"/>
      <c r="O198" s="746"/>
      <c r="P198" s="746"/>
      <c r="Q198" s="746"/>
      <c r="R198" s="746"/>
      <c r="S198" s="746"/>
      <c r="T198" s="746"/>
      <c r="U198" s="746"/>
    </row>
    <row r="199" spans="3:21">
      <c r="C199" s="746"/>
      <c r="D199" s="746"/>
      <c r="E199" s="746"/>
      <c r="F199" s="746"/>
      <c r="G199" s="746"/>
      <c r="H199" s="746"/>
      <c r="I199" s="746"/>
      <c r="J199" s="746"/>
      <c r="K199" s="746"/>
      <c r="L199" s="746"/>
      <c r="M199" s="746"/>
      <c r="N199" s="746"/>
      <c r="O199" s="746"/>
      <c r="P199" s="746"/>
      <c r="Q199" s="746"/>
      <c r="R199" s="746"/>
      <c r="S199" s="746"/>
      <c r="T199" s="746"/>
      <c r="U199" s="746"/>
    </row>
    <row r="200" spans="3:21">
      <c r="C200" s="746"/>
      <c r="D200" s="746"/>
      <c r="E200" s="746"/>
      <c r="F200" s="746"/>
      <c r="G200" s="746"/>
      <c r="H200" s="746"/>
      <c r="I200" s="746"/>
      <c r="J200" s="746"/>
      <c r="K200" s="746"/>
      <c r="L200" s="746"/>
      <c r="M200" s="746"/>
      <c r="N200" s="746"/>
      <c r="O200" s="746"/>
      <c r="P200" s="746"/>
      <c r="Q200" s="746"/>
      <c r="R200" s="746"/>
      <c r="S200" s="746"/>
      <c r="T200" s="746"/>
      <c r="U200" s="746"/>
    </row>
    <row r="201" spans="3:21">
      <c r="C201" s="746"/>
      <c r="D201" s="746"/>
      <c r="E201" s="746"/>
      <c r="F201" s="746"/>
      <c r="G201" s="746"/>
      <c r="H201" s="746"/>
      <c r="I201" s="746"/>
      <c r="J201" s="746"/>
      <c r="K201" s="746"/>
      <c r="L201" s="746"/>
      <c r="M201" s="746"/>
      <c r="N201" s="746"/>
      <c r="O201" s="746"/>
      <c r="P201" s="746"/>
      <c r="Q201" s="746"/>
      <c r="R201" s="746"/>
      <c r="S201" s="746"/>
      <c r="T201" s="746"/>
      <c r="U201" s="746"/>
    </row>
    <row r="202" spans="3:21">
      <c r="C202" s="746"/>
      <c r="D202" s="746"/>
      <c r="E202" s="746"/>
      <c r="F202" s="746"/>
      <c r="G202" s="746"/>
      <c r="H202" s="746"/>
      <c r="I202" s="746"/>
      <c r="J202" s="746"/>
      <c r="K202" s="746"/>
      <c r="L202" s="746"/>
      <c r="M202" s="746"/>
      <c r="N202" s="746"/>
      <c r="O202" s="746"/>
      <c r="P202" s="746"/>
      <c r="Q202" s="746"/>
      <c r="R202" s="746"/>
      <c r="S202" s="746"/>
      <c r="T202" s="746"/>
      <c r="U202" s="746"/>
    </row>
    <row r="203" spans="3:21">
      <c r="C203" s="746"/>
      <c r="D203" s="746"/>
      <c r="E203" s="746"/>
      <c r="F203" s="746"/>
      <c r="G203" s="746"/>
      <c r="H203" s="746"/>
      <c r="I203" s="746"/>
      <c r="J203" s="746"/>
      <c r="K203" s="746"/>
      <c r="L203" s="746"/>
      <c r="M203" s="746"/>
      <c r="N203" s="746"/>
      <c r="O203" s="746"/>
      <c r="P203" s="746"/>
      <c r="Q203" s="746"/>
      <c r="R203" s="746"/>
      <c r="S203" s="746"/>
      <c r="T203" s="746"/>
      <c r="U203" s="746"/>
    </row>
    <row r="204" spans="3:21">
      <c r="C204" s="746"/>
      <c r="D204" s="746"/>
      <c r="E204" s="746"/>
      <c r="F204" s="746"/>
      <c r="G204" s="746"/>
      <c r="H204" s="746"/>
      <c r="I204" s="746"/>
      <c r="J204" s="746"/>
      <c r="K204" s="746"/>
      <c r="L204" s="746"/>
      <c r="M204" s="746"/>
      <c r="N204" s="746"/>
      <c r="O204" s="746"/>
      <c r="P204" s="746"/>
      <c r="Q204" s="746"/>
      <c r="R204" s="746"/>
      <c r="S204" s="746"/>
      <c r="T204" s="746"/>
      <c r="U204" s="746"/>
    </row>
    <row r="205" spans="3:21">
      <c r="C205" s="746"/>
      <c r="D205" s="746"/>
      <c r="E205" s="746"/>
      <c r="F205" s="746"/>
      <c r="G205" s="746"/>
      <c r="H205" s="746"/>
      <c r="I205" s="746"/>
      <c r="J205" s="746"/>
      <c r="K205" s="746"/>
      <c r="L205" s="746"/>
      <c r="M205" s="746"/>
      <c r="N205" s="746"/>
      <c r="O205" s="746"/>
      <c r="P205" s="746"/>
      <c r="Q205" s="746"/>
      <c r="R205" s="746"/>
      <c r="S205" s="746"/>
      <c r="T205" s="746"/>
      <c r="U205" s="746"/>
    </row>
    <row r="206" spans="3:21">
      <c r="C206" s="746"/>
      <c r="D206" s="746"/>
      <c r="E206" s="746"/>
      <c r="F206" s="746"/>
      <c r="G206" s="746"/>
      <c r="H206" s="746"/>
      <c r="I206" s="746"/>
      <c r="J206" s="746"/>
      <c r="K206" s="746"/>
      <c r="L206" s="746"/>
      <c r="M206" s="746"/>
      <c r="N206" s="746"/>
      <c r="O206" s="746"/>
      <c r="P206" s="746"/>
      <c r="Q206" s="746"/>
      <c r="R206" s="746"/>
      <c r="S206" s="746"/>
      <c r="T206" s="746"/>
      <c r="U206" s="746"/>
    </row>
    <row r="207" spans="3:21">
      <c r="C207" s="746"/>
      <c r="D207" s="746"/>
      <c r="E207" s="746"/>
      <c r="F207" s="746"/>
      <c r="G207" s="746"/>
      <c r="H207" s="746"/>
      <c r="I207" s="746"/>
      <c r="J207" s="746"/>
      <c r="K207" s="746"/>
      <c r="L207" s="746"/>
      <c r="M207" s="746"/>
      <c r="N207" s="746"/>
      <c r="O207" s="746"/>
      <c r="P207" s="746"/>
      <c r="Q207" s="746"/>
      <c r="R207" s="746"/>
      <c r="S207" s="746"/>
      <c r="T207" s="746"/>
      <c r="U207" s="746"/>
    </row>
    <row r="208" spans="3:21">
      <c r="C208" s="746"/>
      <c r="D208" s="746"/>
      <c r="E208" s="746"/>
      <c r="F208" s="746"/>
      <c r="G208" s="746"/>
      <c r="H208" s="746"/>
      <c r="I208" s="746"/>
      <c r="J208" s="746"/>
      <c r="K208" s="746"/>
      <c r="L208" s="746"/>
      <c r="M208" s="746"/>
      <c r="N208" s="746"/>
      <c r="O208" s="746"/>
      <c r="P208" s="746"/>
      <c r="Q208" s="746"/>
      <c r="R208" s="746"/>
      <c r="S208" s="746"/>
      <c r="T208" s="746"/>
      <c r="U208" s="746"/>
    </row>
    <row r="209" spans="3:21">
      <c r="C209" s="746"/>
      <c r="D209" s="746"/>
      <c r="E209" s="746"/>
      <c r="F209" s="746"/>
      <c r="G209" s="746"/>
      <c r="H209" s="746"/>
      <c r="I209" s="746"/>
      <c r="J209" s="746"/>
      <c r="K209" s="746"/>
      <c r="L209" s="746"/>
      <c r="M209" s="746"/>
      <c r="N209" s="746"/>
      <c r="O209" s="746"/>
      <c r="P209" s="746"/>
      <c r="Q209" s="746"/>
      <c r="R209" s="746"/>
      <c r="S209" s="746"/>
      <c r="T209" s="746"/>
      <c r="U209" s="746"/>
    </row>
    <row r="210" spans="3:21">
      <c r="C210" s="746"/>
      <c r="D210" s="746"/>
      <c r="E210" s="746"/>
      <c r="F210" s="746"/>
      <c r="G210" s="746"/>
      <c r="H210" s="746"/>
      <c r="I210" s="746"/>
      <c r="J210" s="746"/>
      <c r="K210" s="746"/>
      <c r="L210" s="746"/>
      <c r="M210" s="746"/>
      <c r="N210" s="746"/>
      <c r="O210" s="746"/>
      <c r="P210" s="746"/>
      <c r="Q210" s="746"/>
      <c r="R210" s="746"/>
      <c r="S210" s="746"/>
      <c r="T210" s="746"/>
      <c r="U210" s="746"/>
    </row>
    <row r="211" spans="3:21">
      <c r="C211" s="746"/>
      <c r="D211" s="746"/>
      <c r="E211" s="746"/>
      <c r="F211" s="746"/>
      <c r="G211" s="746"/>
      <c r="H211" s="746"/>
      <c r="I211" s="746"/>
      <c r="J211" s="746"/>
      <c r="K211" s="746"/>
      <c r="L211" s="746"/>
      <c r="M211" s="746"/>
      <c r="N211" s="746"/>
      <c r="O211" s="746"/>
      <c r="P211" s="746"/>
      <c r="Q211" s="746"/>
      <c r="R211" s="746"/>
      <c r="S211" s="746"/>
      <c r="T211" s="746"/>
      <c r="U211" s="746"/>
    </row>
    <row r="212" spans="3:21">
      <c r="C212" s="746"/>
      <c r="D212" s="746"/>
      <c r="E212" s="746"/>
      <c r="F212" s="746"/>
      <c r="G212" s="746"/>
      <c r="H212" s="746"/>
      <c r="I212" s="746"/>
      <c r="J212" s="746"/>
      <c r="K212" s="746"/>
      <c r="L212" s="746"/>
      <c r="M212" s="746"/>
      <c r="N212" s="746"/>
      <c r="O212" s="746"/>
      <c r="P212" s="746"/>
      <c r="Q212" s="746"/>
      <c r="R212" s="746"/>
      <c r="S212" s="746"/>
      <c r="T212" s="746"/>
      <c r="U212" s="746"/>
    </row>
    <row r="213" spans="3:21">
      <c r="C213" s="746"/>
      <c r="D213" s="746"/>
      <c r="E213" s="746"/>
      <c r="F213" s="746"/>
      <c r="G213" s="746"/>
      <c r="H213" s="746"/>
      <c r="I213" s="746"/>
      <c r="J213" s="746"/>
      <c r="K213" s="746"/>
      <c r="L213" s="746"/>
      <c r="M213" s="746"/>
      <c r="N213" s="746"/>
      <c r="O213" s="746"/>
      <c r="P213" s="746"/>
      <c r="Q213" s="746"/>
      <c r="R213" s="746"/>
      <c r="S213" s="746"/>
      <c r="T213" s="746"/>
      <c r="U213" s="746"/>
    </row>
    <row r="214" spans="3:21">
      <c r="C214" s="746"/>
      <c r="D214" s="746"/>
      <c r="E214" s="746"/>
      <c r="F214" s="746"/>
      <c r="G214" s="746"/>
      <c r="H214" s="746"/>
      <c r="I214" s="746"/>
      <c r="J214" s="746"/>
      <c r="K214" s="746"/>
      <c r="L214" s="746"/>
      <c r="M214" s="746"/>
      <c r="N214" s="746"/>
      <c r="O214" s="746"/>
      <c r="P214" s="746"/>
      <c r="Q214" s="746"/>
      <c r="R214" s="746"/>
      <c r="S214" s="746"/>
      <c r="T214" s="746"/>
      <c r="U214" s="746"/>
    </row>
    <row r="215" spans="3:21">
      <c r="C215" s="746"/>
      <c r="D215" s="746"/>
      <c r="E215" s="746"/>
      <c r="F215" s="746"/>
      <c r="G215" s="746"/>
      <c r="H215" s="746"/>
      <c r="I215" s="746"/>
      <c r="J215" s="746"/>
      <c r="K215" s="746"/>
      <c r="L215" s="746"/>
      <c r="M215" s="746"/>
      <c r="N215" s="746"/>
      <c r="O215" s="746"/>
      <c r="P215" s="746"/>
      <c r="Q215" s="746"/>
      <c r="R215" s="746"/>
      <c r="S215" s="746"/>
      <c r="T215" s="746"/>
      <c r="U215" s="746"/>
    </row>
    <row r="216" spans="3:21">
      <c r="C216" s="746"/>
      <c r="D216" s="746"/>
      <c r="E216" s="746"/>
      <c r="F216" s="746"/>
      <c r="G216" s="746"/>
      <c r="H216" s="746"/>
      <c r="I216" s="746"/>
      <c r="J216" s="746"/>
      <c r="K216" s="746"/>
      <c r="L216" s="746"/>
      <c r="M216" s="746"/>
      <c r="N216" s="746"/>
      <c r="O216" s="746"/>
      <c r="P216" s="746"/>
      <c r="Q216" s="746"/>
      <c r="R216" s="746"/>
      <c r="S216" s="746"/>
      <c r="T216" s="746"/>
      <c r="U216" s="746"/>
    </row>
    <row r="217" spans="3:21">
      <c r="C217" s="746"/>
      <c r="D217" s="746"/>
      <c r="E217" s="746"/>
      <c r="F217" s="746"/>
      <c r="G217" s="746"/>
      <c r="H217" s="746"/>
      <c r="I217" s="746"/>
      <c r="J217" s="746"/>
      <c r="K217" s="746"/>
      <c r="L217" s="746"/>
      <c r="M217" s="746"/>
      <c r="N217" s="746"/>
      <c r="O217" s="746"/>
      <c r="P217" s="746"/>
      <c r="Q217" s="746"/>
      <c r="R217" s="746"/>
      <c r="S217" s="746"/>
      <c r="T217" s="746"/>
      <c r="U217" s="746"/>
    </row>
    <row r="218" spans="3:21">
      <c r="C218" s="746"/>
      <c r="D218" s="746"/>
      <c r="E218" s="746"/>
      <c r="F218" s="746"/>
      <c r="G218" s="746"/>
      <c r="H218" s="746"/>
      <c r="I218" s="746"/>
      <c r="J218" s="746"/>
      <c r="K218" s="746"/>
      <c r="L218" s="746"/>
      <c r="M218" s="746"/>
      <c r="N218" s="746"/>
      <c r="O218" s="746"/>
      <c r="P218" s="746"/>
      <c r="Q218" s="746"/>
      <c r="R218" s="746"/>
      <c r="S218" s="746"/>
      <c r="T218" s="746"/>
      <c r="U218" s="746"/>
    </row>
    <row r="219" spans="3:21">
      <c r="C219" s="746"/>
      <c r="D219" s="746"/>
      <c r="E219" s="746"/>
      <c r="F219" s="746"/>
      <c r="G219" s="746"/>
      <c r="H219" s="746"/>
      <c r="I219" s="746"/>
      <c r="J219" s="746"/>
      <c r="K219" s="746"/>
      <c r="L219" s="746"/>
      <c r="M219" s="746"/>
      <c r="N219" s="746"/>
      <c r="O219" s="746"/>
      <c r="P219" s="746"/>
      <c r="Q219" s="746"/>
      <c r="R219" s="746"/>
      <c r="S219" s="746"/>
      <c r="T219" s="746"/>
      <c r="U219" s="746"/>
    </row>
    <row r="220" spans="3:21">
      <c r="C220" s="746"/>
      <c r="D220" s="746"/>
      <c r="E220" s="746"/>
      <c r="F220" s="746"/>
      <c r="G220" s="746"/>
      <c r="H220" s="746"/>
      <c r="I220" s="746"/>
      <c r="J220" s="746"/>
      <c r="K220" s="746"/>
      <c r="L220" s="746"/>
      <c r="M220" s="746"/>
      <c r="N220" s="746"/>
      <c r="O220" s="746"/>
      <c r="P220" s="746"/>
      <c r="Q220" s="746"/>
      <c r="R220" s="746"/>
      <c r="S220" s="746"/>
      <c r="T220" s="746"/>
      <c r="U220" s="746"/>
    </row>
    <row r="221" spans="3:21">
      <c r="C221" s="746"/>
      <c r="D221" s="746"/>
      <c r="E221" s="746"/>
      <c r="F221" s="746"/>
      <c r="G221" s="746"/>
      <c r="H221" s="746"/>
      <c r="I221" s="746"/>
      <c r="J221" s="746"/>
      <c r="K221" s="746"/>
      <c r="L221" s="746"/>
      <c r="M221" s="746"/>
      <c r="N221" s="746"/>
      <c r="O221" s="746"/>
      <c r="P221" s="746"/>
      <c r="Q221" s="746"/>
      <c r="R221" s="746"/>
      <c r="S221" s="746"/>
      <c r="T221" s="746"/>
      <c r="U221" s="746"/>
    </row>
    <row r="222" spans="3:21">
      <c r="C222" s="746"/>
      <c r="D222" s="746"/>
      <c r="E222" s="746"/>
      <c r="F222" s="746"/>
      <c r="G222" s="746"/>
      <c r="H222" s="746"/>
      <c r="I222" s="746"/>
      <c r="J222" s="746"/>
      <c r="K222" s="746"/>
      <c r="L222" s="746"/>
      <c r="M222" s="746"/>
      <c r="N222" s="746"/>
      <c r="O222" s="746"/>
      <c r="P222" s="746"/>
      <c r="Q222" s="746"/>
      <c r="R222" s="746"/>
      <c r="S222" s="746"/>
      <c r="T222" s="746"/>
      <c r="U222" s="746"/>
    </row>
    <row r="223" spans="3:21">
      <c r="C223" s="746"/>
      <c r="D223" s="746"/>
      <c r="E223" s="746"/>
      <c r="F223" s="746"/>
      <c r="G223" s="746"/>
      <c r="H223" s="746"/>
      <c r="I223" s="746"/>
      <c r="J223" s="746"/>
      <c r="K223" s="746"/>
      <c r="L223" s="746"/>
      <c r="M223" s="746"/>
      <c r="N223" s="746"/>
      <c r="O223" s="746"/>
      <c r="P223" s="746"/>
      <c r="Q223" s="746"/>
      <c r="R223" s="746"/>
      <c r="S223" s="746"/>
      <c r="T223" s="746"/>
      <c r="U223" s="746"/>
    </row>
    <row r="224" spans="3:21">
      <c r="C224" s="746"/>
      <c r="D224" s="746"/>
      <c r="E224" s="746"/>
      <c r="F224" s="746"/>
      <c r="G224" s="746"/>
      <c r="H224" s="746"/>
      <c r="I224" s="746"/>
      <c r="J224" s="746"/>
      <c r="K224" s="746"/>
      <c r="L224" s="746"/>
      <c r="M224" s="746"/>
      <c r="N224" s="746"/>
      <c r="O224" s="746"/>
      <c r="P224" s="746"/>
      <c r="Q224" s="746"/>
      <c r="R224" s="746"/>
      <c r="S224" s="746"/>
      <c r="T224" s="746"/>
      <c r="U224" s="746"/>
    </row>
    <row r="225" spans="3:21">
      <c r="C225" s="746"/>
      <c r="D225" s="746"/>
      <c r="E225" s="746"/>
      <c r="F225" s="746"/>
      <c r="G225" s="746"/>
      <c r="H225" s="746"/>
      <c r="I225" s="746"/>
      <c r="J225" s="746"/>
      <c r="K225" s="746"/>
      <c r="L225" s="746"/>
      <c r="M225" s="746"/>
      <c r="N225" s="746"/>
      <c r="O225" s="746"/>
      <c r="P225" s="746"/>
      <c r="Q225" s="746"/>
      <c r="R225" s="746"/>
      <c r="S225" s="746"/>
      <c r="T225" s="746"/>
      <c r="U225" s="746"/>
    </row>
    <row r="226" spans="3:21">
      <c r="C226" s="746"/>
      <c r="D226" s="746"/>
      <c r="E226" s="746"/>
      <c r="F226" s="746"/>
      <c r="G226" s="746"/>
      <c r="H226" s="746"/>
      <c r="I226" s="746"/>
      <c r="J226" s="746"/>
      <c r="K226" s="746"/>
      <c r="L226" s="746"/>
      <c r="M226" s="746"/>
      <c r="N226" s="746"/>
      <c r="O226" s="746"/>
      <c r="P226" s="746"/>
      <c r="Q226" s="746"/>
      <c r="R226" s="746"/>
      <c r="S226" s="746"/>
      <c r="T226" s="746"/>
      <c r="U226" s="746"/>
    </row>
    <row r="227" spans="3:21">
      <c r="C227" s="746"/>
      <c r="D227" s="746"/>
      <c r="E227" s="746"/>
      <c r="F227" s="746"/>
      <c r="G227" s="746"/>
      <c r="H227" s="746"/>
      <c r="I227" s="746"/>
      <c r="J227" s="746"/>
      <c r="K227" s="746"/>
      <c r="L227" s="746"/>
      <c r="M227" s="746"/>
      <c r="N227" s="746"/>
      <c r="O227" s="746"/>
      <c r="P227" s="746"/>
      <c r="Q227" s="746"/>
      <c r="R227" s="746"/>
      <c r="S227" s="746"/>
      <c r="T227" s="746"/>
      <c r="U227" s="746"/>
    </row>
    <row r="228" spans="3:21">
      <c r="C228" s="746"/>
      <c r="D228" s="746"/>
      <c r="E228" s="746"/>
      <c r="F228" s="746"/>
      <c r="G228" s="746"/>
      <c r="H228" s="746"/>
      <c r="I228" s="746"/>
      <c r="J228" s="746"/>
      <c r="K228" s="746"/>
      <c r="L228" s="746"/>
      <c r="M228" s="746"/>
      <c r="N228" s="746"/>
      <c r="O228" s="746"/>
      <c r="P228" s="746"/>
      <c r="Q228" s="746"/>
      <c r="R228" s="746"/>
      <c r="S228" s="746"/>
      <c r="T228" s="746"/>
      <c r="U228" s="746"/>
    </row>
    <row r="229" spans="3:21">
      <c r="C229" s="746"/>
      <c r="D229" s="746"/>
      <c r="E229" s="746"/>
      <c r="F229" s="746"/>
      <c r="G229" s="746"/>
      <c r="H229" s="746"/>
      <c r="I229" s="746"/>
      <c r="J229" s="746"/>
      <c r="K229" s="746"/>
      <c r="L229" s="746"/>
      <c r="M229" s="746"/>
      <c r="N229" s="746"/>
      <c r="O229" s="746"/>
      <c r="P229" s="746"/>
      <c r="Q229" s="746"/>
      <c r="R229" s="746"/>
      <c r="S229" s="746"/>
      <c r="T229" s="746"/>
      <c r="U229" s="746"/>
    </row>
    <row r="230" spans="3:21">
      <c r="C230" s="746"/>
      <c r="D230" s="746"/>
      <c r="E230" s="746"/>
      <c r="F230" s="746"/>
      <c r="G230" s="746"/>
      <c r="H230" s="746"/>
      <c r="I230" s="746"/>
      <c r="J230" s="746"/>
      <c r="K230" s="746"/>
      <c r="L230" s="746"/>
      <c r="M230" s="746"/>
      <c r="N230" s="746"/>
      <c r="O230" s="746"/>
      <c r="P230" s="746"/>
      <c r="Q230" s="746"/>
      <c r="R230" s="746"/>
      <c r="S230" s="746"/>
      <c r="T230" s="746"/>
      <c r="U230" s="746"/>
    </row>
    <row r="231" spans="3:21">
      <c r="C231" s="746"/>
      <c r="D231" s="746"/>
      <c r="E231" s="746"/>
      <c r="F231" s="746"/>
      <c r="G231" s="746"/>
      <c r="H231" s="746"/>
      <c r="I231" s="746"/>
      <c r="J231" s="746"/>
      <c r="K231" s="746"/>
      <c r="L231" s="746"/>
      <c r="M231" s="746"/>
      <c r="N231" s="746"/>
      <c r="O231" s="746"/>
      <c r="P231" s="746"/>
      <c r="Q231" s="746"/>
      <c r="R231" s="746"/>
      <c r="S231" s="746"/>
      <c r="T231" s="746"/>
      <c r="U231" s="746"/>
    </row>
    <row r="232" spans="3:21">
      <c r="C232" s="746"/>
      <c r="D232" s="746"/>
      <c r="E232" s="746"/>
      <c r="F232" s="746"/>
      <c r="G232" s="746"/>
      <c r="H232" s="746"/>
      <c r="I232" s="746"/>
      <c r="J232" s="746"/>
      <c r="K232" s="746"/>
      <c r="L232" s="746"/>
      <c r="M232" s="746"/>
      <c r="N232" s="746"/>
      <c r="O232" s="746"/>
      <c r="P232" s="746"/>
      <c r="Q232" s="746"/>
      <c r="R232" s="746"/>
      <c r="S232" s="746"/>
      <c r="T232" s="746"/>
      <c r="U232" s="746"/>
    </row>
    <row r="233" spans="3:21">
      <c r="C233" s="746"/>
      <c r="D233" s="746"/>
      <c r="E233" s="746"/>
      <c r="F233" s="746"/>
      <c r="G233" s="746"/>
      <c r="H233" s="746"/>
      <c r="I233" s="746"/>
      <c r="J233" s="746"/>
      <c r="K233" s="746"/>
      <c r="L233" s="746"/>
      <c r="M233" s="746"/>
      <c r="N233" s="746"/>
      <c r="O233" s="746"/>
      <c r="P233" s="746"/>
      <c r="Q233" s="746"/>
      <c r="R233" s="746"/>
      <c r="S233" s="746"/>
      <c r="T233" s="746"/>
      <c r="U233" s="746"/>
    </row>
    <row r="234" spans="3:21">
      <c r="C234" s="746"/>
      <c r="D234" s="746"/>
      <c r="E234" s="746"/>
      <c r="F234" s="746"/>
      <c r="G234" s="746"/>
      <c r="H234" s="746"/>
      <c r="I234" s="746"/>
      <c r="J234" s="746"/>
      <c r="K234" s="746"/>
      <c r="L234" s="746"/>
      <c r="M234" s="746"/>
      <c r="N234" s="746"/>
      <c r="O234" s="746"/>
      <c r="P234" s="746"/>
      <c r="Q234" s="746"/>
      <c r="R234" s="746"/>
      <c r="S234" s="746"/>
      <c r="T234" s="746"/>
      <c r="U234" s="746"/>
    </row>
    <row r="235" spans="3:21">
      <c r="C235" s="746"/>
      <c r="D235" s="746"/>
      <c r="E235" s="746"/>
      <c r="F235" s="746"/>
      <c r="G235" s="746"/>
      <c r="H235" s="746"/>
      <c r="I235" s="746"/>
      <c r="J235" s="746"/>
      <c r="K235" s="746"/>
      <c r="L235" s="746"/>
      <c r="M235" s="746"/>
      <c r="N235" s="746"/>
      <c r="O235" s="746"/>
      <c r="P235" s="746"/>
      <c r="Q235" s="746"/>
      <c r="R235" s="746"/>
      <c r="S235" s="746"/>
      <c r="T235" s="746"/>
      <c r="U235" s="746"/>
    </row>
    <row r="236" spans="3:21">
      <c r="C236" s="746"/>
      <c r="D236" s="746"/>
      <c r="E236" s="746"/>
      <c r="F236" s="746"/>
      <c r="G236" s="746"/>
      <c r="H236" s="746"/>
      <c r="I236" s="746"/>
      <c r="J236" s="746"/>
      <c r="K236" s="746"/>
      <c r="L236" s="746"/>
      <c r="M236" s="746"/>
      <c r="N236" s="746"/>
      <c r="O236" s="746"/>
      <c r="P236" s="746"/>
      <c r="Q236" s="746"/>
      <c r="R236" s="746"/>
      <c r="S236" s="746"/>
      <c r="T236" s="746"/>
      <c r="U236" s="746"/>
    </row>
    <row r="237" spans="3:21">
      <c r="C237" s="746"/>
      <c r="D237" s="746"/>
      <c r="E237" s="746"/>
      <c r="F237" s="746"/>
      <c r="G237" s="746"/>
      <c r="H237" s="746"/>
      <c r="I237" s="746"/>
      <c r="J237" s="746"/>
      <c r="K237" s="746"/>
      <c r="L237" s="746"/>
      <c r="M237" s="746"/>
      <c r="N237" s="746"/>
      <c r="O237" s="746"/>
      <c r="P237" s="746"/>
      <c r="Q237" s="746"/>
      <c r="R237" s="746"/>
      <c r="S237" s="746"/>
      <c r="T237" s="746"/>
      <c r="U237" s="746"/>
    </row>
    <row r="238" spans="3:21">
      <c r="C238" s="746"/>
      <c r="D238" s="746"/>
      <c r="E238" s="746"/>
      <c r="F238" s="746"/>
      <c r="G238" s="746"/>
      <c r="H238" s="746"/>
      <c r="I238" s="746"/>
      <c r="J238" s="746"/>
      <c r="K238" s="746"/>
      <c r="L238" s="746"/>
      <c r="M238" s="746"/>
      <c r="N238" s="746"/>
      <c r="O238" s="746"/>
      <c r="P238" s="746"/>
      <c r="Q238" s="746"/>
      <c r="R238" s="746"/>
      <c r="S238" s="746"/>
      <c r="T238" s="746"/>
      <c r="U238" s="746"/>
    </row>
    <row r="239" spans="3:21">
      <c r="C239" s="746"/>
      <c r="D239" s="746"/>
      <c r="E239" s="746"/>
      <c r="F239" s="746"/>
      <c r="G239" s="746"/>
      <c r="H239" s="746"/>
      <c r="I239" s="746"/>
      <c r="J239" s="746"/>
      <c r="K239" s="746"/>
      <c r="L239" s="746"/>
      <c r="M239" s="746"/>
      <c r="N239" s="746"/>
      <c r="O239" s="746"/>
      <c r="P239" s="746"/>
      <c r="Q239" s="746"/>
      <c r="R239" s="746"/>
      <c r="S239" s="746"/>
      <c r="T239" s="746"/>
      <c r="U239" s="746"/>
    </row>
    <row r="240" spans="3:21">
      <c r="C240" s="746"/>
      <c r="D240" s="746"/>
      <c r="E240" s="746"/>
      <c r="F240" s="746"/>
      <c r="G240" s="746"/>
      <c r="H240" s="746"/>
      <c r="I240" s="746"/>
      <c r="J240" s="746"/>
      <c r="K240" s="746"/>
      <c r="L240" s="746"/>
      <c r="M240" s="746"/>
      <c r="N240" s="746"/>
      <c r="O240" s="746"/>
      <c r="P240" s="746"/>
      <c r="Q240" s="746"/>
      <c r="R240" s="746"/>
      <c r="S240" s="746"/>
      <c r="T240" s="746"/>
      <c r="U240" s="746"/>
    </row>
    <row r="241" spans="3:21">
      <c r="C241" s="746"/>
      <c r="D241" s="746"/>
      <c r="E241" s="746"/>
      <c r="F241" s="746"/>
      <c r="G241" s="746"/>
      <c r="H241" s="746"/>
      <c r="I241" s="746"/>
      <c r="J241" s="746"/>
      <c r="K241" s="746"/>
      <c r="L241" s="746"/>
      <c r="M241" s="746"/>
      <c r="N241" s="746"/>
      <c r="O241" s="746"/>
      <c r="P241" s="746"/>
      <c r="Q241" s="746"/>
      <c r="R241" s="746"/>
      <c r="S241" s="746"/>
      <c r="T241" s="746"/>
      <c r="U241" s="746"/>
    </row>
    <row r="242" spans="3:21">
      <c r="C242" s="746"/>
      <c r="D242" s="746"/>
      <c r="E242" s="746"/>
      <c r="F242" s="746"/>
      <c r="G242" s="746"/>
      <c r="H242" s="746"/>
      <c r="I242" s="746"/>
      <c r="J242" s="746"/>
      <c r="K242" s="746"/>
      <c r="L242" s="746"/>
      <c r="M242" s="746"/>
      <c r="N242" s="746"/>
      <c r="O242" s="746"/>
      <c r="P242" s="746"/>
      <c r="Q242" s="746"/>
      <c r="R242" s="746"/>
      <c r="S242" s="746"/>
      <c r="T242" s="746"/>
      <c r="U242" s="746"/>
    </row>
    <row r="243" spans="3:21">
      <c r="C243" s="746"/>
      <c r="D243" s="746"/>
      <c r="E243" s="746"/>
      <c r="F243" s="746"/>
      <c r="G243" s="746"/>
      <c r="H243" s="746"/>
      <c r="I243" s="746"/>
      <c r="J243" s="746"/>
      <c r="K243" s="746"/>
      <c r="L243" s="746"/>
      <c r="M243" s="746"/>
      <c r="N243" s="746"/>
      <c r="O243" s="746"/>
      <c r="P243" s="746"/>
      <c r="Q243" s="746"/>
      <c r="R243" s="746"/>
      <c r="S243" s="746"/>
      <c r="T243" s="746"/>
      <c r="U243" s="746"/>
    </row>
    <row r="244" spans="3:21">
      <c r="C244" s="746"/>
      <c r="D244" s="746"/>
      <c r="E244" s="746"/>
      <c r="F244" s="746"/>
      <c r="G244" s="746"/>
      <c r="H244" s="746"/>
      <c r="I244" s="746"/>
      <c r="J244" s="746"/>
      <c r="K244" s="746"/>
      <c r="L244" s="746"/>
      <c r="M244" s="746"/>
      <c r="N244" s="746"/>
      <c r="O244" s="746"/>
      <c r="P244" s="746"/>
      <c r="Q244" s="746"/>
      <c r="R244" s="746"/>
      <c r="S244" s="746"/>
      <c r="T244" s="746"/>
      <c r="U244" s="746"/>
    </row>
    <row r="245" spans="3:21">
      <c r="C245" s="746"/>
      <c r="D245" s="746"/>
      <c r="E245" s="746"/>
      <c r="F245" s="746"/>
      <c r="G245" s="746"/>
      <c r="H245" s="746"/>
      <c r="I245" s="746"/>
      <c r="J245" s="746"/>
      <c r="K245" s="746"/>
      <c r="L245" s="746"/>
      <c r="M245" s="746"/>
      <c r="N245" s="746"/>
      <c r="O245" s="746"/>
      <c r="P245" s="746"/>
      <c r="Q245" s="746"/>
      <c r="R245" s="746"/>
      <c r="S245" s="746"/>
      <c r="T245" s="746"/>
      <c r="U245" s="746"/>
    </row>
    <row r="246" spans="3:21">
      <c r="C246" s="746"/>
      <c r="D246" s="746"/>
      <c r="E246" s="746"/>
      <c r="F246" s="746"/>
      <c r="G246" s="746"/>
      <c r="H246" s="746"/>
      <c r="I246" s="746"/>
      <c r="J246" s="746"/>
      <c r="K246" s="746"/>
      <c r="L246" s="746"/>
      <c r="M246" s="746"/>
      <c r="N246" s="746"/>
      <c r="O246" s="746"/>
      <c r="P246" s="746"/>
      <c r="Q246" s="746"/>
      <c r="R246" s="746"/>
      <c r="S246" s="746"/>
      <c r="T246" s="746"/>
      <c r="U246" s="746"/>
    </row>
    <row r="247" spans="3:21">
      <c r="C247" s="746"/>
      <c r="D247" s="746"/>
      <c r="E247" s="746"/>
      <c r="F247" s="746"/>
      <c r="G247" s="746"/>
      <c r="H247" s="746"/>
      <c r="I247" s="746"/>
      <c r="J247" s="746"/>
      <c r="K247" s="746"/>
      <c r="L247" s="746"/>
      <c r="M247" s="746"/>
      <c r="N247" s="746"/>
      <c r="O247" s="746"/>
      <c r="P247" s="746"/>
      <c r="Q247" s="746"/>
      <c r="R247" s="746"/>
      <c r="S247" s="746"/>
      <c r="T247" s="746"/>
      <c r="U247" s="746"/>
    </row>
    <row r="248" spans="3:21">
      <c r="C248" s="746"/>
      <c r="D248" s="746"/>
      <c r="E248" s="746"/>
      <c r="F248" s="746"/>
      <c r="G248" s="746"/>
      <c r="H248" s="746"/>
      <c r="I248" s="746"/>
      <c r="J248" s="746"/>
      <c r="K248" s="746"/>
      <c r="L248" s="746"/>
      <c r="M248" s="746"/>
      <c r="N248" s="746"/>
      <c r="O248" s="746"/>
      <c r="P248" s="746"/>
      <c r="Q248" s="746"/>
      <c r="R248" s="746"/>
      <c r="S248" s="746"/>
      <c r="T248" s="746"/>
      <c r="U248" s="746"/>
    </row>
    <row r="249" spans="3:21">
      <c r="C249" s="746"/>
      <c r="D249" s="746"/>
      <c r="E249" s="746"/>
      <c r="F249" s="746"/>
      <c r="G249" s="746"/>
      <c r="H249" s="746"/>
      <c r="I249" s="746"/>
      <c r="J249" s="746"/>
      <c r="K249" s="746"/>
      <c r="L249" s="746"/>
      <c r="M249" s="746"/>
      <c r="N249" s="746"/>
      <c r="O249" s="746"/>
      <c r="P249" s="746"/>
      <c r="Q249" s="746"/>
      <c r="R249" s="746"/>
      <c r="S249" s="746"/>
      <c r="T249" s="746"/>
      <c r="U249" s="746"/>
    </row>
    <row r="250" spans="3:21">
      <c r="C250" s="746"/>
      <c r="D250" s="746"/>
      <c r="E250" s="746"/>
      <c r="F250" s="746"/>
      <c r="G250" s="746"/>
      <c r="H250" s="746"/>
      <c r="I250" s="746"/>
      <c r="J250" s="746"/>
      <c r="K250" s="746"/>
      <c r="L250" s="746"/>
      <c r="M250" s="746"/>
      <c r="N250" s="746"/>
      <c r="O250" s="746"/>
      <c r="P250" s="746"/>
      <c r="Q250" s="746"/>
      <c r="R250" s="746"/>
      <c r="S250" s="746"/>
      <c r="T250" s="746"/>
      <c r="U250" s="746"/>
    </row>
    <row r="251" spans="3:21">
      <c r="C251" s="746"/>
      <c r="D251" s="746"/>
      <c r="E251" s="746"/>
      <c r="F251" s="746"/>
      <c r="G251" s="746"/>
      <c r="H251" s="746"/>
      <c r="I251" s="746"/>
      <c r="J251" s="746"/>
      <c r="K251" s="746"/>
      <c r="L251" s="746"/>
      <c r="M251" s="746"/>
      <c r="N251" s="746"/>
      <c r="O251" s="746"/>
      <c r="P251" s="746"/>
      <c r="Q251" s="746"/>
      <c r="R251" s="746"/>
      <c r="S251" s="746"/>
      <c r="T251" s="746"/>
      <c r="U251" s="746"/>
    </row>
    <row r="252" spans="3:21">
      <c r="C252" s="746"/>
      <c r="D252" s="746"/>
      <c r="E252" s="746"/>
      <c r="F252" s="746"/>
      <c r="G252" s="746"/>
      <c r="H252" s="746"/>
      <c r="I252" s="746"/>
      <c r="J252" s="746"/>
      <c r="K252" s="746"/>
      <c r="L252" s="746"/>
      <c r="M252" s="746"/>
      <c r="N252" s="746"/>
      <c r="O252" s="746"/>
      <c r="P252" s="746"/>
      <c r="Q252" s="746"/>
      <c r="R252" s="746"/>
      <c r="S252" s="746"/>
      <c r="T252" s="746"/>
      <c r="U252" s="746"/>
    </row>
    <row r="253" spans="3:21">
      <c r="C253" s="746"/>
      <c r="D253" s="746"/>
      <c r="E253" s="746"/>
      <c r="F253" s="746"/>
      <c r="G253" s="746"/>
      <c r="H253" s="746"/>
      <c r="I253" s="746"/>
      <c r="J253" s="746"/>
      <c r="K253" s="746"/>
      <c r="L253" s="746"/>
      <c r="M253" s="746"/>
      <c r="N253" s="746"/>
      <c r="O253" s="746"/>
      <c r="P253" s="746"/>
      <c r="Q253" s="746"/>
      <c r="R253" s="746"/>
      <c r="S253" s="746"/>
      <c r="T253" s="746"/>
      <c r="U253" s="746"/>
    </row>
    <row r="254" spans="3:21">
      <c r="C254" s="746"/>
      <c r="D254" s="746"/>
      <c r="E254" s="746"/>
      <c r="F254" s="746"/>
      <c r="G254" s="746"/>
      <c r="H254" s="746"/>
      <c r="I254" s="746"/>
      <c r="J254" s="746"/>
      <c r="K254" s="746"/>
      <c r="L254" s="746"/>
      <c r="M254" s="746"/>
      <c r="N254" s="746"/>
      <c r="O254" s="746"/>
      <c r="P254" s="746"/>
      <c r="Q254" s="746"/>
      <c r="R254" s="746"/>
      <c r="S254" s="746"/>
      <c r="T254" s="746"/>
      <c r="U254" s="746"/>
    </row>
    <row r="255" spans="3:21">
      <c r="C255" s="746"/>
      <c r="D255" s="746"/>
      <c r="E255" s="746"/>
      <c r="F255" s="746"/>
      <c r="G255" s="746"/>
      <c r="H255" s="746"/>
      <c r="I255" s="746"/>
      <c r="J255" s="746"/>
      <c r="K255" s="746"/>
      <c r="L255" s="746"/>
      <c r="M255" s="746"/>
      <c r="N255" s="746"/>
      <c r="O255" s="746"/>
      <c r="P255" s="746"/>
      <c r="Q255" s="746"/>
      <c r="R255" s="746"/>
      <c r="S255" s="746"/>
      <c r="T255" s="746"/>
      <c r="U255" s="746"/>
    </row>
    <row r="256" spans="3:21">
      <c r="C256" s="746"/>
      <c r="D256" s="746"/>
      <c r="E256" s="746"/>
      <c r="F256" s="746"/>
      <c r="G256" s="746"/>
      <c r="H256" s="746"/>
      <c r="I256" s="746"/>
      <c r="J256" s="746"/>
      <c r="K256" s="746"/>
      <c r="L256" s="746"/>
      <c r="M256" s="746"/>
      <c r="N256" s="746"/>
      <c r="O256" s="746"/>
      <c r="P256" s="746"/>
      <c r="Q256" s="746"/>
      <c r="R256" s="746"/>
      <c r="S256" s="746"/>
      <c r="T256" s="746"/>
      <c r="U256" s="746"/>
    </row>
    <row r="257" spans="3:21">
      <c r="C257" s="746"/>
      <c r="D257" s="746"/>
      <c r="E257" s="746"/>
      <c r="F257" s="746"/>
      <c r="G257" s="746"/>
      <c r="H257" s="746"/>
      <c r="I257" s="746"/>
      <c r="J257" s="746"/>
      <c r="K257" s="746"/>
      <c r="L257" s="746"/>
      <c r="M257" s="746"/>
      <c r="N257" s="746"/>
      <c r="O257" s="746"/>
      <c r="P257" s="746"/>
      <c r="Q257" s="746"/>
      <c r="R257" s="746"/>
      <c r="S257" s="746"/>
      <c r="T257" s="746"/>
      <c r="U257" s="746"/>
    </row>
    <row r="258" spans="3:21">
      <c r="C258" s="746"/>
      <c r="D258" s="746"/>
      <c r="E258" s="746"/>
      <c r="F258" s="746"/>
      <c r="G258" s="746"/>
      <c r="H258" s="746"/>
      <c r="I258" s="746"/>
      <c r="J258" s="746"/>
      <c r="K258" s="746"/>
      <c r="L258" s="746"/>
      <c r="M258" s="746"/>
      <c r="N258" s="746"/>
      <c r="O258" s="746"/>
      <c r="P258" s="746"/>
      <c r="Q258" s="746"/>
      <c r="R258" s="746"/>
      <c r="S258" s="746"/>
      <c r="T258" s="746"/>
      <c r="U258" s="746"/>
    </row>
    <row r="259" spans="3:21">
      <c r="C259" s="746"/>
      <c r="D259" s="746"/>
      <c r="E259" s="746"/>
      <c r="F259" s="746"/>
      <c r="G259" s="746"/>
      <c r="H259" s="746"/>
      <c r="I259" s="746"/>
      <c r="J259" s="746"/>
      <c r="K259" s="746"/>
      <c r="L259" s="746"/>
      <c r="M259" s="746"/>
      <c r="N259" s="746"/>
      <c r="O259" s="746"/>
      <c r="P259" s="746"/>
      <c r="Q259" s="746"/>
      <c r="R259" s="746"/>
      <c r="S259" s="746"/>
      <c r="T259" s="746"/>
      <c r="U259" s="746"/>
    </row>
    <row r="260" spans="3:21">
      <c r="C260" s="746"/>
      <c r="D260" s="746"/>
      <c r="E260" s="746"/>
      <c r="F260" s="746"/>
      <c r="G260" s="746"/>
      <c r="H260" s="746"/>
      <c r="I260" s="746"/>
      <c r="J260" s="746"/>
      <c r="K260" s="746"/>
      <c r="L260" s="746"/>
      <c r="M260" s="746"/>
      <c r="N260" s="746"/>
      <c r="O260" s="746"/>
      <c r="P260" s="746"/>
      <c r="Q260" s="746"/>
      <c r="R260" s="746"/>
      <c r="S260" s="746"/>
      <c r="T260" s="746"/>
      <c r="U260" s="746"/>
    </row>
    <row r="261" spans="3:21">
      <c r="C261" s="746"/>
      <c r="D261" s="746"/>
      <c r="E261" s="746"/>
      <c r="F261" s="746"/>
      <c r="G261" s="746"/>
      <c r="H261" s="746"/>
      <c r="I261" s="746"/>
      <c r="J261" s="746"/>
      <c r="K261" s="746"/>
      <c r="L261" s="746"/>
      <c r="M261" s="746"/>
      <c r="N261" s="746"/>
      <c r="O261" s="746"/>
      <c r="P261" s="746"/>
      <c r="Q261" s="746"/>
      <c r="R261" s="746"/>
      <c r="S261" s="746"/>
      <c r="T261" s="746"/>
      <c r="U261" s="746"/>
    </row>
    <row r="262" spans="3:21">
      <c r="C262" s="746"/>
      <c r="D262" s="746"/>
      <c r="E262" s="746"/>
      <c r="F262" s="746"/>
      <c r="G262" s="746"/>
      <c r="H262" s="746"/>
      <c r="I262" s="746"/>
      <c r="J262" s="746"/>
      <c r="K262" s="746"/>
      <c r="L262" s="746"/>
      <c r="M262" s="746"/>
      <c r="N262" s="746"/>
      <c r="O262" s="746"/>
      <c r="P262" s="746"/>
      <c r="Q262" s="746"/>
      <c r="R262" s="746"/>
      <c r="S262" s="746"/>
      <c r="T262" s="746"/>
      <c r="U262" s="746"/>
    </row>
    <row r="263" spans="3:21">
      <c r="C263" s="746"/>
      <c r="D263" s="746"/>
      <c r="E263" s="746"/>
      <c r="F263" s="746"/>
      <c r="G263" s="746"/>
      <c r="H263" s="746"/>
      <c r="I263" s="746"/>
      <c r="J263" s="746"/>
      <c r="K263" s="746"/>
      <c r="L263" s="746"/>
      <c r="M263" s="746"/>
      <c r="N263" s="746"/>
      <c r="O263" s="746"/>
      <c r="P263" s="746"/>
      <c r="Q263" s="746"/>
      <c r="R263" s="746"/>
      <c r="S263" s="746"/>
      <c r="T263" s="746"/>
      <c r="U263" s="746"/>
    </row>
    <row r="264" spans="3:21">
      <c r="C264" s="746"/>
      <c r="D264" s="746"/>
      <c r="E264" s="746"/>
      <c r="F264" s="746"/>
      <c r="G264" s="746"/>
      <c r="H264" s="746"/>
      <c r="I264" s="746"/>
      <c r="J264" s="746"/>
      <c r="K264" s="746"/>
      <c r="L264" s="746"/>
      <c r="M264" s="746"/>
      <c r="N264" s="746"/>
      <c r="O264" s="746"/>
      <c r="P264" s="746"/>
      <c r="Q264" s="746"/>
      <c r="R264" s="746"/>
      <c r="S264" s="746"/>
      <c r="T264" s="746"/>
      <c r="U264" s="746"/>
    </row>
    <row r="265" spans="3:21">
      <c r="C265" s="746"/>
      <c r="D265" s="746"/>
      <c r="E265" s="746"/>
      <c r="F265" s="746"/>
      <c r="G265" s="746"/>
      <c r="H265" s="746"/>
      <c r="I265" s="746"/>
      <c r="J265" s="746"/>
      <c r="K265" s="746"/>
      <c r="L265" s="746"/>
      <c r="M265" s="746"/>
      <c r="N265" s="746"/>
      <c r="O265" s="746"/>
      <c r="P265" s="746"/>
      <c r="Q265" s="746"/>
      <c r="R265" s="746"/>
      <c r="S265" s="746"/>
      <c r="T265" s="746"/>
      <c r="U265" s="746"/>
    </row>
    <row r="266" spans="3:21">
      <c r="C266" s="746"/>
      <c r="D266" s="746"/>
      <c r="E266" s="746"/>
      <c r="F266" s="746"/>
      <c r="G266" s="746"/>
      <c r="H266" s="746"/>
      <c r="I266" s="746"/>
      <c r="J266" s="746"/>
      <c r="K266" s="746"/>
      <c r="L266" s="746"/>
      <c r="M266" s="746"/>
      <c r="N266" s="746"/>
      <c r="O266" s="746"/>
      <c r="P266" s="746"/>
      <c r="Q266" s="746"/>
      <c r="R266" s="746"/>
      <c r="S266" s="746"/>
      <c r="T266" s="746"/>
      <c r="U266" s="746"/>
    </row>
    <row r="267" spans="3:21">
      <c r="C267" s="746"/>
      <c r="D267" s="746"/>
      <c r="E267" s="746"/>
      <c r="F267" s="746"/>
      <c r="G267" s="746"/>
      <c r="H267" s="746"/>
      <c r="I267" s="746"/>
      <c r="J267" s="746"/>
      <c r="K267" s="746"/>
      <c r="L267" s="746"/>
      <c r="M267" s="746"/>
      <c r="N267" s="746"/>
      <c r="O267" s="746"/>
      <c r="P267" s="746"/>
      <c r="Q267" s="746"/>
      <c r="R267" s="746"/>
      <c r="S267" s="746"/>
      <c r="T267" s="746"/>
      <c r="U267" s="746"/>
    </row>
    <row r="268" spans="3:21">
      <c r="C268" s="746"/>
      <c r="D268" s="746"/>
      <c r="E268" s="746"/>
      <c r="F268" s="746"/>
      <c r="G268" s="746"/>
      <c r="H268" s="746"/>
      <c r="I268" s="746"/>
      <c r="J268" s="746"/>
      <c r="K268" s="746"/>
      <c r="L268" s="746"/>
      <c r="M268" s="746"/>
      <c r="N268" s="746"/>
      <c r="O268" s="746"/>
      <c r="P268" s="746"/>
      <c r="Q268" s="746"/>
      <c r="R268" s="746"/>
      <c r="S268" s="746"/>
      <c r="T268" s="746"/>
      <c r="U268" s="746"/>
    </row>
    <row r="269" spans="3:21">
      <c r="C269" s="746"/>
      <c r="D269" s="746"/>
      <c r="E269" s="746"/>
      <c r="F269" s="746"/>
      <c r="G269" s="746"/>
      <c r="H269" s="746"/>
      <c r="I269" s="746"/>
      <c r="J269" s="746"/>
      <c r="K269" s="746"/>
      <c r="L269" s="746"/>
      <c r="M269" s="746"/>
      <c r="N269" s="746"/>
      <c r="O269" s="746"/>
      <c r="P269" s="746"/>
      <c r="Q269" s="746"/>
      <c r="R269" s="746"/>
      <c r="S269" s="746"/>
      <c r="T269" s="746"/>
      <c r="U269" s="746"/>
    </row>
    <row r="270" spans="3:21">
      <c r="C270" s="746"/>
      <c r="D270" s="746"/>
      <c r="E270" s="746"/>
      <c r="F270" s="746"/>
      <c r="G270" s="746"/>
      <c r="H270" s="746"/>
      <c r="I270" s="746"/>
      <c r="J270" s="746"/>
      <c r="K270" s="746"/>
      <c r="L270" s="746"/>
      <c r="M270" s="746"/>
      <c r="N270" s="746"/>
      <c r="O270" s="746"/>
      <c r="P270" s="746"/>
      <c r="Q270" s="746"/>
      <c r="R270" s="746"/>
      <c r="S270" s="746"/>
      <c r="T270" s="746"/>
      <c r="U270" s="746"/>
    </row>
    <row r="271" spans="3:21">
      <c r="C271" s="746"/>
      <c r="D271" s="746"/>
      <c r="E271" s="746"/>
      <c r="F271" s="746"/>
      <c r="G271" s="746"/>
      <c r="H271" s="746"/>
      <c r="I271" s="746"/>
      <c r="J271" s="746"/>
      <c r="K271" s="746"/>
      <c r="L271" s="746"/>
      <c r="M271" s="746"/>
      <c r="N271" s="746"/>
      <c r="O271" s="746"/>
      <c r="P271" s="746"/>
      <c r="Q271" s="746"/>
      <c r="R271" s="746"/>
      <c r="S271" s="746"/>
      <c r="T271" s="746"/>
      <c r="U271" s="746"/>
    </row>
    <row r="272" spans="3:21">
      <c r="C272" s="746"/>
      <c r="D272" s="746"/>
      <c r="E272" s="746"/>
      <c r="F272" s="746"/>
      <c r="G272" s="746"/>
      <c r="H272" s="746"/>
      <c r="I272" s="746"/>
      <c r="J272" s="746"/>
      <c r="K272" s="746"/>
      <c r="L272" s="746"/>
      <c r="M272" s="746"/>
      <c r="N272" s="746"/>
      <c r="O272" s="746"/>
      <c r="P272" s="746"/>
      <c r="Q272" s="746"/>
      <c r="R272" s="746"/>
      <c r="S272" s="746"/>
      <c r="T272" s="746"/>
      <c r="U272" s="746"/>
    </row>
    <row r="273" spans="3:21">
      <c r="C273" s="746"/>
      <c r="D273" s="746"/>
      <c r="E273" s="746"/>
      <c r="F273" s="746"/>
      <c r="G273" s="746"/>
      <c r="H273" s="746"/>
      <c r="I273" s="746"/>
      <c r="J273" s="746"/>
      <c r="K273" s="746"/>
      <c r="L273" s="746"/>
      <c r="M273" s="746"/>
      <c r="N273" s="746"/>
      <c r="O273" s="746"/>
      <c r="P273" s="746"/>
      <c r="Q273" s="746"/>
      <c r="R273" s="746"/>
      <c r="S273" s="746"/>
      <c r="T273" s="746"/>
      <c r="U273" s="746"/>
    </row>
    <row r="274" spans="3:21">
      <c r="C274" s="746"/>
      <c r="D274" s="746"/>
      <c r="E274" s="746"/>
      <c r="F274" s="746"/>
      <c r="G274" s="746"/>
      <c r="H274" s="746"/>
      <c r="I274" s="746"/>
      <c r="J274" s="746"/>
      <c r="K274" s="746"/>
      <c r="L274" s="746"/>
      <c r="M274" s="746"/>
      <c r="N274" s="746"/>
      <c r="O274" s="746"/>
      <c r="P274" s="746"/>
      <c r="Q274" s="746"/>
      <c r="R274" s="746"/>
      <c r="S274" s="746"/>
      <c r="T274" s="746"/>
      <c r="U274" s="746"/>
    </row>
    <row r="275" spans="3:21">
      <c r="C275" s="746"/>
      <c r="D275" s="746"/>
      <c r="E275" s="746"/>
      <c r="F275" s="746"/>
      <c r="G275" s="746"/>
      <c r="H275" s="746"/>
      <c r="I275" s="746"/>
      <c r="J275" s="746"/>
      <c r="K275" s="746"/>
      <c r="L275" s="746"/>
      <c r="M275" s="746"/>
      <c r="N275" s="746"/>
      <c r="O275" s="746"/>
      <c r="P275" s="746"/>
      <c r="Q275" s="746"/>
      <c r="R275" s="746"/>
      <c r="S275" s="746"/>
      <c r="T275" s="746"/>
      <c r="U275" s="746"/>
    </row>
    <row r="276" spans="3:21">
      <c r="C276" s="746"/>
      <c r="D276" s="746"/>
      <c r="E276" s="746"/>
      <c r="F276" s="746"/>
      <c r="G276" s="746"/>
      <c r="H276" s="746"/>
      <c r="I276" s="746"/>
      <c r="J276" s="746"/>
      <c r="K276" s="746"/>
      <c r="L276" s="746"/>
      <c r="M276" s="746"/>
      <c r="N276" s="746"/>
      <c r="O276" s="746"/>
      <c r="P276" s="746"/>
      <c r="Q276" s="746"/>
      <c r="R276" s="746"/>
      <c r="S276" s="746"/>
      <c r="T276" s="746"/>
      <c r="U276" s="746"/>
    </row>
    <row r="277" spans="3:21">
      <c r="C277" s="746"/>
      <c r="D277" s="746"/>
      <c r="E277" s="746"/>
      <c r="F277" s="746"/>
      <c r="G277" s="746"/>
      <c r="H277" s="746"/>
      <c r="I277" s="746"/>
      <c r="J277" s="746"/>
      <c r="K277" s="746"/>
      <c r="L277" s="746"/>
      <c r="M277" s="746"/>
      <c r="N277" s="746"/>
      <c r="O277" s="746"/>
      <c r="P277" s="746"/>
      <c r="Q277" s="746"/>
      <c r="R277" s="746"/>
      <c r="S277" s="746"/>
      <c r="T277" s="746"/>
      <c r="U277" s="746"/>
    </row>
    <row r="278" spans="3:21">
      <c r="C278" s="746"/>
      <c r="D278" s="746"/>
      <c r="E278" s="746"/>
      <c r="F278" s="746"/>
      <c r="G278" s="746"/>
      <c r="H278" s="746"/>
      <c r="I278" s="746"/>
      <c r="J278" s="746"/>
      <c r="K278" s="746"/>
      <c r="L278" s="746"/>
      <c r="M278" s="746"/>
      <c r="N278" s="746"/>
      <c r="O278" s="746"/>
      <c r="P278" s="746"/>
      <c r="Q278" s="746"/>
      <c r="R278" s="746"/>
      <c r="S278" s="746"/>
      <c r="T278" s="746"/>
      <c r="U278" s="746"/>
    </row>
    <row r="279" spans="3:21">
      <c r="C279" s="746"/>
      <c r="D279" s="746"/>
      <c r="E279" s="746"/>
      <c r="F279" s="746"/>
      <c r="G279" s="746"/>
      <c r="H279" s="746"/>
      <c r="I279" s="746"/>
      <c r="J279" s="746"/>
      <c r="K279" s="746"/>
      <c r="L279" s="746"/>
      <c r="M279" s="746"/>
      <c r="N279" s="746"/>
      <c r="O279" s="746"/>
      <c r="P279" s="746"/>
      <c r="Q279" s="746"/>
      <c r="R279" s="746"/>
      <c r="S279" s="746"/>
      <c r="T279" s="746"/>
      <c r="U279" s="746"/>
    </row>
    <row r="280" spans="3:21">
      <c r="C280" s="746"/>
      <c r="D280" s="746"/>
      <c r="E280" s="746"/>
      <c r="F280" s="746"/>
      <c r="G280" s="746"/>
      <c r="H280" s="746"/>
      <c r="I280" s="746"/>
      <c r="J280" s="746"/>
      <c r="K280" s="746"/>
      <c r="L280" s="746"/>
      <c r="M280" s="746"/>
      <c r="N280" s="746"/>
      <c r="O280" s="746"/>
      <c r="P280" s="746"/>
      <c r="Q280" s="746"/>
      <c r="R280" s="746"/>
      <c r="S280" s="746"/>
      <c r="T280" s="746"/>
      <c r="U280" s="746"/>
    </row>
    <row r="281" spans="3:21">
      <c r="C281" s="746"/>
      <c r="D281" s="746"/>
      <c r="E281" s="746"/>
      <c r="F281" s="746"/>
      <c r="G281" s="746"/>
      <c r="H281" s="746"/>
      <c r="I281" s="746"/>
      <c r="J281" s="746"/>
      <c r="K281" s="746"/>
      <c r="L281" s="746"/>
      <c r="M281" s="746"/>
      <c r="N281" s="746"/>
      <c r="O281" s="746"/>
      <c r="P281" s="746"/>
      <c r="Q281" s="746"/>
      <c r="R281" s="746"/>
      <c r="S281" s="746"/>
      <c r="T281" s="746"/>
      <c r="U281" s="746"/>
    </row>
    <row r="282" spans="3:21">
      <c r="C282" s="746"/>
      <c r="D282" s="746"/>
      <c r="E282" s="746"/>
      <c r="F282" s="746"/>
      <c r="G282" s="746"/>
      <c r="H282" s="746"/>
      <c r="I282" s="746"/>
      <c r="J282" s="746"/>
      <c r="K282" s="746"/>
      <c r="L282" s="746"/>
      <c r="M282" s="746"/>
      <c r="N282" s="746"/>
      <c r="O282" s="746"/>
      <c r="P282" s="746"/>
      <c r="Q282" s="746"/>
      <c r="R282" s="746"/>
      <c r="S282" s="746"/>
      <c r="T282" s="746"/>
      <c r="U282" s="746"/>
    </row>
    <row r="283" spans="3:21">
      <c r="C283" s="746"/>
      <c r="D283" s="746"/>
      <c r="E283" s="746"/>
      <c r="F283" s="746"/>
      <c r="G283" s="746"/>
      <c r="H283" s="746"/>
      <c r="I283" s="746"/>
      <c r="J283" s="746"/>
      <c r="K283" s="746"/>
      <c r="L283" s="746"/>
      <c r="M283" s="746"/>
      <c r="N283" s="746"/>
      <c r="O283" s="746"/>
      <c r="P283" s="746"/>
      <c r="Q283" s="746"/>
      <c r="R283" s="746"/>
      <c r="S283" s="746"/>
      <c r="T283" s="746"/>
      <c r="U283" s="746"/>
    </row>
    <row r="284" spans="3:21">
      <c r="C284" s="746"/>
      <c r="D284" s="746"/>
      <c r="E284" s="746"/>
      <c r="F284" s="746"/>
      <c r="G284" s="746"/>
      <c r="H284" s="746"/>
      <c r="I284" s="746"/>
      <c r="J284" s="746"/>
      <c r="K284" s="746"/>
      <c r="L284" s="746"/>
      <c r="M284" s="746"/>
      <c r="N284" s="746"/>
      <c r="O284" s="746"/>
      <c r="P284" s="746"/>
      <c r="Q284" s="746"/>
      <c r="R284" s="746"/>
      <c r="S284" s="746"/>
      <c r="T284" s="746"/>
      <c r="U284" s="746"/>
    </row>
    <row r="285" spans="3:21">
      <c r="C285" s="746"/>
      <c r="D285" s="746"/>
      <c r="E285" s="746"/>
      <c r="F285" s="746"/>
      <c r="G285" s="746"/>
      <c r="H285" s="746"/>
      <c r="I285" s="746"/>
      <c r="J285" s="746"/>
      <c r="K285" s="746"/>
      <c r="L285" s="746"/>
      <c r="M285" s="746"/>
      <c r="N285" s="746"/>
      <c r="O285" s="746"/>
      <c r="P285" s="746"/>
      <c r="Q285" s="746"/>
      <c r="R285" s="746"/>
      <c r="S285" s="746"/>
      <c r="T285" s="746"/>
      <c r="U285" s="746"/>
    </row>
    <row r="286" spans="3:21">
      <c r="C286" s="746"/>
      <c r="D286" s="746"/>
      <c r="E286" s="746"/>
      <c r="F286" s="746"/>
      <c r="G286" s="746"/>
      <c r="H286" s="746"/>
      <c r="I286" s="746"/>
      <c r="J286" s="746"/>
      <c r="K286" s="746"/>
      <c r="L286" s="746"/>
      <c r="M286" s="746"/>
      <c r="N286" s="746"/>
      <c r="O286" s="746"/>
      <c r="P286" s="746"/>
      <c r="Q286" s="746"/>
      <c r="R286" s="746"/>
      <c r="S286" s="746"/>
      <c r="T286" s="746"/>
      <c r="U286" s="746"/>
    </row>
    <row r="287" spans="3:21">
      <c r="C287" s="746"/>
      <c r="D287" s="746"/>
      <c r="E287" s="746"/>
      <c r="F287" s="746"/>
      <c r="G287" s="746"/>
      <c r="H287" s="746"/>
      <c r="I287" s="746"/>
      <c r="J287" s="746"/>
      <c r="K287" s="746"/>
      <c r="L287" s="746"/>
      <c r="M287" s="746"/>
      <c r="N287" s="746"/>
      <c r="O287" s="746"/>
      <c r="P287" s="746"/>
      <c r="Q287" s="746"/>
      <c r="R287" s="746"/>
      <c r="S287" s="746"/>
      <c r="T287" s="746"/>
      <c r="U287" s="746"/>
    </row>
    <row r="288" spans="3:21">
      <c r="C288" s="746"/>
      <c r="D288" s="746"/>
      <c r="E288" s="746"/>
      <c r="F288" s="746"/>
      <c r="G288" s="746"/>
      <c r="H288" s="746"/>
      <c r="I288" s="746"/>
      <c r="J288" s="746"/>
      <c r="K288" s="746"/>
      <c r="L288" s="746"/>
      <c r="M288" s="746"/>
      <c r="N288" s="746"/>
      <c r="O288" s="746"/>
      <c r="P288" s="746"/>
      <c r="Q288" s="746"/>
      <c r="R288" s="746"/>
      <c r="S288" s="746"/>
      <c r="T288" s="746"/>
      <c r="U288" s="746"/>
    </row>
    <row r="289" spans="3:21">
      <c r="C289" s="746"/>
      <c r="D289" s="746"/>
      <c r="E289" s="746"/>
      <c r="F289" s="746"/>
      <c r="G289" s="746"/>
      <c r="H289" s="746"/>
      <c r="I289" s="746"/>
      <c r="J289" s="746"/>
      <c r="K289" s="746"/>
      <c r="L289" s="746"/>
      <c r="M289" s="746"/>
      <c r="N289" s="746"/>
      <c r="O289" s="746"/>
      <c r="P289" s="746"/>
      <c r="Q289" s="746"/>
      <c r="R289" s="746"/>
      <c r="S289" s="746"/>
      <c r="T289" s="746"/>
      <c r="U289" s="746"/>
    </row>
    <row r="290" spans="3:21">
      <c r="C290" s="746"/>
      <c r="D290" s="746"/>
      <c r="E290" s="746"/>
      <c r="F290" s="746"/>
      <c r="G290" s="746"/>
      <c r="H290" s="746"/>
      <c r="I290" s="746"/>
      <c r="J290" s="746"/>
      <c r="K290" s="746"/>
      <c r="L290" s="746"/>
      <c r="M290" s="746"/>
      <c r="N290" s="746"/>
      <c r="O290" s="746"/>
      <c r="P290" s="746"/>
      <c r="Q290" s="746"/>
      <c r="R290" s="746"/>
      <c r="S290" s="746"/>
      <c r="T290" s="746"/>
      <c r="U290" s="746"/>
    </row>
    <row r="291" spans="3:21">
      <c r="C291" s="746"/>
      <c r="D291" s="746"/>
      <c r="E291" s="746"/>
      <c r="F291" s="746"/>
      <c r="G291" s="746"/>
      <c r="H291" s="746"/>
      <c r="I291" s="746"/>
      <c r="J291" s="746"/>
      <c r="K291" s="746"/>
      <c r="L291" s="746"/>
      <c r="M291" s="746"/>
      <c r="N291" s="746"/>
      <c r="O291" s="746"/>
      <c r="P291" s="746"/>
      <c r="Q291" s="746"/>
      <c r="R291" s="746"/>
      <c r="S291" s="746"/>
      <c r="T291" s="746"/>
      <c r="U291" s="746"/>
    </row>
    <row r="292" spans="3:21">
      <c r="C292" s="746"/>
      <c r="D292" s="746"/>
      <c r="E292" s="746"/>
      <c r="F292" s="746"/>
      <c r="G292" s="746"/>
      <c r="H292" s="746"/>
      <c r="I292" s="746"/>
      <c r="J292" s="746"/>
      <c r="K292" s="746"/>
      <c r="L292" s="746"/>
      <c r="M292" s="746"/>
      <c r="N292" s="746"/>
      <c r="O292" s="746"/>
      <c r="P292" s="746"/>
      <c r="Q292" s="746"/>
      <c r="R292" s="746"/>
      <c r="S292" s="746"/>
      <c r="T292" s="746"/>
      <c r="U292" s="746"/>
    </row>
    <row r="293" spans="3:21">
      <c r="C293" s="746"/>
      <c r="D293" s="746"/>
      <c r="E293" s="746"/>
      <c r="F293" s="746"/>
      <c r="G293" s="746"/>
      <c r="H293" s="746"/>
      <c r="I293" s="746"/>
      <c r="J293" s="746"/>
      <c r="K293" s="746"/>
      <c r="L293" s="746"/>
      <c r="M293" s="746"/>
      <c r="N293" s="746"/>
      <c r="O293" s="746"/>
      <c r="P293" s="746"/>
      <c r="Q293" s="746"/>
      <c r="R293" s="746"/>
      <c r="S293" s="746"/>
      <c r="T293" s="746"/>
      <c r="U293" s="746"/>
    </row>
    <row r="294" spans="3:21">
      <c r="C294" s="746"/>
      <c r="D294" s="746"/>
      <c r="E294" s="746"/>
      <c r="F294" s="746"/>
      <c r="G294" s="746"/>
      <c r="H294" s="746"/>
      <c r="I294" s="746"/>
      <c r="J294" s="746"/>
      <c r="K294" s="746"/>
      <c r="L294" s="746"/>
      <c r="M294" s="746"/>
      <c r="N294" s="746"/>
      <c r="O294" s="746"/>
      <c r="P294" s="746"/>
      <c r="Q294" s="746"/>
      <c r="R294" s="746"/>
      <c r="S294" s="746"/>
      <c r="T294" s="746"/>
      <c r="U294" s="746"/>
    </row>
    <row r="295" spans="3:21">
      <c r="C295" s="746"/>
      <c r="D295" s="746"/>
      <c r="E295" s="746"/>
      <c r="F295" s="746"/>
      <c r="G295" s="746"/>
      <c r="H295" s="746"/>
      <c r="I295" s="746"/>
      <c r="J295" s="746"/>
      <c r="K295" s="746"/>
      <c r="L295" s="746"/>
      <c r="M295" s="746"/>
      <c r="N295" s="746"/>
      <c r="O295" s="746"/>
      <c r="P295" s="746"/>
      <c r="Q295" s="746"/>
      <c r="R295" s="746"/>
      <c r="S295" s="746"/>
      <c r="T295" s="746"/>
      <c r="U295" s="746"/>
    </row>
    <row r="296" spans="3:21">
      <c r="C296" s="746"/>
      <c r="D296" s="746"/>
      <c r="E296" s="746"/>
      <c r="F296" s="746"/>
      <c r="G296" s="746"/>
      <c r="H296" s="746"/>
      <c r="I296" s="746"/>
      <c r="J296" s="746"/>
      <c r="K296" s="746"/>
      <c r="L296" s="746"/>
      <c r="M296" s="746"/>
      <c r="N296" s="746"/>
      <c r="O296" s="746"/>
      <c r="P296" s="746"/>
      <c r="Q296" s="746"/>
      <c r="R296" s="746"/>
      <c r="S296" s="746"/>
      <c r="T296" s="746"/>
      <c r="U296" s="746"/>
    </row>
    <row r="297" spans="3:21">
      <c r="C297" s="746"/>
      <c r="D297" s="746"/>
      <c r="E297" s="746"/>
      <c r="F297" s="746"/>
      <c r="G297" s="746"/>
      <c r="H297" s="746"/>
      <c r="I297" s="746"/>
      <c r="J297" s="746"/>
      <c r="K297" s="746"/>
      <c r="L297" s="746"/>
      <c r="M297" s="746"/>
      <c r="N297" s="746"/>
      <c r="O297" s="746"/>
      <c r="P297" s="746"/>
      <c r="Q297" s="746"/>
      <c r="R297" s="746"/>
      <c r="S297" s="746"/>
      <c r="T297" s="746"/>
      <c r="U297" s="746"/>
    </row>
    <row r="298" spans="3:21">
      <c r="C298" s="746"/>
      <c r="D298" s="746"/>
      <c r="E298" s="746"/>
      <c r="F298" s="746"/>
      <c r="G298" s="746"/>
      <c r="H298" s="746"/>
      <c r="I298" s="746"/>
      <c r="J298" s="746"/>
      <c r="K298" s="746"/>
      <c r="L298" s="746"/>
      <c r="M298" s="746"/>
      <c r="N298" s="746"/>
      <c r="O298" s="746"/>
      <c r="P298" s="746"/>
      <c r="Q298" s="746"/>
      <c r="R298" s="746"/>
      <c r="S298" s="746"/>
      <c r="T298" s="746"/>
      <c r="U298" s="746"/>
    </row>
    <row r="299" spans="3:21">
      <c r="C299" s="746"/>
      <c r="D299" s="746"/>
      <c r="E299" s="746"/>
      <c r="F299" s="746"/>
      <c r="G299" s="746"/>
      <c r="H299" s="746"/>
      <c r="I299" s="746"/>
      <c r="J299" s="746"/>
      <c r="K299" s="746"/>
      <c r="L299" s="746"/>
      <c r="M299" s="746"/>
      <c r="N299" s="746"/>
    </row>
    <row r="300" spans="3:21">
      <c r="C300" s="746"/>
      <c r="D300" s="746"/>
      <c r="E300" s="746"/>
      <c r="F300" s="746"/>
      <c r="G300" s="746"/>
      <c r="H300" s="746"/>
      <c r="I300" s="746"/>
      <c r="J300" s="746"/>
      <c r="K300" s="746"/>
      <c r="L300" s="746"/>
      <c r="M300" s="746"/>
      <c r="N300" s="746"/>
    </row>
    <row r="301" spans="3:21">
      <c r="C301" s="746"/>
      <c r="D301" s="746"/>
      <c r="E301" s="746"/>
      <c r="F301" s="746"/>
      <c r="G301" s="746"/>
      <c r="H301" s="746"/>
      <c r="I301" s="746"/>
      <c r="J301" s="746"/>
      <c r="K301" s="746"/>
      <c r="L301" s="746"/>
      <c r="M301" s="746"/>
      <c r="N301" s="746"/>
    </row>
    <row r="302" spans="3:21">
      <c r="C302" s="746"/>
      <c r="D302" s="746"/>
      <c r="E302" s="746"/>
      <c r="F302" s="746"/>
      <c r="G302" s="746"/>
      <c r="H302" s="746"/>
      <c r="I302" s="746"/>
      <c r="J302" s="746"/>
      <c r="K302" s="746"/>
      <c r="L302" s="746"/>
      <c r="M302" s="746"/>
      <c r="N302" s="746"/>
    </row>
    <row r="303" spans="3:21">
      <c r="C303" s="746"/>
      <c r="D303" s="746"/>
      <c r="E303" s="746"/>
      <c r="F303" s="746"/>
      <c r="G303" s="746"/>
      <c r="H303" s="746"/>
      <c r="I303" s="746"/>
      <c r="J303" s="746"/>
      <c r="K303" s="746"/>
      <c r="L303" s="746"/>
      <c r="M303" s="746"/>
      <c r="N303" s="746"/>
    </row>
    <row r="304" spans="3:21">
      <c r="C304" s="746"/>
      <c r="D304" s="746"/>
      <c r="E304" s="746"/>
      <c r="F304" s="746"/>
      <c r="G304" s="746"/>
      <c r="H304" s="746"/>
      <c r="I304" s="746"/>
      <c r="J304" s="746"/>
      <c r="K304" s="746"/>
      <c r="L304" s="746"/>
      <c r="M304" s="746"/>
      <c r="N304" s="746"/>
    </row>
    <row r="305" spans="3:14">
      <c r="C305" s="746"/>
      <c r="D305" s="746"/>
      <c r="E305" s="746"/>
      <c r="F305" s="746"/>
      <c r="G305" s="746"/>
      <c r="H305" s="746"/>
      <c r="I305" s="746"/>
      <c r="J305" s="746"/>
      <c r="K305" s="746"/>
      <c r="L305" s="746"/>
      <c r="M305" s="746"/>
      <c r="N305" s="746"/>
    </row>
    <row r="306" spans="3:14">
      <c r="C306" s="746"/>
      <c r="D306" s="746"/>
      <c r="E306" s="746"/>
      <c r="F306" s="746"/>
      <c r="G306" s="746"/>
      <c r="H306" s="746"/>
      <c r="I306" s="746"/>
      <c r="J306" s="746"/>
      <c r="K306" s="746"/>
      <c r="L306" s="746"/>
      <c r="M306" s="746"/>
      <c r="N306" s="746"/>
    </row>
  </sheetData>
  <mergeCells count="8">
    <mergeCell ref="C106:N106"/>
    <mergeCell ref="C107:N107"/>
    <mergeCell ref="C100:N100"/>
    <mergeCell ref="C101:N101"/>
    <mergeCell ref="C102:N102"/>
    <mergeCell ref="C103:N103"/>
    <mergeCell ref="C104:N104"/>
    <mergeCell ref="C105:N10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A1:R65"/>
  <sheetViews>
    <sheetView showGridLines="0" workbookViewId="0">
      <selection activeCell="B3" sqref="B3"/>
    </sheetView>
  </sheetViews>
  <sheetFormatPr defaultRowHeight="15"/>
  <cols>
    <col min="1" max="1" width="16.5546875" style="558" customWidth="1"/>
    <col min="2" max="2" width="25.5546875" style="558" customWidth="1"/>
    <col min="3" max="18" width="10.77734375" style="558" customWidth="1"/>
    <col min="19" max="16384" width="8.88671875" style="558"/>
  </cols>
  <sheetData>
    <row r="1" spans="1:18" s="619" customFormat="1" ht="18">
      <c r="A1" s="618" t="s">
        <v>1066</v>
      </c>
    </row>
    <row r="2" spans="1:18">
      <c r="A2" s="620"/>
    </row>
    <row r="3" spans="1:18">
      <c r="A3" s="621" t="s">
        <v>929</v>
      </c>
      <c r="B3" s="765" t="s">
        <v>913</v>
      </c>
      <c r="C3" s="623"/>
      <c r="D3" s="623"/>
      <c r="E3" s="623"/>
    </row>
    <row r="4" spans="1:18">
      <c r="A4" s="620"/>
      <c r="B4" s="623"/>
      <c r="C4" s="623"/>
      <c r="D4" s="623"/>
      <c r="E4" s="623"/>
    </row>
    <row r="5" spans="1:18">
      <c r="A5" s="621" t="s">
        <v>930</v>
      </c>
      <c r="B5" s="766" t="s">
        <v>240</v>
      </c>
      <c r="C5" s="623"/>
      <c r="D5" s="623"/>
      <c r="E5" s="623"/>
    </row>
    <row r="6" spans="1:18">
      <c r="A6" s="620"/>
      <c r="B6" s="623"/>
      <c r="C6" s="623"/>
      <c r="D6" s="623"/>
      <c r="E6" s="623"/>
      <c r="F6" s="623"/>
      <c r="G6" s="623"/>
      <c r="H6" s="623"/>
      <c r="I6" s="623"/>
      <c r="J6" s="623"/>
      <c r="K6" s="623"/>
      <c r="L6" s="623"/>
      <c r="M6" s="623"/>
      <c r="N6" s="623"/>
      <c r="O6" s="623"/>
      <c r="Q6" s="623"/>
      <c r="R6" s="623"/>
    </row>
    <row r="7" spans="1:18">
      <c r="A7" s="625"/>
      <c r="B7" s="626" t="s">
        <v>932</v>
      </c>
      <c r="C7" s="627" t="s">
        <v>1067</v>
      </c>
      <c r="D7" s="627" t="s">
        <v>1068</v>
      </c>
      <c r="E7" s="627" t="s">
        <v>1069</v>
      </c>
      <c r="F7" s="627" t="s">
        <v>1070</v>
      </c>
      <c r="G7" s="627" t="s">
        <v>1071</v>
      </c>
      <c r="H7" s="627" t="s">
        <v>1072</v>
      </c>
      <c r="I7" s="627" t="s">
        <v>1073</v>
      </c>
      <c r="J7" s="627" t="s">
        <v>1074</v>
      </c>
      <c r="K7" s="627" t="s">
        <v>1075</v>
      </c>
      <c r="L7" s="627" t="s">
        <v>1076</v>
      </c>
      <c r="M7" s="627" t="s">
        <v>1077</v>
      </c>
      <c r="N7" s="627" t="s">
        <v>1078</v>
      </c>
      <c r="O7" s="627" t="s">
        <v>1079</v>
      </c>
      <c r="P7" s="627" t="s">
        <v>1080</v>
      </c>
      <c r="Q7" s="627" t="s">
        <v>1081</v>
      </c>
      <c r="R7" s="627" t="s">
        <v>1082</v>
      </c>
    </row>
    <row r="8" spans="1:18">
      <c r="A8" s="625"/>
      <c r="B8" s="626" t="s">
        <v>935</v>
      </c>
      <c r="C8" s="767" t="s">
        <v>50</v>
      </c>
      <c r="D8" s="767" t="s">
        <v>50</v>
      </c>
      <c r="E8" s="767" t="s">
        <v>50</v>
      </c>
      <c r="F8" s="767" t="s">
        <v>50</v>
      </c>
      <c r="G8" s="767" t="s">
        <v>50</v>
      </c>
      <c r="H8" s="767" t="s">
        <v>50</v>
      </c>
      <c r="I8" s="767" t="s">
        <v>50</v>
      </c>
      <c r="J8" s="767" t="s">
        <v>50</v>
      </c>
      <c r="K8" s="767" t="s">
        <v>50</v>
      </c>
      <c r="L8" s="767" t="s">
        <v>50</v>
      </c>
      <c r="M8" s="767" t="s">
        <v>50</v>
      </c>
      <c r="N8" s="767" t="s">
        <v>50</v>
      </c>
      <c r="O8" s="767" t="s">
        <v>50</v>
      </c>
      <c r="P8" s="767" t="s">
        <v>50</v>
      </c>
      <c r="Q8" s="767" t="s">
        <v>50</v>
      </c>
      <c r="R8" s="767" t="s">
        <v>50</v>
      </c>
    </row>
    <row r="9" spans="1:18" ht="15" customHeight="1">
      <c r="A9" s="625"/>
      <c r="B9" s="626" t="s">
        <v>936</v>
      </c>
      <c r="C9" s="629" t="s">
        <v>934</v>
      </c>
      <c r="D9" s="629" t="s">
        <v>934</v>
      </c>
      <c r="E9" s="629" t="s">
        <v>931</v>
      </c>
      <c r="F9" s="629" t="s">
        <v>931</v>
      </c>
      <c r="G9" s="629" t="s">
        <v>931</v>
      </c>
      <c r="H9" s="629" t="s">
        <v>931</v>
      </c>
      <c r="I9" s="629" t="s">
        <v>931</v>
      </c>
      <c r="J9" s="629" t="s">
        <v>931</v>
      </c>
      <c r="K9" s="629" t="s">
        <v>934</v>
      </c>
      <c r="L9" s="629" t="s">
        <v>934</v>
      </c>
      <c r="M9" s="629" t="s">
        <v>934</v>
      </c>
      <c r="N9" s="629" t="s">
        <v>934</v>
      </c>
      <c r="O9" s="629" t="s">
        <v>931</v>
      </c>
      <c r="P9" s="629" t="s">
        <v>934</v>
      </c>
      <c r="Q9" s="629" t="s">
        <v>931</v>
      </c>
      <c r="R9" s="629" t="s">
        <v>931</v>
      </c>
    </row>
    <row r="10" spans="1:18">
      <c r="A10" s="630" t="s">
        <v>407</v>
      </c>
      <c r="B10" s="631" t="str">
        <f xml:space="preserve"> "December " &amp; B3-1</f>
        <v>December 2013</v>
      </c>
      <c r="C10" s="768">
        <v>7072818.7000000002</v>
      </c>
      <c r="D10" s="769">
        <v>3487897.51</v>
      </c>
      <c r="E10" s="768">
        <v>4462295.25</v>
      </c>
      <c r="F10" s="769">
        <v>7706681.2699999996</v>
      </c>
      <c r="G10" s="768">
        <v>30441785.703377012</v>
      </c>
      <c r="H10" s="769">
        <v>163647467.87429234</v>
      </c>
      <c r="I10" s="768">
        <v>93076568.319999993</v>
      </c>
      <c r="J10" s="769">
        <v>468201.81000000006</v>
      </c>
      <c r="K10" s="768">
        <v>127736.33000000002</v>
      </c>
      <c r="L10" s="769">
        <v>47486.629999999976</v>
      </c>
      <c r="M10" s="768">
        <v>230828.44</v>
      </c>
      <c r="N10" s="769">
        <v>3892307.1690441398</v>
      </c>
      <c r="O10" s="768">
        <v>20534157.985782377</v>
      </c>
      <c r="P10" s="769">
        <v>0</v>
      </c>
      <c r="Q10" s="768">
        <v>0</v>
      </c>
      <c r="R10" s="770">
        <v>0</v>
      </c>
    </row>
    <row r="11" spans="1:18">
      <c r="A11" s="633" t="s">
        <v>937</v>
      </c>
      <c r="B11" s="634" t="str">
        <f xml:space="preserve"> "January " &amp; B3</f>
        <v>January 2014</v>
      </c>
      <c r="C11" s="771">
        <v>7072818.7000000002</v>
      </c>
      <c r="D11" s="772">
        <v>3487897.51</v>
      </c>
      <c r="E11" s="771">
        <v>4462295.25</v>
      </c>
      <c r="F11" s="772">
        <v>7706681.2699999996</v>
      </c>
      <c r="G11" s="771">
        <v>30441683.103377011</v>
      </c>
      <c r="H11" s="772">
        <v>170990143.16429237</v>
      </c>
      <c r="I11" s="771">
        <v>98031659.530000001</v>
      </c>
      <c r="J11" s="772">
        <v>468201.81000000006</v>
      </c>
      <c r="K11" s="771">
        <v>127736.33000000002</v>
      </c>
      <c r="L11" s="772">
        <v>47486.629999999976</v>
      </c>
      <c r="M11" s="771">
        <v>230828.44</v>
      </c>
      <c r="N11" s="772">
        <v>3962668.1690441431</v>
      </c>
      <c r="O11" s="771">
        <v>20657009.291362401</v>
      </c>
      <c r="P11" s="772">
        <v>0</v>
      </c>
      <c r="Q11" s="771">
        <v>0</v>
      </c>
      <c r="R11" s="773">
        <v>0</v>
      </c>
    </row>
    <row r="12" spans="1:18">
      <c r="A12" s="633"/>
      <c r="B12" s="635" t="s">
        <v>166</v>
      </c>
      <c r="C12" s="771">
        <v>7072818.7000000002</v>
      </c>
      <c r="D12" s="772">
        <v>3487897.51</v>
      </c>
      <c r="E12" s="771">
        <v>4462295.25</v>
      </c>
      <c r="F12" s="772">
        <v>7706681.2699999996</v>
      </c>
      <c r="G12" s="771">
        <v>30441683.103377011</v>
      </c>
      <c r="H12" s="772">
        <v>175483692.52429235</v>
      </c>
      <c r="I12" s="771">
        <v>102259141.30999999</v>
      </c>
      <c r="J12" s="772">
        <v>468201.81000000006</v>
      </c>
      <c r="K12" s="771">
        <v>127736.33000000002</v>
      </c>
      <c r="L12" s="772">
        <v>47486.629999999976</v>
      </c>
      <c r="M12" s="771">
        <v>230828.44</v>
      </c>
      <c r="N12" s="772">
        <v>3962668.1690441431</v>
      </c>
      <c r="O12" s="771">
        <v>20336312.587961491</v>
      </c>
      <c r="P12" s="772">
        <v>309681</v>
      </c>
      <c r="Q12" s="771">
        <v>0</v>
      </c>
      <c r="R12" s="773">
        <v>0</v>
      </c>
    </row>
    <row r="13" spans="1:18">
      <c r="A13" s="633"/>
      <c r="B13" s="635" t="s">
        <v>272</v>
      </c>
      <c r="C13" s="771">
        <v>7072818.7000000002</v>
      </c>
      <c r="D13" s="772">
        <v>3487897.51</v>
      </c>
      <c r="E13" s="771">
        <v>4462295.25</v>
      </c>
      <c r="F13" s="772">
        <v>7706681.2699999996</v>
      </c>
      <c r="G13" s="771">
        <v>30444449.96337701</v>
      </c>
      <c r="H13" s="772">
        <v>180144369.52429235</v>
      </c>
      <c r="I13" s="771">
        <v>107511668.05629274</v>
      </c>
      <c r="J13" s="772">
        <v>468201.81000000006</v>
      </c>
      <c r="K13" s="771">
        <v>127736.33000000002</v>
      </c>
      <c r="L13" s="772">
        <v>47486.629999999976</v>
      </c>
      <c r="M13" s="771">
        <v>230828.44</v>
      </c>
      <c r="N13" s="772">
        <v>3962668.1690441431</v>
      </c>
      <c r="O13" s="771">
        <v>20368846.537113532</v>
      </c>
      <c r="P13" s="772">
        <v>309681</v>
      </c>
      <c r="Q13" s="771">
        <v>0</v>
      </c>
      <c r="R13" s="773">
        <v>0</v>
      </c>
    </row>
    <row r="14" spans="1:18">
      <c r="A14" s="633"/>
      <c r="B14" s="635" t="s">
        <v>168</v>
      </c>
      <c r="C14" s="771">
        <v>7072818.7000000002</v>
      </c>
      <c r="D14" s="772">
        <v>3487897.51</v>
      </c>
      <c r="E14" s="771">
        <v>4462295.25</v>
      </c>
      <c r="F14" s="772">
        <v>7706681.2699999996</v>
      </c>
      <c r="G14" s="771">
        <v>30460753.473377012</v>
      </c>
      <c r="H14" s="772">
        <v>177491153.92466593</v>
      </c>
      <c r="I14" s="771">
        <v>110554154.33629274</v>
      </c>
      <c r="J14" s="772">
        <v>468201.81000000006</v>
      </c>
      <c r="K14" s="771">
        <v>127736.33000000002</v>
      </c>
      <c r="L14" s="772">
        <v>47486.629999999976</v>
      </c>
      <c r="M14" s="771">
        <v>230828.44</v>
      </c>
      <c r="N14" s="772">
        <v>3962668.1690441431</v>
      </c>
      <c r="O14" s="771">
        <v>20389596.035586573</v>
      </c>
      <c r="P14" s="772">
        <v>309681</v>
      </c>
      <c r="Q14" s="771">
        <v>0</v>
      </c>
      <c r="R14" s="773">
        <v>0</v>
      </c>
    </row>
    <row r="15" spans="1:18">
      <c r="A15" s="633"/>
      <c r="B15" s="635" t="s">
        <v>140</v>
      </c>
      <c r="C15" s="771">
        <v>7072818.7000000002</v>
      </c>
      <c r="D15" s="772">
        <v>3487897.51</v>
      </c>
      <c r="E15" s="771">
        <v>4462295.25</v>
      </c>
      <c r="F15" s="772">
        <v>7706681.2699999996</v>
      </c>
      <c r="G15" s="771">
        <v>30460857.153377011</v>
      </c>
      <c r="H15" s="772">
        <v>181464480.8246659</v>
      </c>
      <c r="I15" s="771">
        <v>114075935.4941524</v>
      </c>
      <c r="J15" s="772">
        <v>468201.81000000006</v>
      </c>
      <c r="K15" s="771">
        <v>127736.33000000002</v>
      </c>
      <c r="L15" s="772">
        <v>47486.629999999976</v>
      </c>
      <c r="M15" s="771">
        <v>230828.44</v>
      </c>
      <c r="N15" s="772">
        <v>3962668.1690441431</v>
      </c>
      <c r="O15" s="771">
        <v>20402593.10600761</v>
      </c>
      <c r="P15" s="772">
        <v>309681</v>
      </c>
      <c r="Q15" s="771">
        <v>0</v>
      </c>
      <c r="R15" s="773">
        <v>285380.19</v>
      </c>
    </row>
    <row r="16" spans="1:18">
      <c r="A16" s="633"/>
      <c r="B16" s="635" t="s">
        <v>169</v>
      </c>
      <c r="C16" s="771">
        <v>7072818.7000000002</v>
      </c>
      <c r="D16" s="772">
        <v>3487897.51</v>
      </c>
      <c r="E16" s="771">
        <v>4462295.25</v>
      </c>
      <c r="F16" s="772">
        <v>7706681.2699999996</v>
      </c>
      <c r="G16" s="771">
        <v>30463808.96337701</v>
      </c>
      <c r="H16" s="772">
        <v>185924985.9546659</v>
      </c>
      <c r="I16" s="771">
        <v>121151463.70415241</v>
      </c>
      <c r="J16" s="772">
        <v>468201.81000000006</v>
      </c>
      <c r="K16" s="771">
        <v>127736.33000000002</v>
      </c>
      <c r="L16" s="772">
        <v>47486.629999999976</v>
      </c>
      <c r="M16" s="771">
        <v>230828.44</v>
      </c>
      <c r="N16" s="772">
        <v>3962668.1690441431</v>
      </c>
      <c r="O16" s="771">
        <v>20396881.809994556</v>
      </c>
      <c r="P16" s="772">
        <v>309681</v>
      </c>
      <c r="Q16" s="771">
        <v>6352957.1100000003</v>
      </c>
      <c r="R16" s="773">
        <v>4098380.62</v>
      </c>
    </row>
    <row r="17" spans="1:18">
      <c r="A17" s="633"/>
      <c r="B17" s="635" t="s">
        <v>170</v>
      </c>
      <c r="C17" s="771">
        <v>7072818.7000000002</v>
      </c>
      <c r="D17" s="772">
        <v>3487897.51</v>
      </c>
      <c r="E17" s="771">
        <v>4462295.25</v>
      </c>
      <c r="F17" s="772">
        <v>7706681.2699999996</v>
      </c>
      <c r="G17" s="771">
        <v>30467332.103377011</v>
      </c>
      <c r="H17" s="772">
        <v>188870392.5146659</v>
      </c>
      <c r="I17" s="771">
        <v>133487141.1141524</v>
      </c>
      <c r="J17" s="772">
        <v>468201.81000000006</v>
      </c>
      <c r="K17" s="771">
        <v>127736.33000000002</v>
      </c>
      <c r="L17" s="772">
        <v>47486.629999999976</v>
      </c>
      <c r="M17" s="771">
        <v>230828.44</v>
      </c>
      <c r="N17" s="772">
        <v>3962668.1690441431</v>
      </c>
      <c r="O17" s="771">
        <v>20411587.034492061</v>
      </c>
      <c r="P17" s="772">
        <v>309681</v>
      </c>
      <c r="Q17" s="771">
        <v>6378731.2800000003</v>
      </c>
      <c r="R17" s="773">
        <v>4118125.16</v>
      </c>
    </row>
    <row r="18" spans="1:18">
      <c r="A18" s="633"/>
      <c r="B18" s="635" t="s">
        <v>275</v>
      </c>
      <c r="C18" s="771">
        <v>7072818.7000000002</v>
      </c>
      <c r="D18" s="772">
        <v>3487897.51</v>
      </c>
      <c r="E18" s="771">
        <v>4462295.25</v>
      </c>
      <c r="F18" s="772">
        <v>7706681.2699999996</v>
      </c>
      <c r="G18" s="771">
        <v>30467437.313377012</v>
      </c>
      <c r="H18" s="772">
        <v>195129282.96466589</v>
      </c>
      <c r="I18" s="771">
        <v>145854333.0241524</v>
      </c>
      <c r="J18" s="772">
        <v>468201.81000000006</v>
      </c>
      <c r="K18" s="771">
        <v>127736.33000000002</v>
      </c>
      <c r="L18" s="772">
        <v>47486.629999999976</v>
      </c>
      <c r="M18" s="771">
        <v>230828.44</v>
      </c>
      <c r="N18" s="772">
        <v>3962668.1690441431</v>
      </c>
      <c r="O18" s="771">
        <v>20454546.443762582</v>
      </c>
      <c r="P18" s="772">
        <v>309681</v>
      </c>
      <c r="Q18" s="771">
        <v>6416261.3900000006</v>
      </c>
      <c r="R18" s="773">
        <v>4125990.21</v>
      </c>
    </row>
    <row r="19" spans="1:18">
      <c r="A19" s="633"/>
      <c r="B19" s="635" t="s">
        <v>172</v>
      </c>
      <c r="C19" s="771">
        <v>7072818.7000000002</v>
      </c>
      <c r="D19" s="772">
        <v>3487897.51</v>
      </c>
      <c r="E19" s="771">
        <v>4462295.25</v>
      </c>
      <c r="F19" s="772">
        <v>7706681.2699999996</v>
      </c>
      <c r="G19" s="771">
        <v>30467541.433377013</v>
      </c>
      <c r="H19" s="772">
        <v>201213060.08766943</v>
      </c>
      <c r="I19" s="771">
        <v>156836065.40415242</v>
      </c>
      <c r="J19" s="772">
        <v>468201.81000000006</v>
      </c>
      <c r="K19" s="771">
        <v>127736.33000000002</v>
      </c>
      <c r="L19" s="772">
        <v>47486.629999999976</v>
      </c>
      <c r="M19" s="771">
        <v>230828.44</v>
      </c>
      <c r="N19" s="772">
        <v>3962668.1690441431</v>
      </c>
      <c r="O19" s="771">
        <v>20471351.666439079</v>
      </c>
      <c r="P19" s="772">
        <v>309681</v>
      </c>
      <c r="Q19" s="771">
        <v>6452409.1600000001</v>
      </c>
      <c r="R19" s="773">
        <v>7769943.9300000006</v>
      </c>
    </row>
    <row r="20" spans="1:18">
      <c r="A20" s="633"/>
      <c r="B20" s="635" t="s">
        <v>173</v>
      </c>
      <c r="C20" s="771">
        <v>7072818.7000000002</v>
      </c>
      <c r="D20" s="772">
        <v>3487897.51</v>
      </c>
      <c r="E20" s="771">
        <v>4462295.25</v>
      </c>
      <c r="F20" s="772">
        <v>7706681.2699999996</v>
      </c>
      <c r="G20" s="771">
        <v>30467647.623377014</v>
      </c>
      <c r="H20" s="772">
        <v>205441875.45766941</v>
      </c>
      <c r="I20" s="771">
        <v>166892517.94415241</v>
      </c>
      <c r="J20" s="772">
        <v>468201.81000000006</v>
      </c>
      <c r="K20" s="771">
        <v>127736.33000000002</v>
      </c>
      <c r="L20" s="772">
        <v>47486.629999999976</v>
      </c>
      <c r="M20" s="771">
        <v>230828.44</v>
      </c>
      <c r="N20" s="772">
        <v>3962668.1690441431</v>
      </c>
      <c r="O20" s="771">
        <v>20495439.182566237</v>
      </c>
      <c r="P20" s="772">
        <v>309681</v>
      </c>
      <c r="Q20" s="771">
        <v>6453931.0800000001</v>
      </c>
      <c r="R20" s="773">
        <v>7752800.7000000011</v>
      </c>
    </row>
    <row r="21" spans="1:18">
      <c r="A21" s="633"/>
      <c r="B21" s="635" t="s">
        <v>174</v>
      </c>
      <c r="C21" s="771">
        <v>7072818.7000000002</v>
      </c>
      <c r="D21" s="772">
        <v>3487897.51</v>
      </c>
      <c r="E21" s="771">
        <v>4462295.25</v>
      </c>
      <c r="F21" s="772">
        <v>7706681.2699999996</v>
      </c>
      <c r="G21" s="771">
        <v>30467752.003377013</v>
      </c>
      <c r="H21" s="772">
        <v>207464247.98121309</v>
      </c>
      <c r="I21" s="771">
        <v>178996563.12415239</v>
      </c>
      <c r="J21" s="772">
        <v>468201.81000000006</v>
      </c>
      <c r="K21" s="771">
        <v>127736.33000000002</v>
      </c>
      <c r="L21" s="772">
        <v>47486.629999999976</v>
      </c>
      <c r="M21" s="771">
        <v>230828.44</v>
      </c>
      <c r="N21" s="772">
        <v>3962668.1690441431</v>
      </c>
      <c r="O21" s="771">
        <v>20498023.943476815</v>
      </c>
      <c r="P21" s="772">
        <v>309681</v>
      </c>
      <c r="Q21" s="771">
        <v>6478923.7199999997</v>
      </c>
      <c r="R21" s="773">
        <v>7770052.2200000007</v>
      </c>
    </row>
    <row r="22" spans="1:18">
      <c r="A22" s="636"/>
      <c r="B22" s="637" t="str">
        <f xml:space="preserve"> "December " &amp; B3</f>
        <v>December 2014</v>
      </c>
      <c r="C22" s="771">
        <v>7072818.7000000002</v>
      </c>
      <c r="D22" s="772">
        <v>3487897.51</v>
      </c>
      <c r="E22" s="771">
        <v>4462295.25</v>
      </c>
      <c r="F22" s="772">
        <v>7706681.2699999996</v>
      </c>
      <c r="G22" s="771">
        <v>30467969.233377013</v>
      </c>
      <c r="H22" s="772">
        <v>209695948.72017875</v>
      </c>
      <c r="I22" s="771">
        <v>189485424.17415243</v>
      </c>
      <c r="J22" s="772">
        <v>468201.81000000006</v>
      </c>
      <c r="K22" s="771">
        <v>127736.33000000002</v>
      </c>
      <c r="L22" s="772">
        <v>47486.629999999976</v>
      </c>
      <c r="M22" s="771">
        <v>230828.44</v>
      </c>
      <c r="N22" s="772">
        <v>3962668.1690441431</v>
      </c>
      <c r="O22" s="771">
        <v>20603625.353605665</v>
      </c>
      <c r="P22" s="772">
        <v>309681</v>
      </c>
      <c r="Q22" s="771">
        <v>15310378.91</v>
      </c>
      <c r="R22" s="773">
        <v>7776831.7300000004</v>
      </c>
    </row>
    <row r="23" spans="1:18">
      <c r="A23" s="638"/>
      <c r="B23" s="639" t="s">
        <v>147</v>
      </c>
      <c r="C23" s="774">
        <f>AVERAGE(C10:C22)</f>
        <v>7072818.700000002</v>
      </c>
      <c r="D23" s="775">
        <f>AVERAGE(D10:D22)</f>
        <v>3487897.5099999984</v>
      </c>
      <c r="E23" s="774">
        <f t="shared" ref="E23:R23" si="0">AVERAGE(E10:E22)</f>
        <v>4462295.25</v>
      </c>
      <c r="F23" s="775">
        <f t="shared" si="0"/>
        <v>7706681.2699999968</v>
      </c>
      <c r="G23" s="774">
        <f t="shared" si="0"/>
        <v>30458515.474915478</v>
      </c>
      <c r="H23" s="775">
        <f t="shared" si="0"/>
        <v>187920084.73209459</v>
      </c>
      <c r="I23" s="774">
        <f t="shared" si="0"/>
        <v>132170202.73352344</v>
      </c>
      <c r="J23" s="775">
        <f t="shared" si="0"/>
        <v>468201.81000000023</v>
      </c>
      <c r="K23" s="774">
        <f t="shared" si="0"/>
        <v>127736.33000000006</v>
      </c>
      <c r="L23" s="775">
        <f t="shared" si="0"/>
        <v>47486.62999999999</v>
      </c>
      <c r="M23" s="774">
        <f t="shared" si="0"/>
        <v>230828.43999999997</v>
      </c>
      <c r="N23" s="775">
        <f t="shared" si="0"/>
        <v>3957255.7844287585</v>
      </c>
      <c r="O23" s="774">
        <f t="shared" si="0"/>
        <v>20463074.690626998</v>
      </c>
      <c r="P23" s="775">
        <f t="shared" si="0"/>
        <v>262037.76923076922</v>
      </c>
      <c r="Q23" s="774">
        <f t="shared" si="0"/>
        <v>4141814.8192307698</v>
      </c>
      <c r="R23" s="776">
        <f t="shared" si="0"/>
        <v>3361346.5200000005</v>
      </c>
    </row>
    <row r="24" spans="1:18">
      <c r="A24" s="638"/>
      <c r="B24" s="639"/>
      <c r="C24" s="777"/>
      <c r="D24" s="777"/>
      <c r="E24" s="777"/>
      <c r="F24" s="777"/>
      <c r="G24" s="777"/>
      <c r="H24" s="777"/>
      <c r="I24" s="777"/>
      <c r="J24" s="777"/>
      <c r="K24" s="777"/>
      <c r="L24" s="777"/>
      <c r="M24" s="777"/>
      <c r="N24" s="777"/>
      <c r="O24" s="777"/>
      <c r="P24" s="777"/>
      <c r="Q24" s="777"/>
      <c r="R24" s="777"/>
    </row>
    <row r="25" spans="1:18">
      <c r="A25" s="638"/>
      <c r="B25" s="639"/>
      <c r="C25" s="777"/>
      <c r="D25" s="777"/>
      <c r="E25" s="777"/>
      <c r="F25" s="777"/>
      <c r="G25" s="777"/>
      <c r="H25" s="777"/>
      <c r="I25" s="777"/>
      <c r="J25" s="777"/>
      <c r="K25" s="777"/>
      <c r="L25" s="777"/>
      <c r="M25" s="777"/>
      <c r="N25" s="777"/>
      <c r="O25" s="777"/>
      <c r="P25" s="777"/>
      <c r="Q25" s="777"/>
      <c r="R25" s="777"/>
    </row>
    <row r="26" spans="1:18">
      <c r="A26" s="630" t="s">
        <v>33</v>
      </c>
      <c r="B26" s="631" t="str">
        <f>B10</f>
        <v>December 2013</v>
      </c>
      <c r="C26" s="768">
        <v>1044862.8799999987</v>
      </c>
      <c r="D26" s="769">
        <v>507631.07999999949</v>
      </c>
      <c r="E26" s="768">
        <v>356462.8349999999</v>
      </c>
      <c r="F26" s="769">
        <v>615634.92000000004</v>
      </c>
      <c r="G26" s="768">
        <v>750585.12415630114</v>
      </c>
      <c r="H26" s="769">
        <v>1306903.1132749266</v>
      </c>
      <c r="I26" s="768">
        <v>6084.0919251195583</v>
      </c>
      <c r="J26" s="769">
        <v>37224.090000000004</v>
      </c>
      <c r="K26" s="768">
        <v>14631.239999999993</v>
      </c>
      <c r="L26" s="769">
        <v>7815.390000000004</v>
      </c>
      <c r="M26" s="768">
        <v>28127.330000000042</v>
      </c>
      <c r="N26" s="769">
        <v>137546.99526316239</v>
      </c>
      <c r="O26" s="768">
        <v>157693.75689132104</v>
      </c>
      <c r="P26" s="769">
        <v>0</v>
      </c>
      <c r="Q26" s="768">
        <v>0</v>
      </c>
      <c r="R26" s="770">
        <v>0</v>
      </c>
    </row>
    <row r="27" spans="1:18">
      <c r="A27" s="633" t="s">
        <v>938</v>
      </c>
      <c r="B27" s="634" t="str">
        <f>B11</f>
        <v>January 2014</v>
      </c>
      <c r="C27" s="771">
        <v>1060342.3299999987</v>
      </c>
      <c r="D27" s="772">
        <v>515264.62999999948</v>
      </c>
      <c r="E27" s="771">
        <v>366228.93999999989</v>
      </c>
      <c r="F27" s="772">
        <v>632501.63</v>
      </c>
      <c r="G27" s="771">
        <v>801787.05319445499</v>
      </c>
      <c r="H27" s="772">
        <v>1348091.3017817736</v>
      </c>
      <c r="I27" s="771">
        <v>6724.522654079512</v>
      </c>
      <c r="J27" s="772">
        <v>38248.79</v>
      </c>
      <c r="K27" s="771">
        <v>14910.799999999992</v>
      </c>
      <c r="L27" s="772">
        <v>7908.560000000004</v>
      </c>
      <c r="M27" s="771">
        <v>28540.430000000044</v>
      </c>
      <c r="N27" s="772">
        <v>147656.64777282975</v>
      </c>
      <c r="O27" s="771">
        <v>192253.64830639304</v>
      </c>
      <c r="P27" s="772">
        <v>0</v>
      </c>
      <c r="Q27" s="771">
        <v>0</v>
      </c>
      <c r="R27" s="773">
        <v>0</v>
      </c>
    </row>
    <row r="28" spans="1:18">
      <c r="A28" s="633"/>
      <c r="B28" s="642" t="s">
        <v>166</v>
      </c>
      <c r="C28" s="771">
        <v>1075821.7799999986</v>
      </c>
      <c r="D28" s="772">
        <v>522898.17999999947</v>
      </c>
      <c r="E28" s="771">
        <v>375995.04499999987</v>
      </c>
      <c r="F28" s="772">
        <v>649368.34</v>
      </c>
      <c r="G28" s="771">
        <v>852457.89239179797</v>
      </c>
      <c r="H28" s="772">
        <v>1397847.4902886203</v>
      </c>
      <c r="I28" s="771">
        <v>7364.9533830394657</v>
      </c>
      <c r="J28" s="772">
        <v>39273.49</v>
      </c>
      <c r="K28" s="771">
        <v>15190.359999999991</v>
      </c>
      <c r="L28" s="772">
        <v>8001.7300000000041</v>
      </c>
      <c r="M28" s="771">
        <v>28953.530000000046</v>
      </c>
      <c r="N28" s="772">
        <v>153761.3002824971</v>
      </c>
      <c r="O28" s="771">
        <v>226740.89160576923</v>
      </c>
      <c r="P28" s="772">
        <v>25806.748333333351</v>
      </c>
      <c r="Q28" s="771">
        <v>0</v>
      </c>
      <c r="R28" s="773">
        <v>0</v>
      </c>
    </row>
    <row r="29" spans="1:18">
      <c r="A29" s="633"/>
      <c r="B29" s="642" t="s">
        <v>272</v>
      </c>
      <c r="C29" s="771">
        <v>1091301.2299999986</v>
      </c>
      <c r="D29" s="772">
        <v>530531.72999999952</v>
      </c>
      <c r="E29" s="771">
        <v>385761.14999999985</v>
      </c>
      <c r="F29" s="772">
        <v>666235.04999999993</v>
      </c>
      <c r="G29" s="771">
        <v>903131.08777386404</v>
      </c>
      <c r="H29" s="772">
        <v>1447603.6791194549</v>
      </c>
      <c r="I29" s="771">
        <v>9031.5966988733762</v>
      </c>
      <c r="J29" s="772">
        <v>40298.189999999995</v>
      </c>
      <c r="K29" s="771">
        <v>15469.919999999991</v>
      </c>
      <c r="L29" s="772">
        <v>8094.9000000000042</v>
      </c>
      <c r="M29" s="771">
        <v>29366.630000000045</v>
      </c>
      <c r="N29" s="772">
        <v>159865.95279216446</v>
      </c>
      <c r="O29" s="771">
        <v>260993.36224763544</v>
      </c>
      <c r="P29" s="772">
        <v>26523.602500000019</v>
      </c>
      <c r="Q29" s="771">
        <v>0</v>
      </c>
      <c r="R29" s="773">
        <v>0</v>
      </c>
    </row>
    <row r="30" spans="1:18">
      <c r="A30" s="633"/>
      <c r="B30" s="642" t="s">
        <v>168</v>
      </c>
      <c r="C30" s="771">
        <v>1106780.6799999985</v>
      </c>
      <c r="D30" s="772">
        <v>538165.27999999956</v>
      </c>
      <c r="E30" s="771">
        <v>395527.25499999983</v>
      </c>
      <c r="F30" s="772">
        <v>683101.75999999989</v>
      </c>
      <c r="G30" s="771">
        <v>953820.91536950588</v>
      </c>
      <c r="H30" s="772">
        <v>1546222.2460273243</v>
      </c>
      <c r="I30" s="771">
        <v>11724.567471974033</v>
      </c>
      <c r="J30" s="772">
        <v>41322.889999999992</v>
      </c>
      <c r="K30" s="771">
        <v>15749.47999999999</v>
      </c>
      <c r="L30" s="772">
        <v>8188.0700000000043</v>
      </c>
      <c r="M30" s="771">
        <v>29779.730000000043</v>
      </c>
      <c r="N30" s="772">
        <v>165970.60530183182</v>
      </c>
      <c r="O30" s="771">
        <v>295287.48209092632</v>
      </c>
      <c r="P30" s="772">
        <v>27240.456666666687</v>
      </c>
      <c r="Q30" s="771">
        <v>0</v>
      </c>
      <c r="R30" s="773">
        <v>0</v>
      </c>
    </row>
    <row r="31" spans="1:18">
      <c r="A31" s="633"/>
      <c r="B31" s="642" t="s">
        <v>140</v>
      </c>
      <c r="C31" s="771">
        <v>1122260.1299999985</v>
      </c>
      <c r="D31" s="772">
        <v>545798.82999999961</v>
      </c>
      <c r="E31" s="771">
        <v>405293.35999999981</v>
      </c>
      <c r="F31" s="772">
        <v>699968.46999999986</v>
      </c>
      <c r="G31" s="771">
        <v>1004525.1097805038</v>
      </c>
      <c r="H31" s="772">
        <v>1693984.0313663429</v>
      </c>
      <c r="I31" s="771">
        <v>34018.2512525852</v>
      </c>
      <c r="J31" s="772">
        <v>42347.589999999989</v>
      </c>
      <c r="K31" s="771">
        <v>16029.03999999999</v>
      </c>
      <c r="L31" s="772">
        <v>8281.2400000000052</v>
      </c>
      <c r="M31" s="771">
        <v>30192.830000000045</v>
      </c>
      <c r="N31" s="772">
        <v>172075.25781149918</v>
      </c>
      <c r="O31" s="771">
        <v>329605.2215614809</v>
      </c>
      <c r="P31" s="772">
        <v>27957.310833333355</v>
      </c>
      <c r="Q31" s="771">
        <v>0</v>
      </c>
      <c r="R31" s="773">
        <v>248.46848334726528</v>
      </c>
    </row>
    <row r="32" spans="1:18">
      <c r="A32" s="633"/>
      <c r="B32" s="642" t="s">
        <v>169</v>
      </c>
      <c r="C32" s="771">
        <v>1137739.5799999984</v>
      </c>
      <c r="D32" s="772">
        <v>553432.37999999966</v>
      </c>
      <c r="E32" s="771">
        <v>415059.46499999979</v>
      </c>
      <c r="F32" s="772">
        <v>716835.17999999982</v>
      </c>
      <c r="G32" s="771">
        <v>1055231.9797051426</v>
      </c>
      <c r="H32" s="772">
        <v>1843918.6899873351</v>
      </c>
      <c r="I32" s="771">
        <v>75734.940796804731</v>
      </c>
      <c r="J32" s="772">
        <v>43372.289999999986</v>
      </c>
      <c r="K32" s="771">
        <v>16308.599999999989</v>
      </c>
      <c r="L32" s="772">
        <v>8374.4100000000035</v>
      </c>
      <c r="M32" s="771">
        <v>30605.930000000048</v>
      </c>
      <c r="N32" s="772">
        <v>178179.91032116654</v>
      </c>
      <c r="O32" s="771">
        <v>363927.69724569295</v>
      </c>
      <c r="P32" s="772">
        <v>28674.165000000023</v>
      </c>
      <c r="Q32" s="771">
        <v>5531.251548651383</v>
      </c>
      <c r="R32" s="773">
        <v>3873.3119708992886</v>
      </c>
    </row>
    <row r="33" spans="1:18">
      <c r="A33" s="633"/>
      <c r="B33" s="642" t="s">
        <v>170</v>
      </c>
      <c r="C33" s="771">
        <v>1153219.0299999984</v>
      </c>
      <c r="D33" s="772">
        <v>561065.9299999997</v>
      </c>
      <c r="E33" s="771">
        <v>424825.56999999977</v>
      </c>
      <c r="F33" s="772">
        <v>733701.88999999978</v>
      </c>
      <c r="G33" s="771">
        <v>1105944.519364275</v>
      </c>
      <c r="H33" s="772">
        <v>1995159.4472601661</v>
      </c>
      <c r="I33" s="771">
        <v>117307.18419793122</v>
      </c>
      <c r="J33" s="772">
        <v>44396.989999999983</v>
      </c>
      <c r="K33" s="771">
        <v>16588.159999999989</v>
      </c>
      <c r="L33" s="772">
        <v>8467.5800000000054</v>
      </c>
      <c r="M33" s="771">
        <v>31019.030000000046</v>
      </c>
      <c r="N33" s="772">
        <v>184284.56283083389</v>
      </c>
      <c r="O33" s="771">
        <v>398257.00550969015</v>
      </c>
      <c r="P33" s="772">
        <v>29391.019166666691</v>
      </c>
      <c r="Q33" s="771">
        <v>16616.195127647828</v>
      </c>
      <c r="R33" s="773">
        <v>10642.327002755326</v>
      </c>
    </row>
    <row r="34" spans="1:18">
      <c r="A34" s="633"/>
      <c r="B34" s="642" t="s">
        <v>275</v>
      </c>
      <c r="C34" s="771">
        <v>1168698.4799999984</v>
      </c>
      <c r="D34" s="772">
        <v>568699.47999999975</v>
      </c>
      <c r="E34" s="771">
        <v>434591.67499999976</v>
      </c>
      <c r="F34" s="772">
        <v>750568.59999999974</v>
      </c>
      <c r="G34" s="771">
        <v>1156660.2361569998</v>
      </c>
      <c r="H34" s="772">
        <v>2146989.6260729819</v>
      </c>
      <c r="I34" s="771">
        <v>158958.1763927213</v>
      </c>
      <c r="J34" s="772">
        <v>45421.689999999981</v>
      </c>
      <c r="K34" s="771">
        <v>16867.71999999999</v>
      </c>
      <c r="L34" s="772">
        <v>8560.7500000000036</v>
      </c>
      <c r="M34" s="771">
        <v>31432.130000000045</v>
      </c>
      <c r="N34" s="772">
        <v>190389.21534050125</v>
      </c>
      <c r="O34" s="771">
        <v>432610.54643826024</v>
      </c>
      <c r="P34" s="772">
        <v>30107.873333333358</v>
      </c>
      <c r="Q34" s="771">
        <v>27756.255070681284</v>
      </c>
      <c r="R34" s="773">
        <v>17434.124769230417</v>
      </c>
    </row>
    <row r="35" spans="1:18">
      <c r="A35" s="633"/>
      <c r="B35" s="642" t="s">
        <v>172</v>
      </c>
      <c r="C35" s="771">
        <v>1184177.9299999983</v>
      </c>
      <c r="D35" s="772">
        <v>576333.0299999998</v>
      </c>
      <c r="E35" s="771">
        <v>444357.77999999974</v>
      </c>
      <c r="F35" s="772">
        <v>767435.30999999971</v>
      </c>
      <c r="G35" s="771">
        <v>1207376.1362477452</v>
      </c>
      <c r="H35" s="772">
        <v>2299965.6069678925</v>
      </c>
      <c r="I35" s="771">
        <v>200704.62298284296</v>
      </c>
      <c r="J35" s="772">
        <v>46446.389999999978</v>
      </c>
      <c r="K35" s="771">
        <v>17147.279999999992</v>
      </c>
      <c r="L35" s="772">
        <v>8653.9200000000055</v>
      </c>
      <c r="M35" s="771">
        <v>31845.230000000047</v>
      </c>
      <c r="N35" s="772">
        <v>196493.86785016861</v>
      </c>
      <c r="O35" s="771">
        <v>466985.60421609844</v>
      </c>
      <c r="P35" s="772">
        <v>30824.727500000026</v>
      </c>
      <c r="Q35" s="771">
        <v>38960.46323332256</v>
      </c>
      <c r="R35" s="773">
        <v>27215.721862615319</v>
      </c>
    </row>
    <row r="36" spans="1:18">
      <c r="A36" s="633"/>
      <c r="B36" s="642" t="s">
        <v>173</v>
      </c>
      <c r="C36" s="771">
        <v>1199657.3799999983</v>
      </c>
      <c r="D36" s="772">
        <v>583966.57999999984</v>
      </c>
      <c r="E36" s="771">
        <v>454123.88499999972</v>
      </c>
      <c r="F36" s="772">
        <v>784302.01999999967</v>
      </c>
      <c r="G36" s="771">
        <v>1258092.2204946405</v>
      </c>
      <c r="H36" s="772">
        <v>2453806.5291387751</v>
      </c>
      <c r="I36" s="771">
        <v>242566.85845196724</v>
      </c>
      <c r="J36" s="772">
        <v>47471.089999999975</v>
      </c>
      <c r="K36" s="771">
        <v>17426.839999999993</v>
      </c>
      <c r="L36" s="772">
        <v>8747.0900000000038</v>
      </c>
      <c r="M36" s="771">
        <v>32258.330000000049</v>
      </c>
      <c r="N36" s="772">
        <v>202598.52035983597</v>
      </c>
      <c r="O36" s="771">
        <v>501390.99183310865</v>
      </c>
      <c r="P36" s="772">
        <v>31541.581666666694</v>
      </c>
      <c r="Q36" s="771">
        <v>50197.468804720418</v>
      </c>
      <c r="R36" s="773">
        <v>39966.572126537852</v>
      </c>
    </row>
    <row r="37" spans="1:18">
      <c r="A37" s="633"/>
      <c r="B37" s="642" t="s">
        <v>174</v>
      </c>
      <c r="C37" s="771">
        <v>1215136.8299999982</v>
      </c>
      <c r="D37" s="772">
        <v>591600.12999999989</v>
      </c>
      <c r="E37" s="771">
        <v>463889.9899999997</v>
      </c>
      <c r="F37" s="772">
        <v>801168.72999999963</v>
      </c>
      <c r="G37" s="771">
        <v>1308808.4891253521</v>
      </c>
      <c r="H37" s="772">
        <v>2608141.5450918153</v>
      </c>
      <c r="I37" s="771">
        <v>284541.68536112446</v>
      </c>
      <c r="J37" s="772">
        <v>48495.789999999972</v>
      </c>
      <c r="K37" s="771">
        <v>17706.399999999994</v>
      </c>
      <c r="L37" s="772">
        <v>8840.2600000000057</v>
      </c>
      <c r="M37" s="771">
        <v>32671.430000000048</v>
      </c>
      <c r="N37" s="772">
        <v>208703.17286950332</v>
      </c>
      <c r="O37" s="771">
        <v>535819.14202900266</v>
      </c>
      <c r="P37" s="772">
        <v>32258.435833333362</v>
      </c>
      <c r="Q37" s="771">
        <v>61457.559484127421</v>
      </c>
      <c r="R37" s="773">
        <v>52717.519707647356</v>
      </c>
    </row>
    <row r="38" spans="1:18">
      <c r="A38" s="636"/>
      <c r="B38" s="637" t="str">
        <f>+B22</f>
        <v>December 2014</v>
      </c>
      <c r="C38" s="771">
        <v>1230616.2799999982</v>
      </c>
      <c r="D38" s="772">
        <v>599233.67999999993</v>
      </c>
      <c r="E38" s="771">
        <v>473656.09499999968</v>
      </c>
      <c r="F38" s="772">
        <v>818035.43999999959</v>
      </c>
      <c r="G38" s="771">
        <v>1359525.0393711051</v>
      </c>
      <c r="H38" s="772">
        <v>2772012.3127682121</v>
      </c>
      <c r="I38" s="771">
        <v>326653.57539951929</v>
      </c>
      <c r="J38" s="772">
        <v>49520.489999999969</v>
      </c>
      <c r="K38" s="771">
        <v>17985.959999999995</v>
      </c>
      <c r="L38" s="772">
        <v>8933.4300000000039</v>
      </c>
      <c r="M38" s="771">
        <v>33084.53000000005</v>
      </c>
      <c r="N38" s="772">
        <v>214807.82537917068</v>
      </c>
      <c r="O38" s="771">
        <v>570341.28395705274</v>
      </c>
      <c r="P38" s="772">
        <v>32975.29000000003</v>
      </c>
      <c r="Q38" s="771">
        <v>80390.19969096448</v>
      </c>
      <c r="R38" s="773">
        <v>65488.03177295519</v>
      </c>
    </row>
    <row r="39" spans="1:18">
      <c r="A39" s="638"/>
      <c r="B39" s="639" t="s">
        <v>147</v>
      </c>
      <c r="C39" s="774">
        <f t="shared" ref="C39:R39" si="1">AVERAGE(C26:C38)</f>
        <v>1137739.5799999984</v>
      </c>
      <c r="D39" s="775">
        <f t="shared" si="1"/>
        <v>553432.37999999966</v>
      </c>
      <c r="E39" s="774">
        <f t="shared" si="1"/>
        <v>415059.46499999979</v>
      </c>
      <c r="F39" s="775">
        <f t="shared" si="1"/>
        <v>716835.17999999982</v>
      </c>
      <c r="G39" s="774">
        <f t="shared" si="1"/>
        <v>1055226.600240899</v>
      </c>
      <c r="H39" s="775">
        <f t="shared" si="1"/>
        <v>1912357.3553188939</v>
      </c>
      <c r="I39" s="774">
        <f t="shared" si="1"/>
        <v>113955.00207450635</v>
      </c>
      <c r="J39" s="775">
        <f t="shared" si="1"/>
        <v>43372.289999999986</v>
      </c>
      <c r="K39" s="774">
        <f t="shared" si="1"/>
        <v>16308.599999999993</v>
      </c>
      <c r="L39" s="775">
        <f t="shared" si="1"/>
        <v>8374.4100000000053</v>
      </c>
      <c r="M39" s="774">
        <f t="shared" si="1"/>
        <v>30605.930000000048</v>
      </c>
      <c r="N39" s="775">
        <f t="shared" si="1"/>
        <v>177871.8333980896</v>
      </c>
      <c r="O39" s="774">
        <f t="shared" si="1"/>
        <v>363992.81799480238</v>
      </c>
      <c r="P39" s="775">
        <f t="shared" si="1"/>
        <v>24869.323910256433</v>
      </c>
      <c r="Q39" s="774">
        <f t="shared" si="1"/>
        <v>21608.414843085797</v>
      </c>
      <c r="R39" s="776">
        <f t="shared" si="1"/>
        <v>16737.390591999076</v>
      </c>
    </row>
    <row r="40" spans="1:18" s="473" customFormat="1">
      <c r="A40" s="643"/>
      <c r="B40" s="644"/>
      <c r="C40" s="645"/>
      <c r="D40" s="645"/>
      <c r="E40" s="645"/>
      <c r="F40" s="645"/>
      <c r="G40" s="645"/>
      <c r="H40" s="645"/>
      <c r="I40" s="645"/>
      <c r="J40" s="645"/>
      <c r="K40" s="645"/>
      <c r="L40" s="645"/>
      <c r="M40" s="645"/>
      <c r="N40" s="645"/>
      <c r="O40" s="645"/>
      <c r="P40" s="645"/>
      <c r="Q40" s="645"/>
      <c r="R40" s="645"/>
    </row>
    <row r="41" spans="1:18">
      <c r="A41" s="638"/>
      <c r="B41" s="646"/>
      <c r="C41" s="647"/>
      <c r="D41" s="647"/>
      <c r="E41" s="647"/>
      <c r="F41" s="647"/>
      <c r="G41" s="647"/>
      <c r="H41" s="647"/>
      <c r="I41" s="647"/>
      <c r="J41" s="647"/>
      <c r="K41" s="647"/>
      <c r="L41" s="647"/>
      <c r="M41" s="647"/>
      <c r="N41" s="647"/>
      <c r="O41" s="647"/>
      <c r="P41" s="647"/>
      <c r="Q41" s="647"/>
      <c r="R41" s="647"/>
    </row>
    <row r="42" spans="1:18">
      <c r="A42" s="638"/>
      <c r="B42" s="648"/>
      <c r="C42" s="649"/>
      <c r="D42" s="649"/>
      <c r="E42" s="649"/>
      <c r="F42" s="649"/>
      <c r="G42" s="649"/>
      <c r="H42" s="649"/>
      <c r="I42" s="649"/>
      <c r="J42" s="649"/>
      <c r="K42" s="649"/>
      <c r="L42" s="649"/>
      <c r="M42" s="649"/>
      <c r="N42" s="649"/>
      <c r="O42" s="649"/>
      <c r="P42" s="649"/>
      <c r="Q42" s="649"/>
      <c r="R42" s="649"/>
    </row>
    <row r="43" spans="1:18">
      <c r="A43" s="630" t="s">
        <v>203</v>
      </c>
      <c r="B43" s="650" t="str">
        <f>B10</f>
        <v>December 2013</v>
      </c>
      <c r="C43" s="768">
        <f t="shared" ref="C43:R55" si="2">+C10-C26</f>
        <v>6027955.8200000012</v>
      </c>
      <c r="D43" s="769">
        <f t="shared" si="2"/>
        <v>2980266.43</v>
      </c>
      <c r="E43" s="768">
        <f t="shared" si="2"/>
        <v>4105832.415</v>
      </c>
      <c r="F43" s="769">
        <f t="shared" si="2"/>
        <v>7091046.3499999996</v>
      </c>
      <c r="G43" s="768">
        <f t="shared" si="2"/>
        <v>29691200.579220712</v>
      </c>
      <c r="H43" s="769">
        <f t="shared" si="2"/>
        <v>162340564.76101741</v>
      </c>
      <c r="I43" s="768">
        <f t="shared" si="2"/>
        <v>93070484.228074878</v>
      </c>
      <c r="J43" s="769">
        <f t="shared" si="2"/>
        <v>430977.72000000003</v>
      </c>
      <c r="K43" s="768">
        <f t="shared" si="2"/>
        <v>113105.09000000003</v>
      </c>
      <c r="L43" s="769">
        <f t="shared" si="2"/>
        <v>39671.239999999969</v>
      </c>
      <c r="M43" s="768">
        <f t="shared" si="2"/>
        <v>202701.10999999996</v>
      </c>
      <c r="N43" s="769">
        <f t="shared" si="2"/>
        <v>3754760.1737809773</v>
      </c>
      <c r="O43" s="768">
        <f t="shared" si="2"/>
        <v>20376464.228891056</v>
      </c>
      <c r="P43" s="769">
        <f t="shared" si="2"/>
        <v>0</v>
      </c>
      <c r="Q43" s="768">
        <f t="shared" si="2"/>
        <v>0</v>
      </c>
      <c r="R43" s="770">
        <f t="shared" si="2"/>
        <v>0</v>
      </c>
    </row>
    <row r="44" spans="1:18">
      <c r="A44" s="633" t="s">
        <v>1083</v>
      </c>
      <c r="B44" s="652" t="str">
        <f>B11</f>
        <v>January 2014</v>
      </c>
      <c r="C44" s="771">
        <f t="shared" si="2"/>
        <v>6012476.370000001</v>
      </c>
      <c r="D44" s="772">
        <f t="shared" si="2"/>
        <v>2972632.8800000004</v>
      </c>
      <c r="E44" s="771">
        <f t="shared" si="2"/>
        <v>4096066.31</v>
      </c>
      <c r="F44" s="772">
        <f t="shared" si="2"/>
        <v>7074179.6399999997</v>
      </c>
      <c r="G44" s="771">
        <f t="shared" si="2"/>
        <v>29639896.050182555</v>
      </c>
      <c r="H44" s="772">
        <f t="shared" si="2"/>
        <v>169642051.86251059</v>
      </c>
      <c r="I44" s="771">
        <f t="shared" si="2"/>
        <v>98024935.007345915</v>
      </c>
      <c r="J44" s="772">
        <f t="shared" si="2"/>
        <v>429953.02000000008</v>
      </c>
      <c r="K44" s="771">
        <f t="shared" si="2"/>
        <v>112825.53000000003</v>
      </c>
      <c r="L44" s="772">
        <f t="shared" si="2"/>
        <v>39578.069999999971</v>
      </c>
      <c r="M44" s="771">
        <f t="shared" si="2"/>
        <v>202288.00999999995</v>
      </c>
      <c r="N44" s="772">
        <f t="shared" si="2"/>
        <v>3815011.5212713135</v>
      </c>
      <c r="O44" s="771">
        <f t="shared" si="2"/>
        <v>20464755.643056009</v>
      </c>
      <c r="P44" s="772">
        <f t="shared" si="2"/>
        <v>0</v>
      </c>
      <c r="Q44" s="771">
        <f t="shared" si="2"/>
        <v>0</v>
      </c>
      <c r="R44" s="773">
        <f t="shared" si="2"/>
        <v>0</v>
      </c>
    </row>
    <row r="45" spans="1:18">
      <c r="A45" s="633"/>
      <c r="B45" s="642" t="s">
        <v>166</v>
      </c>
      <c r="C45" s="771">
        <f t="shared" si="2"/>
        <v>5996996.9200000018</v>
      </c>
      <c r="D45" s="772">
        <f t="shared" si="2"/>
        <v>2964999.33</v>
      </c>
      <c r="E45" s="771">
        <f t="shared" si="2"/>
        <v>4086300.2050000001</v>
      </c>
      <c r="F45" s="772">
        <f t="shared" si="2"/>
        <v>7057312.9299999997</v>
      </c>
      <c r="G45" s="771">
        <f t="shared" si="2"/>
        <v>29589225.210985214</v>
      </c>
      <c r="H45" s="772">
        <f t="shared" si="2"/>
        <v>174085845.03400373</v>
      </c>
      <c r="I45" s="771">
        <f t="shared" si="2"/>
        <v>102251776.35661694</v>
      </c>
      <c r="J45" s="772">
        <f t="shared" si="2"/>
        <v>428928.32000000007</v>
      </c>
      <c r="K45" s="771">
        <f t="shared" si="2"/>
        <v>112545.97000000003</v>
      </c>
      <c r="L45" s="772">
        <f t="shared" si="2"/>
        <v>39484.899999999972</v>
      </c>
      <c r="M45" s="771">
        <f t="shared" si="2"/>
        <v>201874.90999999995</v>
      </c>
      <c r="N45" s="772">
        <f t="shared" si="2"/>
        <v>3808906.8687616461</v>
      </c>
      <c r="O45" s="771">
        <f t="shared" si="2"/>
        <v>20109571.696355723</v>
      </c>
      <c r="P45" s="772">
        <f t="shared" si="2"/>
        <v>283874.25166666665</v>
      </c>
      <c r="Q45" s="771">
        <f t="shared" si="2"/>
        <v>0</v>
      </c>
      <c r="R45" s="773">
        <f t="shared" si="2"/>
        <v>0</v>
      </c>
    </row>
    <row r="46" spans="1:18">
      <c r="A46" s="633"/>
      <c r="B46" s="642" t="s">
        <v>272</v>
      </c>
      <c r="C46" s="771">
        <f t="shared" si="2"/>
        <v>5981517.4700000016</v>
      </c>
      <c r="D46" s="772">
        <f t="shared" si="2"/>
        <v>2957365.7800000003</v>
      </c>
      <c r="E46" s="771">
        <f t="shared" si="2"/>
        <v>4076534.1</v>
      </c>
      <c r="F46" s="772">
        <f t="shared" si="2"/>
        <v>7040446.2199999997</v>
      </c>
      <c r="G46" s="771">
        <f t="shared" si="2"/>
        <v>29541318.875603147</v>
      </c>
      <c r="H46" s="772">
        <f>+H13-H29</f>
        <v>178696765.84517288</v>
      </c>
      <c r="I46" s="771">
        <f t="shared" si="2"/>
        <v>107502636.45959386</v>
      </c>
      <c r="J46" s="772">
        <f t="shared" si="2"/>
        <v>427903.62000000005</v>
      </c>
      <c r="K46" s="771">
        <f t="shared" si="2"/>
        <v>112266.41000000003</v>
      </c>
      <c r="L46" s="772">
        <f t="shared" si="2"/>
        <v>39391.729999999974</v>
      </c>
      <c r="M46" s="771">
        <f t="shared" si="2"/>
        <v>201461.80999999997</v>
      </c>
      <c r="N46" s="772">
        <f t="shared" si="2"/>
        <v>3802802.2162519787</v>
      </c>
      <c r="O46" s="771">
        <f t="shared" si="2"/>
        <v>20107853.174865898</v>
      </c>
      <c r="P46" s="772">
        <f t="shared" si="2"/>
        <v>283157.39749999996</v>
      </c>
      <c r="Q46" s="771">
        <f t="shared" si="2"/>
        <v>0</v>
      </c>
      <c r="R46" s="773">
        <f t="shared" si="2"/>
        <v>0</v>
      </c>
    </row>
    <row r="47" spans="1:18">
      <c r="A47" s="633"/>
      <c r="B47" s="642" t="s">
        <v>168</v>
      </c>
      <c r="C47" s="771">
        <f t="shared" si="2"/>
        <v>5966038.0200000014</v>
      </c>
      <c r="D47" s="772">
        <f t="shared" si="2"/>
        <v>2949732.2300000004</v>
      </c>
      <c r="E47" s="771">
        <f t="shared" si="2"/>
        <v>4066767.9950000001</v>
      </c>
      <c r="F47" s="772">
        <f t="shared" si="2"/>
        <v>7023579.5099999998</v>
      </c>
      <c r="G47" s="771">
        <f t="shared" si="2"/>
        <v>29506932.558007505</v>
      </c>
      <c r="H47" s="772">
        <f t="shared" si="2"/>
        <v>175944931.67863861</v>
      </c>
      <c r="I47" s="771">
        <f t="shared" si="2"/>
        <v>110542429.76882076</v>
      </c>
      <c r="J47" s="772">
        <f t="shared" si="2"/>
        <v>426878.92000000004</v>
      </c>
      <c r="K47" s="771">
        <f t="shared" si="2"/>
        <v>111986.85000000002</v>
      </c>
      <c r="L47" s="772">
        <f t="shared" si="2"/>
        <v>39298.559999999969</v>
      </c>
      <c r="M47" s="771">
        <f t="shared" si="2"/>
        <v>201048.70999999996</v>
      </c>
      <c r="N47" s="772">
        <f t="shared" si="2"/>
        <v>3796697.5637423112</v>
      </c>
      <c r="O47" s="771">
        <f t="shared" si="2"/>
        <v>20094308.553495646</v>
      </c>
      <c r="P47" s="772">
        <f t="shared" si="2"/>
        <v>282440.54333333333</v>
      </c>
      <c r="Q47" s="771">
        <f t="shared" si="2"/>
        <v>0</v>
      </c>
      <c r="R47" s="773">
        <f t="shared" si="2"/>
        <v>0</v>
      </c>
    </row>
    <row r="48" spans="1:18">
      <c r="A48" s="633"/>
      <c r="B48" s="642" t="s">
        <v>140</v>
      </c>
      <c r="C48" s="771">
        <f t="shared" si="2"/>
        <v>5950558.5700000022</v>
      </c>
      <c r="D48" s="772">
        <f t="shared" si="2"/>
        <v>2942098.68</v>
      </c>
      <c r="E48" s="771">
        <f t="shared" si="2"/>
        <v>4057001.89</v>
      </c>
      <c r="F48" s="772">
        <f t="shared" si="2"/>
        <v>7006712.7999999998</v>
      </c>
      <c r="G48" s="771">
        <f t="shared" si="2"/>
        <v>29456332.043596506</v>
      </c>
      <c r="H48" s="772">
        <f t="shared" si="2"/>
        <v>179770496.79329956</v>
      </c>
      <c r="I48" s="771">
        <f t="shared" si="2"/>
        <v>114041917.24289981</v>
      </c>
      <c r="J48" s="772">
        <f t="shared" si="2"/>
        <v>425854.22000000009</v>
      </c>
      <c r="K48" s="771">
        <f t="shared" si="2"/>
        <v>111707.29000000002</v>
      </c>
      <c r="L48" s="772">
        <f t="shared" si="2"/>
        <v>39205.38999999997</v>
      </c>
      <c r="M48" s="771">
        <f t="shared" si="2"/>
        <v>200635.60999999996</v>
      </c>
      <c r="N48" s="772">
        <f t="shared" si="2"/>
        <v>3790592.9112326438</v>
      </c>
      <c r="O48" s="771">
        <f t="shared" si="2"/>
        <v>20072987.884446129</v>
      </c>
      <c r="P48" s="772">
        <f t="shared" si="2"/>
        <v>281723.68916666665</v>
      </c>
      <c r="Q48" s="771">
        <f t="shared" si="2"/>
        <v>0</v>
      </c>
      <c r="R48" s="773">
        <f t="shared" si="2"/>
        <v>285131.72151665273</v>
      </c>
    </row>
    <row r="49" spans="1:18">
      <c r="A49" s="633"/>
      <c r="B49" s="642" t="s">
        <v>169</v>
      </c>
      <c r="C49" s="771">
        <f t="shared" si="2"/>
        <v>5935079.120000002</v>
      </c>
      <c r="D49" s="772">
        <f t="shared" si="2"/>
        <v>2934465.13</v>
      </c>
      <c r="E49" s="771">
        <f t="shared" si="2"/>
        <v>4047235.7850000001</v>
      </c>
      <c r="F49" s="772">
        <f t="shared" si="2"/>
        <v>6989846.0899999999</v>
      </c>
      <c r="G49" s="771">
        <f t="shared" si="2"/>
        <v>29408576.983671866</v>
      </c>
      <c r="H49" s="772">
        <f t="shared" si="2"/>
        <v>184081067.26467857</v>
      </c>
      <c r="I49" s="771">
        <f t="shared" si="2"/>
        <v>121075728.7633556</v>
      </c>
      <c r="J49" s="772">
        <f t="shared" si="2"/>
        <v>424829.52000000008</v>
      </c>
      <c r="K49" s="771">
        <f t="shared" si="2"/>
        <v>111427.73000000003</v>
      </c>
      <c r="L49" s="772">
        <f t="shared" si="2"/>
        <v>39112.219999999972</v>
      </c>
      <c r="M49" s="771">
        <f t="shared" si="2"/>
        <v>200222.50999999995</v>
      </c>
      <c r="N49" s="772">
        <f t="shared" si="2"/>
        <v>3784488.2587229763</v>
      </c>
      <c r="O49" s="771">
        <f t="shared" si="2"/>
        <v>20032954.112748861</v>
      </c>
      <c r="P49" s="772">
        <f t="shared" si="2"/>
        <v>281006.83499999996</v>
      </c>
      <c r="Q49" s="771">
        <f t="shared" si="2"/>
        <v>6347425.8584513487</v>
      </c>
      <c r="R49" s="773">
        <f t="shared" si="2"/>
        <v>4094507.3080291008</v>
      </c>
    </row>
    <row r="50" spans="1:18">
      <c r="A50" s="633"/>
      <c r="B50" s="642" t="s">
        <v>170</v>
      </c>
      <c r="C50" s="771">
        <f t="shared" si="2"/>
        <v>5919599.6700000018</v>
      </c>
      <c r="D50" s="772">
        <f t="shared" si="2"/>
        <v>2926831.58</v>
      </c>
      <c r="E50" s="771">
        <f t="shared" si="2"/>
        <v>4037469.68</v>
      </c>
      <c r="F50" s="772">
        <f t="shared" si="2"/>
        <v>6972979.3799999999</v>
      </c>
      <c r="G50" s="771">
        <f t="shared" si="2"/>
        <v>29361387.584012736</v>
      </c>
      <c r="H50" s="772">
        <f t="shared" si="2"/>
        <v>186875233.06740573</v>
      </c>
      <c r="I50" s="771">
        <f t="shared" si="2"/>
        <v>133369833.92995447</v>
      </c>
      <c r="J50" s="772">
        <f t="shared" si="2"/>
        <v>423804.82000000007</v>
      </c>
      <c r="K50" s="771">
        <f t="shared" si="2"/>
        <v>111148.17000000003</v>
      </c>
      <c r="L50" s="772">
        <f t="shared" si="2"/>
        <v>39019.049999999974</v>
      </c>
      <c r="M50" s="771">
        <f t="shared" si="2"/>
        <v>199809.40999999995</v>
      </c>
      <c r="N50" s="772">
        <f t="shared" si="2"/>
        <v>3778383.6062133093</v>
      </c>
      <c r="O50" s="771">
        <f t="shared" si="2"/>
        <v>20013330.028982371</v>
      </c>
      <c r="P50" s="772">
        <f t="shared" si="2"/>
        <v>280289.98083333333</v>
      </c>
      <c r="Q50" s="771">
        <f t="shared" si="2"/>
        <v>6362115.0848723529</v>
      </c>
      <c r="R50" s="773">
        <f t="shared" si="2"/>
        <v>4107482.8329972448</v>
      </c>
    </row>
    <row r="51" spans="1:18">
      <c r="A51" s="633"/>
      <c r="B51" s="642" t="s">
        <v>275</v>
      </c>
      <c r="C51" s="771">
        <f t="shared" si="2"/>
        <v>5904120.2200000016</v>
      </c>
      <c r="D51" s="772">
        <f t="shared" si="2"/>
        <v>2919198.0300000003</v>
      </c>
      <c r="E51" s="771">
        <f t="shared" si="2"/>
        <v>4027703.5750000002</v>
      </c>
      <c r="F51" s="772">
        <f t="shared" si="2"/>
        <v>6956112.6699999999</v>
      </c>
      <c r="G51" s="771">
        <f t="shared" si="2"/>
        <v>29310777.077220012</v>
      </c>
      <c r="H51" s="772">
        <f t="shared" si="2"/>
        <v>192982293.33859292</v>
      </c>
      <c r="I51" s="771">
        <f t="shared" si="2"/>
        <v>145695374.84775966</v>
      </c>
      <c r="J51" s="772">
        <f t="shared" si="2"/>
        <v>422780.12000000005</v>
      </c>
      <c r="K51" s="771">
        <f t="shared" si="2"/>
        <v>110868.61000000003</v>
      </c>
      <c r="L51" s="772">
        <f t="shared" si="2"/>
        <v>38925.879999999976</v>
      </c>
      <c r="M51" s="771">
        <f t="shared" si="2"/>
        <v>199396.30999999997</v>
      </c>
      <c r="N51" s="772">
        <f t="shared" si="2"/>
        <v>3772278.9537036419</v>
      </c>
      <c r="O51" s="771">
        <f t="shared" si="2"/>
        <v>20021935.89732432</v>
      </c>
      <c r="P51" s="772">
        <f t="shared" si="2"/>
        <v>279573.12666666665</v>
      </c>
      <c r="Q51" s="771">
        <f t="shared" si="2"/>
        <v>6388505.1349293189</v>
      </c>
      <c r="R51" s="773">
        <f t="shared" si="2"/>
        <v>4108556.0852307696</v>
      </c>
    </row>
    <row r="52" spans="1:18">
      <c r="A52" s="633"/>
      <c r="B52" s="642" t="s">
        <v>172</v>
      </c>
      <c r="C52" s="771">
        <f t="shared" si="2"/>
        <v>5888640.7700000014</v>
      </c>
      <c r="D52" s="772">
        <f t="shared" si="2"/>
        <v>2911564.48</v>
      </c>
      <c r="E52" s="771">
        <f t="shared" si="2"/>
        <v>4017937.47</v>
      </c>
      <c r="F52" s="772">
        <f t="shared" si="2"/>
        <v>6939245.96</v>
      </c>
      <c r="G52" s="771">
        <f t="shared" si="2"/>
        <v>29260165.297129266</v>
      </c>
      <c r="H52" s="772">
        <f t="shared" si="2"/>
        <v>198913094.48070154</v>
      </c>
      <c r="I52" s="771">
        <f t="shared" si="2"/>
        <v>156635360.78116959</v>
      </c>
      <c r="J52" s="772">
        <f t="shared" si="2"/>
        <v>421755.4200000001</v>
      </c>
      <c r="K52" s="771">
        <f t="shared" si="2"/>
        <v>110589.05000000002</v>
      </c>
      <c r="L52" s="772">
        <f t="shared" si="2"/>
        <v>38832.70999999997</v>
      </c>
      <c r="M52" s="771">
        <f t="shared" si="2"/>
        <v>198983.20999999996</v>
      </c>
      <c r="N52" s="772">
        <f t="shared" si="2"/>
        <v>3766174.3011939744</v>
      </c>
      <c r="O52" s="771">
        <f t="shared" si="2"/>
        <v>20004366.06222298</v>
      </c>
      <c r="P52" s="772">
        <f t="shared" si="2"/>
        <v>278856.27249999996</v>
      </c>
      <c r="Q52" s="771">
        <f t="shared" si="2"/>
        <v>6413448.6967666773</v>
      </c>
      <c r="R52" s="773">
        <f t="shared" si="2"/>
        <v>7742728.2081373855</v>
      </c>
    </row>
    <row r="53" spans="1:18">
      <c r="A53" s="633"/>
      <c r="B53" s="642" t="s">
        <v>173</v>
      </c>
      <c r="C53" s="771">
        <f t="shared" si="2"/>
        <v>5873161.3200000022</v>
      </c>
      <c r="D53" s="772">
        <f t="shared" si="2"/>
        <v>2903930.9299999997</v>
      </c>
      <c r="E53" s="771">
        <f>+E20-E36</f>
        <v>4008171.3650000002</v>
      </c>
      <c r="F53" s="772">
        <f t="shared" si="2"/>
        <v>6922379.25</v>
      </c>
      <c r="G53" s="771">
        <f t="shared" si="2"/>
        <v>29209555.402882375</v>
      </c>
      <c r="H53" s="772">
        <f t="shared" si="2"/>
        <v>202988068.92853063</v>
      </c>
      <c r="I53" s="771">
        <f t="shared" si="2"/>
        <v>166649951.08570045</v>
      </c>
      <c r="J53" s="772">
        <f t="shared" si="2"/>
        <v>420730.72000000009</v>
      </c>
      <c r="K53" s="771">
        <f t="shared" si="2"/>
        <v>110309.49000000002</v>
      </c>
      <c r="L53" s="772">
        <f t="shared" si="2"/>
        <v>38739.539999999972</v>
      </c>
      <c r="M53" s="771">
        <f t="shared" si="2"/>
        <v>198570.10999999996</v>
      </c>
      <c r="N53" s="772">
        <f t="shared" si="2"/>
        <v>3760069.648684307</v>
      </c>
      <c r="O53" s="771">
        <f t="shared" si="2"/>
        <v>19994048.190733127</v>
      </c>
      <c r="P53" s="772">
        <f t="shared" si="2"/>
        <v>278139.41833333333</v>
      </c>
      <c r="Q53" s="771">
        <f t="shared" si="2"/>
        <v>6403733.6111952793</v>
      </c>
      <c r="R53" s="773">
        <f t="shared" si="2"/>
        <v>7712834.1278734636</v>
      </c>
    </row>
    <row r="54" spans="1:18">
      <c r="A54" s="633"/>
      <c r="B54" s="642" t="s">
        <v>174</v>
      </c>
      <c r="C54" s="771">
        <f t="shared" si="2"/>
        <v>5857681.870000002</v>
      </c>
      <c r="D54" s="772">
        <f t="shared" si="2"/>
        <v>2896297.38</v>
      </c>
      <c r="E54" s="771">
        <f t="shared" si="2"/>
        <v>3998405.2600000002</v>
      </c>
      <c r="F54" s="772">
        <f t="shared" si="2"/>
        <v>6905512.54</v>
      </c>
      <c r="G54" s="771">
        <f t="shared" si="2"/>
        <v>29158943.514251661</v>
      </c>
      <c r="H54" s="772">
        <f t="shared" si="2"/>
        <v>204856106.43612128</v>
      </c>
      <c r="I54" s="771">
        <f t="shared" si="2"/>
        <v>178712021.43879128</v>
      </c>
      <c r="J54" s="772">
        <f t="shared" si="2"/>
        <v>419706.02000000008</v>
      </c>
      <c r="K54" s="771">
        <f t="shared" si="2"/>
        <v>110029.93000000002</v>
      </c>
      <c r="L54" s="772">
        <f t="shared" si="2"/>
        <v>38646.369999999966</v>
      </c>
      <c r="M54" s="771">
        <f t="shared" si="2"/>
        <v>198157.00999999995</v>
      </c>
      <c r="N54" s="772">
        <f t="shared" si="2"/>
        <v>3753964.9961746396</v>
      </c>
      <c r="O54" s="771">
        <f t="shared" si="2"/>
        <v>19962204.801447812</v>
      </c>
      <c r="P54" s="772">
        <f t="shared" si="2"/>
        <v>277422.56416666665</v>
      </c>
      <c r="Q54" s="771">
        <f t="shared" si="2"/>
        <v>6417466.1605158728</v>
      </c>
      <c r="R54" s="773">
        <f t="shared" si="2"/>
        <v>7717334.7002923535</v>
      </c>
    </row>
    <row r="55" spans="1:18">
      <c r="A55" s="636"/>
      <c r="B55" s="654" t="str">
        <f>+B38</f>
        <v>December 2014</v>
      </c>
      <c r="C55" s="771">
        <f t="shared" si="2"/>
        <v>5842202.4200000018</v>
      </c>
      <c r="D55" s="772">
        <f t="shared" si="2"/>
        <v>2888663.83</v>
      </c>
      <c r="E55" s="771">
        <f t="shared" si="2"/>
        <v>3988639.1550000003</v>
      </c>
      <c r="F55" s="772">
        <f t="shared" si="2"/>
        <v>6888645.8300000001</v>
      </c>
      <c r="G55" s="771">
        <f t="shared" si="2"/>
        <v>29108444.194005907</v>
      </c>
      <c r="H55" s="772">
        <f t="shared" si="2"/>
        <v>206923936.40741053</v>
      </c>
      <c r="I55" s="771">
        <f t="shared" si="2"/>
        <v>189158770.59875292</v>
      </c>
      <c r="J55" s="772">
        <f t="shared" si="2"/>
        <v>418681.32000000007</v>
      </c>
      <c r="K55" s="771">
        <f t="shared" si="2"/>
        <v>109750.37000000002</v>
      </c>
      <c r="L55" s="772">
        <f t="shared" si="2"/>
        <v>38553.199999999968</v>
      </c>
      <c r="M55" s="771">
        <f t="shared" si="2"/>
        <v>197743.90999999995</v>
      </c>
      <c r="N55" s="772">
        <f t="shared" si="2"/>
        <v>3747860.3436649726</v>
      </c>
      <c r="O55" s="771">
        <f t="shared" si="2"/>
        <v>20033284.069648612</v>
      </c>
      <c r="P55" s="772">
        <f t="shared" si="2"/>
        <v>276705.70999999996</v>
      </c>
      <c r="Q55" s="771">
        <f t="shared" si="2"/>
        <v>15229988.710309036</v>
      </c>
      <c r="R55" s="773">
        <f t="shared" si="2"/>
        <v>7711343.6982270451</v>
      </c>
    </row>
    <row r="56" spans="1:18">
      <c r="A56" s="638"/>
      <c r="B56" s="639" t="s">
        <v>147</v>
      </c>
      <c r="C56" s="774">
        <f>AVERAGE(C43:C55)</f>
        <v>5935079.120000001</v>
      </c>
      <c r="D56" s="775">
        <f>AVERAGE(D43:D55)</f>
        <v>2934465.13</v>
      </c>
      <c r="E56" s="774">
        <f t="shared" ref="E56:R56" si="3">AVERAGE(E43:E55)</f>
        <v>4047235.7849999997</v>
      </c>
      <c r="F56" s="775">
        <f t="shared" si="3"/>
        <v>6989846.0899999999</v>
      </c>
      <c r="G56" s="774">
        <f t="shared" si="3"/>
        <v>29403288.874674577</v>
      </c>
      <c r="H56" s="775">
        <f t="shared" si="3"/>
        <v>186007727.37677571</v>
      </c>
      <c r="I56" s="774">
        <f t="shared" si="3"/>
        <v>132056247.73144895</v>
      </c>
      <c r="J56" s="775">
        <f t="shared" si="3"/>
        <v>424829.52000000008</v>
      </c>
      <c r="K56" s="774">
        <f t="shared" si="3"/>
        <v>111427.73000000001</v>
      </c>
      <c r="L56" s="775">
        <f t="shared" si="3"/>
        <v>39112.219999999972</v>
      </c>
      <c r="M56" s="774">
        <f t="shared" si="3"/>
        <v>200222.50999999995</v>
      </c>
      <c r="N56" s="775">
        <f t="shared" si="3"/>
        <v>3779383.9510306688</v>
      </c>
      <c r="O56" s="774">
        <f t="shared" si="3"/>
        <v>20099081.872632198</v>
      </c>
      <c r="P56" s="775">
        <f t="shared" si="3"/>
        <v>237168.44532051281</v>
      </c>
      <c r="Q56" s="774">
        <f t="shared" si="3"/>
        <v>4120206.4043876836</v>
      </c>
      <c r="R56" s="776">
        <f t="shared" si="3"/>
        <v>3344609.1294080019</v>
      </c>
    </row>
    <row r="57" spans="1:18">
      <c r="A57" s="638"/>
      <c r="B57" s="646"/>
      <c r="C57" s="655"/>
      <c r="D57" s="655"/>
      <c r="E57" s="655"/>
      <c r="F57" s="655"/>
      <c r="G57" s="655"/>
      <c r="H57" s="655"/>
      <c r="I57" s="655"/>
      <c r="J57" s="655"/>
      <c r="K57" s="655"/>
      <c r="L57" s="655"/>
      <c r="M57" s="655"/>
      <c r="N57" s="655"/>
      <c r="O57" s="655"/>
      <c r="P57" s="655"/>
      <c r="Q57" s="655"/>
      <c r="R57" s="655"/>
    </row>
    <row r="58" spans="1:18">
      <c r="A58" s="638"/>
      <c r="B58" s="656"/>
      <c r="C58" s="657"/>
      <c r="D58" s="657"/>
      <c r="E58" s="657"/>
      <c r="F58" s="657"/>
      <c r="G58" s="657"/>
      <c r="H58" s="657"/>
      <c r="I58" s="657"/>
      <c r="J58" s="657"/>
      <c r="K58" s="657"/>
      <c r="L58" s="657"/>
      <c r="M58" s="657"/>
      <c r="N58" s="657"/>
      <c r="O58" s="657"/>
      <c r="P58" s="657"/>
      <c r="Q58" s="657"/>
      <c r="R58" s="657"/>
    </row>
    <row r="59" spans="1:18">
      <c r="A59" s="658" t="s">
        <v>941</v>
      </c>
      <c r="B59" s="659" t="s">
        <v>942</v>
      </c>
      <c r="C59" s="778">
        <v>185753.40000000002</v>
      </c>
      <c r="D59" s="779">
        <v>91602.60000000002</v>
      </c>
      <c r="E59" s="778">
        <v>117193.25999999997</v>
      </c>
      <c r="F59" s="779">
        <v>202400.51999999993</v>
      </c>
      <c r="G59" s="778">
        <v>608939.91521480423</v>
      </c>
      <c r="H59" s="779">
        <v>1465109.1994932857</v>
      </c>
      <c r="I59" s="778">
        <v>320569.48347439978</v>
      </c>
      <c r="J59" s="779">
        <v>12296.400000000003</v>
      </c>
      <c r="K59" s="778">
        <v>3354.72</v>
      </c>
      <c r="L59" s="780">
        <v>1118.04</v>
      </c>
      <c r="M59" s="778">
        <v>4957.2000000000007</v>
      </c>
      <c r="N59" s="780">
        <f>73255.8301160081+4005</f>
        <v>77260.830116008103</v>
      </c>
      <c r="O59" s="778">
        <v>412647.39361014852</v>
      </c>
      <c r="P59" s="780">
        <v>7526.9687500000009</v>
      </c>
      <c r="Q59" s="778">
        <v>80390.19969096448</v>
      </c>
      <c r="R59" s="780">
        <v>65488.03177295519</v>
      </c>
    </row>
    <row r="60" spans="1:18">
      <c r="A60" s="636" t="s">
        <v>1084</v>
      </c>
      <c r="B60" s="660" t="s">
        <v>944</v>
      </c>
      <c r="C60" s="771">
        <v>0</v>
      </c>
      <c r="D60" s="772">
        <v>0</v>
      </c>
      <c r="E60" s="771">
        <v>0</v>
      </c>
      <c r="F60" s="781">
        <v>0</v>
      </c>
      <c r="G60" s="771">
        <v>0</v>
      </c>
      <c r="H60" s="781">
        <v>0</v>
      </c>
      <c r="I60" s="771">
        <v>0</v>
      </c>
      <c r="J60" s="781">
        <v>0</v>
      </c>
      <c r="K60" s="771">
        <v>0</v>
      </c>
      <c r="L60" s="782">
        <v>0</v>
      </c>
      <c r="M60" s="771">
        <v>0</v>
      </c>
      <c r="N60" s="782">
        <v>0</v>
      </c>
      <c r="O60" s="771">
        <v>0</v>
      </c>
      <c r="P60" s="782">
        <v>0</v>
      </c>
      <c r="Q60" s="771">
        <v>0</v>
      </c>
      <c r="R60" s="782">
        <v>0</v>
      </c>
    </row>
    <row r="61" spans="1:18">
      <c r="A61" s="620"/>
      <c r="B61" s="639" t="s">
        <v>945</v>
      </c>
      <c r="C61" s="774">
        <f>+C59+C60</f>
        <v>185753.40000000002</v>
      </c>
      <c r="D61" s="775">
        <f>+D59+D60</f>
        <v>91602.60000000002</v>
      </c>
      <c r="E61" s="774">
        <f t="shared" ref="E61:R61" si="4">+E59+E60</f>
        <v>117193.25999999997</v>
      </c>
      <c r="F61" s="775">
        <f t="shared" si="4"/>
        <v>202400.51999999993</v>
      </c>
      <c r="G61" s="774">
        <f t="shared" si="4"/>
        <v>608939.91521480423</v>
      </c>
      <c r="H61" s="775">
        <f t="shared" si="4"/>
        <v>1465109.1994932857</v>
      </c>
      <c r="I61" s="774">
        <f t="shared" si="4"/>
        <v>320569.48347439978</v>
      </c>
      <c r="J61" s="775">
        <f t="shared" si="4"/>
        <v>12296.400000000003</v>
      </c>
      <c r="K61" s="774">
        <f t="shared" si="4"/>
        <v>3354.72</v>
      </c>
      <c r="L61" s="775">
        <f t="shared" si="4"/>
        <v>1118.04</v>
      </c>
      <c r="M61" s="774">
        <f t="shared" si="4"/>
        <v>4957.2000000000007</v>
      </c>
      <c r="N61" s="775">
        <f t="shared" si="4"/>
        <v>77260.830116008103</v>
      </c>
      <c r="O61" s="774">
        <f t="shared" si="4"/>
        <v>412647.39361014852</v>
      </c>
      <c r="P61" s="775">
        <f t="shared" si="4"/>
        <v>7526.9687500000009</v>
      </c>
      <c r="Q61" s="774">
        <f t="shared" si="4"/>
        <v>80390.19969096448</v>
      </c>
      <c r="R61" s="776">
        <f t="shared" si="4"/>
        <v>65488.03177295519</v>
      </c>
    </row>
    <row r="62" spans="1:18">
      <c r="E62" s="563"/>
      <c r="G62" s="473"/>
    </row>
    <row r="63" spans="1:18" s="783" customFormat="1" ht="12.75">
      <c r="C63" s="784"/>
      <c r="D63" s="784"/>
      <c r="E63" s="784"/>
      <c r="F63" s="784"/>
      <c r="G63" s="784"/>
      <c r="H63" s="862"/>
      <c r="I63" s="862"/>
      <c r="J63" s="784"/>
      <c r="K63" s="784"/>
      <c r="L63" s="784"/>
      <c r="M63" s="784"/>
      <c r="N63" s="784"/>
      <c r="O63" s="784"/>
      <c r="P63" s="784"/>
      <c r="Q63" s="784"/>
      <c r="R63" s="784"/>
    </row>
    <row r="64" spans="1:18" s="783" customFormat="1" ht="12.75">
      <c r="G64" s="861"/>
    </row>
    <row r="65" s="783" customFormat="1" ht="12.75"/>
  </sheetData>
  <dataValidations disablePrompts="1" count="1">
    <dataValidation type="list" allowBlank="1" showInputMessage="1" showErrorMessage="1" sqref="C9:R9">
      <formula1>$Q$6:$Q$7</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A1:BQ307"/>
  <sheetViews>
    <sheetView showGridLines="0" topLeftCell="A57" workbookViewId="0">
      <selection activeCell="E72" sqref="E72"/>
    </sheetView>
  </sheetViews>
  <sheetFormatPr defaultRowHeight="15"/>
  <cols>
    <col min="1" max="1" width="6" style="661" customWidth="1"/>
    <col min="2" max="2" width="1.44140625" style="661" customWidth="1"/>
    <col min="3" max="3" width="10.5546875" style="661" customWidth="1"/>
    <col min="4" max="4" width="10.21875" style="661" customWidth="1"/>
    <col min="5" max="5" width="13.44140625" style="661" customWidth="1"/>
    <col min="6" max="6" width="12.88671875" style="661" customWidth="1"/>
    <col min="7" max="7" width="13.5546875" style="661" customWidth="1"/>
    <col min="8" max="8" width="14.44140625" style="661" customWidth="1"/>
    <col min="9" max="9" width="12.33203125" style="661" customWidth="1"/>
    <col min="10" max="10" width="14.109375" style="661" customWidth="1"/>
    <col min="11" max="11" width="12.21875" style="661" customWidth="1"/>
    <col min="12" max="12" width="13.88671875" style="661" customWidth="1"/>
    <col min="13" max="13" width="12.6640625" style="661" customWidth="1"/>
    <col min="14" max="14" width="12.77734375" style="661" customWidth="1"/>
    <col min="15" max="15" width="12.44140625" style="661" customWidth="1"/>
    <col min="16" max="16" width="16" style="661" customWidth="1"/>
    <col min="17" max="17" width="12.33203125" style="661" customWidth="1"/>
    <col min="18" max="18" width="13.88671875" style="661" customWidth="1"/>
    <col min="19" max="19" width="1.88671875" style="661" customWidth="1"/>
    <col min="20" max="20" width="13" style="661" customWidth="1"/>
    <col min="21" max="21" width="10.88671875" style="661" bestFit="1" customWidth="1"/>
    <col min="22" max="16384" width="8.88671875" style="661"/>
  </cols>
  <sheetData>
    <row r="1" spans="1:69">
      <c r="R1" s="662"/>
    </row>
    <row r="2" spans="1:69">
      <c r="R2" s="662"/>
    </row>
    <row r="4" spans="1:69">
      <c r="R4" s="662" t="s">
        <v>946</v>
      </c>
    </row>
    <row r="5" spans="1:69">
      <c r="C5" s="663" t="s">
        <v>947</v>
      </c>
      <c r="D5" s="663"/>
      <c r="E5" s="663"/>
      <c r="F5" s="663"/>
      <c r="G5" s="663"/>
      <c r="H5" s="663"/>
      <c r="I5" s="663"/>
      <c r="J5" s="664" t="s">
        <v>390</v>
      </c>
      <c r="K5" s="664"/>
      <c r="L5" s="663"/>
      <c r="M5" s="663"/>
      <c r="N5" s="663"/>
      <c r="O5" s="663"/>
      <c r="Q5" s="665"/>
      <c r="R5" s="666" t="s">
        <v>948</v>
      </c>
      <c r="S5" s="667"/>
      <c r="T5" s="668"/>
      <c r="U5" s="668"/>
      <c r="V5" s="667"/>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c r="AW5" s="669"/>
      <c r="AX5" s="669"/>
      <c r="AY5" s="669"/>
      <c r="AZ5" s="669"/>
      <c r="BA5" s="669"/>
      <c r="BB5" s="669"/>
      <c r="BC5" s="669"/>
      <c r="BD5" s="669"/>
      <c r="BE5" s="669"/>
      <c r="BF5" s="669"/>
      <c r="BG5" s="669"/>
      <c r="BH5" s="669"/>
      <c r="BI5" s="669"/>
      <c r="BJ5" s="669"/>
      <c r="BK5" s="669"/>
      <c r="BL5" s="669"/>
      <c r="BM5" s="669"/>
      <c r="BN5" s="669"/>
      <c r="BO5" s="669"/>
      <c r="BP5" s="669"/>
      <c r="BQ5" s="669"/>
    </row>
    <row r="6" spans="1:69">
      <c r="C6" s="663"/>
      <c r="D6" s="663"/>
      <c r="E6" s="663"/>
      <c r="F6" s="663"/>
      <c r="G6" s="663"/>
      <c r="H6" s="670" t="s">
        <v>124</v>
      </c>
      <c r="I6" s="670"/>
      <c r="J6" s="670" t="s">
        <v>949</v>
      </c>
      <c r="K6" s="670"/>
      <c r="L6" s="670"/>
      <c r="M6" s="670"/>
      <c r="N6" s="670"/>
      <c r="O6" s="663"/>
      <c r="Q6" s="665"/>
      <c r="R6" s="663"/>
      <c r="S6" s="667"/>
      <c r="T6" s="671"/>
      <c r="U6" s="668"/>
      <c r="V6" s="667"/>
      <c r="W6" s="669"/>
      <c r="X6" s="669"/>
      <c r="Y6" s="669"/>
      <c r="Z6" s="669"/>
      <c r="AA6" s="669"/>
      <c r="AB6" s="669"/>
      <c r="AC6" s="669"/>
      <c r="AD6" s="669"/>
      <c r="AE6" s="669"/>
      <c r="AF6" s="669"/>
      <c r="AG6" s="669"/>
      <c r="AH6" s="669"/>
      <c r="AI6" s="669"/>
      <c r="AJ6" s="669"/>
      <c r="AK6" s="669"/>
      <c r="AL6" s="669"/>
      <c r="AM6" s="669"/>
      <c r="AN6" s="669"/>
      <c r="AO6" s="669"/>
      <c r="AP6" s="669"/>
      <c r="AQ6" s="669"/>
      <c r="AR6" s="669"/>
      <c r="AS6" s="669"/>
      <c r="AT6" s="669"/>
      <c r="AU6" s="669"/>
      <c r="AV6" s="669"/>
      <c r="AW6" s="669"/>
      <c r="AX6" s="669"/>
      <c r="AY6" s="669"/>
      <c r="AZ6" s="669"/>
      <c r="BA6" s="669"/>
      <c r="BB6" s="669"/>
      <c r="BC6" s="669"/>
      <c r="BD6" s="669"/>
      <c r="BE6" s="669"/>
      <c r="BF6" s="669"/>
      <c r="BG6" s="669"/>
      <c r="BH6" s="669"/>
      <c r="BI6" s="669"/>
      <c r="BJ6" s="669"/>
      <c r="BK6" s="669"/>
      <c r="BL6" s="669"/>
      <c r="BM6" s="669"/>
      <c r="BN6" s="669"/>
      <c r="BO6" s="669"/>
      <c r="BP6" s="669"/>
      <c r="BQ6" s="669"/>
    </row>
    <row r="7" spans="1:69">
      <c r="C7" s="665"/>
      <c r="D7" s="665"/>
      <c r="E7" s="665"/>
      <c r="F7" s="665"/>
      <c r="G7" s="665"/>
      <c r="H7" s="665"/>
      <c r="I7" s="665"/>
      <c r="J7" s="665"/>
      <c r="K7" s="665"/>
      <c r="L7" s="665"/>
      <c r="M7" s="665"/>
      <c r="N7" s="665"/>
      <c r="O7" s="665"/>
      <c r="Q7" s="665"/>
      <c r="R7" s="665" t="s">
        <v>950</v>
      </c>
      <c r="S7" s="667"/>
      <c r="T7" s="668"/>
      <c r="U7" s="668"/>
      <c r="V7" s="667"/>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69"/>
      <c r="AY7" s="669"/>
      <c r="AZ7" s="669"/>
      <c r="BA7" s="669"/>
      <c r="BB7" s="669"/>
      <c r="BC7" s="669"/>
      <c r="BD7" s="669"/>
      <c r="BE7" s="669"/>
      <c r="BF7" s="669"/>
      <c r="BG7" s="669"/>
      <c r="BH7" s="669"/>
      <c r="BI7" s="669"/>
      <c r="BJ7" s="669"/>
      <c r="BK7" s="669"/>
      <c r="BL7" s="669"/>
      <c r="BM7" s="669"/>
      <c r="BN7" s="669"/>
      <c r="BO7" s="669"/>
      <c r="BP7" s="669"/>
      <c r="BQ7" s="669"/>
    </row>
    <row r="8" spans="1:69">
      <c r="A8" s="672"/>
      <c r="C8" s="665"/>
      <c r="D8" s="665"/>
      <c r="E8" s="665"/>
      <c r="F8" s="665"/>
      <c r="G8" s="665"/>
      <c r="H8" s="665"/>
      <c r="I8" s="673"/>
      <c r="J8" s="673" t="s">
        <v>240</v>
      </c>
      <c r="K8" s="673"/>
      <c r="L8" s="665"/>
      <c r="M8" s="665"/>
      <c r="N8" s="665"/>
      <c r="O8" s="665"/>
      <c r="P8" s="665"/>
      <c r="Q8" s="665"/>
      <c r="R8" s="665"/>
      <c r="S8" s="667"/>
      <c r="T8" s="668"/>
      <c r="U8" s="668"/>
      <c r="V8" s="667"/>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69"/>
      <c r="BJ8" s="669"/>
      <c r="BK8" s="669"/>
      <c r="BL8" s="669"/>
      <c r="BM8" s="669"/>
      <c r="BN8" s="669"/>
      <c r="BO8" s="669"/>
      <c r="BP8" s="669"/>
      <c r="BQ8" s="669"/>
    </row>
    <row r="9" spans="1:69">
      <c r="A9" s="672"/>
      <c r="C9" s="665"/>
      <c r="D9" s="665"/>
      <c r="E9" s="665"/>
      <c r="F9" s="665"/>
      <c r="G9" s="665"/>
      <c r="H9" s="665"/>
      <c r="I9" s="665"/>
      <c r="J9" s="674"/>
      <c r="K9" s="674"/>
      <c r="L9" s="665"/>
      <c r="M9" s="665"/>
      <c r="N9" s="665"/>
      <c r="O9" s="665"/>
      <c r="P9" s="665"/>
      <c r="Q9" s="665"/>
      <c r="R9" s="665"/>
      <c r="S9" s="667"/>
      <c r="T9" s="668"/>
      <c r="U9" s="668"/>
      <c r="V9" s="667"/>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69"/>
      <c r="AZ9" s="669"/>
      <c r="BA9" s="669"/>
      <c r="BB9" s="669"/>
      <c r="BC9" s="669"/>
      <c r="BD9" s="669"/>
      <c r="BE9" s="669"/>
      <c r="BF9" s="669"/>
      <c r="BG9" s="669"/>
      <c r="BH9" s="669"/>
      <c r="BI9" s="669"/>
      <c r="BJ9" s="669"/>
      <c r="BK9" s="669"/>
      <c r="BL9" s="669"/>
      <c r="BM9" s="669"/>
      <c r="BN9" s="669"/>
      <c r="BO9" s="669"/>
      <c r="BP9" s="669"/>
      <c r="BQ9" s="669"/>
    </row>
    <row r="10" spans="1:69">
      <c r="A10" s="672"/>
      <c r="C10" s="665" t="s">
        <v>951</v>
      </c>
      <c r="D10" s="665"/>
      <c r="E10" s="665"/>
      <c r="F10" s="665"/>
      <c r="G10" s="665"/>
      <c r="H10" s="665"/>
      <c r="I10" s="665"/>
      <c r="J10" s="674"/>
      <c r="K10" s="674"/>
      <c r="L10" s="665"/>
      <c r="M10" s="665"/>
      <c r="N10" s="665"/>
      <c r="O10" s="665"/>
      <c r="P10" s="665"/>
      <c r="Q10" s="665"/>
      <c r="R10" s="665"/>
      <c r="S10" s="667"/>
      <c r="T10" s="668"/>
      <c r="U10" s="668"/>
      <c r="V10" s="667"/>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69"/>
      <c r="AZ10" s="669"/>
      <c r="BA10" s="669"/>
      <c r="BB10" s="669"/>
      <c r="BC10" s="669"/>
      <c r="BD10" s="669"/>
      <c r="BE10" s="669"/>
      <c r="BF10" s="669"/>
      <c r="BG10" s="669"/>
      <c r="BH10" s="669"/>
      <c r="BI10" s="669"/>
      <c r="BJ10" s="669"/>
      <c r="BK10" s="669"/>
      <c r="BL10" s="669"/>
      <c r="BM10" s="669"/>
      <c r="BN10" s="669"/>
      <c r="BO10" s="669"/>
      <c r="BP10" s="669"/>
      <c r="BQ10" s="669"/>
    </row>
    <row r="11" spans="1:69">
      <c r="A11" s="672"/>
      <c r="C11" s="665" t="s">
        <v>952</v>
      </c>
      <c r="D11" s="665"/>
      <c r="E11" s="665"/>
      <c r="F11" s="665"/>
      <c r="G11" s="665"/>
      <c r="H11" s="665"/>
      <c r="I11" s="665"/>
      <c r="J11" s="674"/>
      <c r="K11" s="674"/>
      <c r="P11" s="665"/>
      <c r="Q11" s="665"/>
      <c r="R11" s="665"/>
      <c r="S11" s="667"/>
      <c r="T11" s="667"/>
      <c r="U11" s="667"/>
      <c r="V11" s="667"/>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row>
    <row r="12" spans="1:69">
      <c r="A12" s="672"/>
      <c r="C12" s="665"/>
      <c r="D12" s="665"/>
      <c r="E12" s="665"/>
      <c r="F12" s="665"/>
      <c r="G12" s="665"/>
      <c r="H12" s="665"/>
      <c r="I12" s="665"/>
      <c r="J12" s="665"/>
      <c r="K12" s="665"/>
      <c r="P12" s="670"/>
      <c r="Q12" s="665"/>
      <c r="R12" s="665"/>
      <c r="S12" s="667"/>
      <c r="T12" s="667"/>
      <c r="U12" s="667"/>
      <c r="V12" s="667"/>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69"/>
      <c r="AX12" s="669"/>
      <c r="AY12" s="669"/>
      <c r="AZ12" s="669"/>
      <c r="BA12" s="669"/>
      <c r="BB12" s="669"/>
      <c r="BC12" s="669"/>
      <c r="BD12" s="669"/>
      <c r="BE12" s="669"/>
      <c r="BF12" s="669"/>
      <c r="BG12" s="669"/>
      <c r="BH12" s="669"/>
      <c r="BI12" s="669"/>
      <c r="BJ12" s="669"/>
      <c r="BK12" s="669"/>
      <c r="BL12" s="669"/>
      <c r="BM12" s="669"/>
      <c r="BN12" s="669"/>
      <c r="BO12" s="669"/>
      <c r="BP12" s="669"/>
      <c r="BQ12" s="669"/>
    </row>
    <row r="13" spans="1:69">
      <c r="C13" s="675" t="s">
        <v>459</v>
      </c>
      <c r="D13" s="675"/>
      <c r="E13" s="675"/>
      <c r="F13" s="675"/>
      <c r="G13" s="675"/>
      <c r="H13" s="675" t="s">
        <v>460</v>
      </c>
      <c r="I13" s="675"/>
      <c r="J13" s="675" t="s">
        <v>461</v>
      </c>
      <c r="K13" s="675"/>
      <c r="L13" s="676" t="s">
        <v>462</v>
      </c>
      <c r="Q13" s="670"/>
      <c r="R13" s="676"/>
      <c r="S13" s="677"/>
      <c r="T13" s="676"/>
      <c r="U13" s="677"/>
      <c r="V13" s="667"/>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c r="BM13" s="669"/>
      <c r="BN13" s="669"/>
      <c r="BO13" s="669"/>
      <c r="BP13" s="669"/>
      <c r="BQ13" s="669"/>
    </row>
    <row r="14" spans="1:69" ht="15.75">
      <c r="C14" s="665"/>
      <c r="D14" s="665"/>
      <c r="E14" s="665"/>
      <c r="F14" s="665"/>
      <c r="G14" s="665"/>
      <c r="H14" s="678" t="s">
        <v>953</v>
      </c>
      <c r="I14" s="678"/>
      <c r="J14" s="670"/>
      <c r="K14" s="670"/>
      <c r="Q14" s="670"/>
      <c r="S14" s="677"/>
      <c r="T14" s="679"/>
      <c r="U14" s="679"/>
      <c r="V14" s="667"/>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69"/>
      <c r="AV14" s="669"/>
      <c r="AW14" s="669"/>
      <c r="AX14" s="669"/>
      <c r="AY14" s="669"/>
      <c r="AZ14" s="669"/>
      <c r="BA14" s="669"/>
      <c r="BB14" s="669"/>
      <c r="BC14" s="669"/>
      <c r="BD14" s="669"/>
      <c r="BE14" s="669"/>
      <c r="BF14" s="669"/>
      <c r="BG14" s="669"/>
      <c r="BH14" s="669"/>
      <c r="BI14" s="669"/>
      <c r="BJ14" s="669"/>
      <c r="BK14" s="669"/>
      <c r="BL14" s="669"/>
      <c r="BM14" s="669"/>
      <c r="BN14" s="669"/>
      <c r="BO14" s="669"/>
      <c r="BP14" s="669"/>
      <c r="BQ14" s="669"/>
    </row>
    <row r="15" spans="1:69" ht="15.75">
      <c r="A15" s="672" t="s">
        <v>165</v>
      </c>
      <c r="C15" s="665"/>
      <c r="D15" s="665"/>
      <c r="E15" s="665"/>
      <c r="F15" s="665"/>
      <c r="G15" s="665"/>
      <c r="H15" s="680" t="s">
        <v>467</v>
      </c>
      <c r="I15" s="680"/>
      <c r="J15" s="681" t="s">
        <v>143</v>
      </c>
      <c r="K15" s="681"/>
      <c r="L15" s="681" t="s">
        <v>397</v>
      </c>
      <c r="Q15" s="670"/>
      <c r="S15" s="667"/>
      <c r="T15" s="682"/>
      <c r="U15" s="679"/>
      <c r="V15" s="667"/>
      <c r="W15" s="669"/>
      <c r="X15" s="669"/>
      <c r="Y15" s="669"/>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69"/>
      <c r="BH15" s="669"/>
      <c r="BI15" s="669"/>
      <c r="BJ15" s="669"/>
      <c r="BK15" s="669"/>
      <c r="BL15" s="669"/>
      <c r="BM15" s="669"/>
      <c r="BN15" s="669"/>
      <c r="BO15" s="669"/>
      <c r="BP15" s="669"/>
      <c r="BQ15" s="669"/>
    </row>
    <row r="16" spans="1:69" ht="15.75">
      <c r="A16" s="672" t="s">
        <v>141</v>
      </c>
      <c r="C16" s="683"/>
      <c r="D16" s="683"/>
      <c r="E16" s="683"/>
      <c r="F16" s="683"/>
      <c r="G16" s="683"/>
      <c r="H16" s="670"/>
      <c r="I16" s="670"/>
      <c r="J16" s="670"/>
      <c r="K16" s="670"/>
      <c r="L16" s="670"/>
      <c r="Q16" s="670"/>
      <c r="R16" s="670"/>
      <c r="S16" s="667"/>
      <c r="T16" s="677"/>
      <c r="U16" s="677"/>
      <c r="V16" s="667"/>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69"/>
      <c r="AY16" s="669"/>
      <c r="AZ16" s="669"/>
      <c r="BA16" s="669"/>
      <c r="BB16" s="669"/>
      <c r="BC16" s="669"/>
      <c r="BD16" s="669"/>
      <c r="BE16" s="669"/>
      <c r="BF16" s="669"/>
      <c r="BG16" s="669"/>
      <c r="BH16" s="669"/>
      <c r="BI16" s="669"/>
      <c r="BJ16" s="669"/>
      <c r="BK16" s="669"/>
      <c r="BL16" s="669"/>
      <c r="BM16" s="669"/>
      <c r="BN16" s="669"/>
      <c r="BO16" s="669"/>
      <c r="BP16" s="669"/>
      <c r="BQ16" s="669"/>
    </row>
    <row r="17" spans="1:69" ht="15.75">
      <c r="A17" s="684"/>
      <c r="C17" s="665"/>
      <c r="D17" s="665"/>
      <c r="E17" s="665"/>
      <c r="F17" s="665"/>
      <c r="G17" s="665"/>
      <c r="H17" s="670"/>
      <c r="I17" s="670"/>
      <c r="J17" s="670"/>
      <c r="K17" s="670"/>
      <c r="L17" s="670"/>
      <c r="Q17" s="670"/>
      <c r="R17" s="670"/>
      <c r="S17" s="667"/>
      <c r="T17" s="677"/>
      <c r="U17" s="677"/>
      <c r="V17" s="667"/>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9"/>
      <c r="AX17" s="669"/>
      <c r="AY17" s="669"/>
      <c r="AZ17" s="669"/>
      <c r="BA17" s="669"/>
      <c r="BB17" s="669"/>
      <c r="BC17" s="669"/>
      <c r="BD17" s="669"/>
      <c r="BE17" s="669"/>
      <c r="BF17" s="669"/>
      <c r="BG17" s="669"/>
      <c r="BH17" s="669"/>
      <c r="BI17" s="669"/>
      <c r="BJ17" s="669"/>
      <c r="BK17" s="669"/>
      <c r="BL17" s="669"/>
      <c r="BM17" s="669"/>
      <c r="BN17" s="669"/>
      <c r="BO17" s="669"/>
      <c r="BP17" s="669"/>
      <c r="BQ17" s="669"/>
    </row>
    <row r="18" spans="1:69">
      <c r="A18" s="685">
        <v>1</v>
      </c>
      <c r="C18" s="665" t="s">
        <v>954</v>
      </c>
      <c r="D18" s="665"/>
      <c r="E18" s="665"/>
      <c r="F18" s="665"/>
      <c r="G18" s="665"/>
      <c r="H18" s="686" t="s">
        <v>955</v>
      </c>
      <c r="I18" s="686"/>
      <c r="J18" s="687">
        <f>'2014 Attachment O Rev 1'!$I$87+'2014 Attachment O Rev 1'!$I$109+'2014 Attachment O Rev 1'!$I$117</f>
        <v>3515643970.1506486</v>
      </c>
      <c r="K18" s="670"/>
      <c r="Q18" s="670"/>
      <c r="R18" s="670"/>
      <c r="S18" s="667"/>
      <c r="T18" s="677"/>
      <c r="U18" s="677"/>
      <c r="V18" s="667"/>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row>
    <row r="19" spans="1:69">
      <c r="A19" s="685" t="s">
        <v>562</v>
      </c>
      <c r="C19" s="665" t="s">
        <v>956</v>
      </c>
      <c r="D19" s="665"/>
      <c r="E19" s="665"/>
      <c r="F19" s="665"/>
      <c r="G19" s="665"/>
      <c r="H19" s="686" t="s">
        <v>957</v>
      </c>
      <c r="I19" s="686"/>
      <c r="J19" s="688">
        <f>'2014 Attachment O Rev 1'!$I$95</f>
        <v>884717368.51046288</v>
      </c>
      <c r="K19" s="689"/>
      <c r="Q19" s="670"/>
      <c r="R19" s="670"/>
      <c r="S19" s="667"/>
      <c r="T19" s="677"/>
      <c r="U19" s="677"/>
      <c r="V19" s="667"/>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669"/>
      <c r="BL19" s="669"/>
      <c r="BM19" s="669"/>
      <c r="BN19" s="669"/>
      <c r="BO19" s="669"/>
      <c r="BP19" s="669"/>
      <c r="BQ19" s="669"/>
    </row>
    <row r="20" spans="1:69">
      <c r="A20" s="685">
        <v>2</v>
      </c>
      <c r="C20" s="665" t="s">
        <v>958</v>
      </c>
      <c r="D20" s="665"/>
      <c r="E20" s="665"/>
      <c r="F20" s="665"/>
      <c r="G20" s="665"/>
      <c r="H20" s="686" t="s">
        <v>959</v>
      </c>
      <c r="I20" s="686"/>
      <c r="J20" s="690">
        <f>J18-J19</f>
        <v>2630926601.6401858</v>
      </c>
      <c r="K20" s="691"/>
      <c r="Q20" s="670"/>
      <c r="R20" s="670"/>
      <c r="S20" s="667"/>
      <c r="T20" s="677"/>
      <c r="U20" s="677"/>
      <c r="V20" s="667"/>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69"/>
      <c r="BC20" s="669"/>
      <c r="BD20" s="669"/>
      <c r="BE20" s="669"/>
      <c r="BF20" s="669"/>
      <c r="BG20" s="669"/>
      <c r="BH20" s="669"/>
      <c r="BI20" s="669"/>
      <c r="BJ20" s="669"/>
      <c r="BK20" s="669"/>
      <c r="BL20" s="669"/>
      <c r="BM20" s="669"/>
      <c r="BN20" s="669"/>
      <c r="BO20" s="669"/>
      <c r="BP20" s="669"/>
      <c r="BQ20" s="669"/>
    </row>
    <row r="21" spans="1:69">
      <c r="A21" s="685"/>
      <c r="H21" s="686"/>
      <c r="I21" s="686"/>
      <c r="Q21" s="670"/>
      <c r="R21" s="670"/>
      <c r="S21" s="667"/>
      <c r="T21" s="677"/>
      <c r="U21" s="677"/>
      <c r="V21" s="667"/>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c r="BN21" s="669"/>
      <c r="BO21" s="669"/>
      <c r="BP21" s="669"/>
      <c r="BQ21" s="669"/>
    </row>
    <row r="22" spans="1:69">
      <c r="A22" s="685"/>
      <c r="C22" s="665" t="s">
        <v>960</v>
      </c>
      <c r="D22" s="665"/>
      <c r="E22" s="665"/>
      <c r="F22" s="665"/>
      <c r="G22" s="665"/>
      <c r="H22" s="686"/>
      <c r="I22" s="686"/>
      <c r="J22" s="670"/>
      <c r="K22" s="670"/>
      <c r="L22" s="670"/>
      <c r="Q22" s="670"/>
      <c r="R22" s="670"/>
      <c r="S22" s="677"/>
      <c r="T22" s="677"/>
      <c r="U22" s="677"/>
      <c r="V22" s="667"/>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c r="BO22" s="669"/>
      <c r="BP22" s="669"/>
      <c r="BQ22" s="669"/>
    </row>
    <row r="23" spans="1:69">
      <c r="A23" s="685">
        <v>3</v>
      </c>
      <c r="C23" s="665" t="s">
        <v>961</v>
      </c>
      <c r="D23" s="665"/>
      <c r="E23" s="665"/>
      <c r="F23" s="665"/>
      <c r="G23" s="665"/>
      <c r="H23" s="686" t="s">
        <v>962</v>
      </c>
      <c r="I23" s="686"/>
      <c r="J23" s="687">
        <f>'2014 Attachment O Rev 1'!$I$167</f>
        <v>64397168.262673937</v>
      </c>
      <c r="K23" s="670"/>
      <c r="Q23" s="670"/>
      <c r="R23" s="670"/>
      <c r="S23" s="677"/>
      <c r="T23" s="677"/>
      <c r="U23" s="677"/>
      <c r="V23" s="667"/>
      <c r="W23" s="669"/>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c r="BM23" s="669"/>
      <c r="BN23" s="669"/>
      <c r="BO23" s="669"/>
      <c r="BP23" s="669"/>
      <c r="BQ23" s="669"/>
    </row>
    <row r="24" spans="1:69">
      <c r="A24" s="685" t="s">
        <v>963</v>
      </c>
      <c r="C24" s="665" t="s">
        <v>964</v>
      </c>
      <c r="D24" s="665"/>
      <c r="E24" s="665"/>
      <c r="F24" s="665"/>
      <c r="G24" s="665"/>
      <c r="H24" s="686" t="s">
        <v>965</v>
      </c>
      <c r="I24" s="686"/>
      <c r="J24" s="687">
        <f>'2014 Attachment O Rev 1'!$I$158</f>
        <v>194218229.667016</v>
      </c>
      <c r="K24" s="670"/>
      <c r="Q24" s="670"/>
      <c r="R24" s="670"/>
      <c r="S24" s="677"/>
      <c r="T24" s="677"/>
      <c r="U24" s="677"/>
      <c r="V24" s="667"/>
      <c r="W24" s="669"/>
      <c r="X24" s="669"/>
      <c r="Y24" s="669"/>
      <c r="Z24" s="669"/>
      <c r="AA24" s="669"/>
      <c r="AB24" s="669"/>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c r="BN24" s="669"/>
      <c r="BO24" s="669"/>
      <c r="BP24" s="669"/>
      <c r="BQ24" s="669"/>
    </row>
    <row r="25" spans="1:69">
      <c r="A25" s="685" t="s">
        <v>966</v>
      </c>
      <c r="C25" s="665" t="s">
        <v>967</v>
      </c>
      <c r="D25" s="665"/>
      <c r="E25" s="665"/>
      <c r="F25" s="665"/>
      <c r="G25" s="665"/>
      <c r="H25" s="686" t="s">
        <v>968</v>
      </c>
      <c r="I25" s="686"/>
      <c r="J25" s="687">
        <f>'2014 Attachment O Rev 1'!$I$159</f>
        <v>8681362</v>
      </c>
      <c r="K25" s="670"/>
      <c r="Q25" s="670"/>
      <c r="R25" s="670"/>
      <c r="S25" s="677"/>
      <c r="T25" s="677"/>
      <c r="U25" s="677"/>
      <c r="V25" s="667"/>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69"/>
      <c r="AZ25" s="669"/>
      <c r="BA25" s="669"/>
      <c r="BB25" s="669"/>
      <c r="BC25" s="669"/>
      <c r="BD25" s="669"/>
      <c r="BE25" s="669"/>
      <c r="BF25" s="669"/>
      <c r="BG25" s="669"/>
      <c r="BH25" s="669"/>
      <c r="BI25" s="669"/>
      <c r="BJ25" s="669"/>
      <c r="BK25" s="669"/>
      <c r="BL25" s="669"/>
      <c r="BM25" s="669"/>
      <c r="BN25" s="669"/>
      <c r="BO25" s="669"/>
      <c r="BP25" s="669"/>
      <c r="BQ25" s="669"/>
    </row>
    <row r="26" spans="1:69">
      <c r="A26" s="685" t="s">
        <v>969</v>
      </c>
      <c r="C26" s="665" t="s">
        <v>970</v>
      </c>
      <c r="D26" s="665"/>
      <c r="E26" s="665"/>
      <c r="F26" s="665"/>
      <c r="G26" s="665"/>
      <c r="H26" s="686" t="s">
        <v>971</v>
      </c>
      <c r="I26" s="686"/>
      <c r="J26" s="688">
        <f>'2014 Attachment O Rev 1'!$I$160</f>
        <v>136410449.20226932</v>
      </c>
      <c r="K26" s="689"/>
      <c r="Q26" s="670"/>
      <c r="R26" s="670"/>
      <c r="S26" s="677"/>
      <c r="T26" s="677"/>
      <c r="U26" s="677"/>
      <c r="V26" s="667"/>
      <c r="W26" s="669"/>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69"/>
      <c r="BB26" s="669"/>
      <c r="BC26" s="669"/>
      <c r="BD26" s="669"/>
      <c r="BE26" s="669"/>
      <c r="BF26" s="669"/>
      <c r="BG26" s="669"/>
      <c r="BH26" s="669"/>
      <c r="BI26" s="669"/>
      <c r="BJ26" s="669"/>
      <c r="BK26" s="669"/>
      <c r="BL26" s="669"/>
      <c r="BM26" s="669"/>
      <c r="BN26" s="669"/>
      <c r="BO26" s="669"/>
      <c r="BP26" s="669"/>
      <c r="BQ26" s="669"/>
    </row>
    <row r="27" spans="1:69">
      <c r="A27" s="685" t="s">
        <v>972</v>
      </c>
      <c r="C27" s="665" t="s">
        <v>973</v>
      </c>
      <c r="D27" s="665"/>
      <c r="E27" s="665"/>
      <c r="F27" s="665"/>
      <c r="G27" s="665"/>
      <c r="H27" s="686" t="s">
        <v>974</v>
      </c>
      <c r="I27" s="686"/>
      <c r="J27" s="690">
        <f>J24-(J25+J26)</f>
        <v>49126418.464746684</v>
      </c>
      <c r="K27" s="670"/>
      <c r="Q27" s="670"/>
      <c r="R27" s="670"/>
      <c r="S27" s="677"/>
      <c r="T27" s="677"/>
      <c r="U27" s="677"/>
      <c r="V27" s="667"/>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69"/>
      <c r="BM27" s="669"/>
      <c r="BN27" s="669"/>
      <c r="BO27" s="669"/>
      <c r="BP27" s="669"/>
      <c r="BQ27" s="669"/>
    </row>
    <row r="28" spans="1:69">
      <c r="A28" s="685"/>
      <c r="C28" s="665"/>
      <c r="D28" s="665"/>
      <c r="E28" s="665"/>
      <c r="F28" s="665"/>
      <c r="G28" s="665"/>
      <c r="H28" s="686"/>
      <c r="I28" s="686"/>
      <c r="J28" s="670"/>
      <c r="K28" s="670"/>
      <c r="Q28" s="670"/>
      <c r="R28" s="670"/>
      <c r="S28" s="677"/>
      <c r="T28" s="677"/>
      <c r="U28" s="677"/>
      <c r="V28" s="667"/>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669"/>
      <c r="BK28" s="669"/>
      <c r="BL28" s="669"/>
      <c r="BM28" s="669"/>
      <c r="BN28" s="669"/>
      <c r="BO28" s="669"/>
      <c r="BP28" s="669"/>
      <c r="BQ28" s="669"/>
    </row>
    <row r="29" spans="1:69" ht="15.75">
      <c r="A29" s="685">
        <v>4</v>
      </c>
      <c r="C29" s="683" t="s">
        <v>975</v>
      </c>
      <c r="D29" s="683"/>
      <c r="E29" s="683"/>
      <c r="F29" s="683"/>
      <c r="G29" s="665"/>
      <c r="H29" s="686" t="s">
        <v>976</v>
      </c>
      <c r="I29" s="686"/>
      <c r="J29" s="692">
        <f>IF(J27=0,0,J27/J19)</f>
        <v>5.5527810590468477E-2</v>
      </c>
      <c r="K29" s="692"/>
      <c r="L29" s="693">
        <f>J29</f>
        <v>5.5527810590468477E-2</v>
      </c>
      <c r="Q29" s="670"/>
      <c r="R29" s="670"/>
      <c r="S29" s="677"/>
      <c r="T29" s="677"/>
      <c r="U29" s="677"/>
      <c r="V29" s="667"/>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69"/>
      <c r="AY29" s="669"/>
      <c r="AZ29" s="669"/>
      <c r="BA29" s="669"/>
      <c r="BB29" s="669"/>
      <c r="BC29" s="669"/>
      <c r="BD29" s="669"/>
      <c r="BE29" s="669"/>
      <c r="BF29" s="669"/>
      <c r="BG29" s="669"/>
      <c r="BH29" s="669"/>
      <c r="BI29" s="669"/>
      <c r="BJ29" s="669"/>
      <c r="BK29" s="669"/>
      <c r="BL29" s="669"/>
      <c r="BM29" s="669"/>
      <c r="BN29" s="669"/>
      <c r="BO29" s="669"/>
      <c r="BP29" s="669"/>
      <c r="BQ29" s="669"/>
    </row>
    <row r="30" spans="1:69">
      <c r="A30" s="685"/>
      <c r="C30" s="665"/>
      <c r="D30" s="665"/>
      <c r="E30" s="665"/>
      <c r="F30" s="665"/>
      <c r="G30" s="665"/>
      <c r="H30" s="686"/>
      <c r="I30" s="686"/>
      <c r="J30" s="670"/>
      <c r="K30" s="670"/>
      <c r="Q30" s="670"/>
      <c r="R30" s="670"/>
      <c r="S30" s="677"/>
      <c r="T30" s="677"/>
      <c r="U30" s="677"/>
      <c r="V30" s="667"/>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69"/>
      <c r="BM30" s="669"/>
      <c r="BN30" s="669"/>
      <c r="BO30" s="669"/>
      <c r="BP30" s="669"/>
      <c r="BQ30" s="669"/>
    </row>
    <row r="31" spans="1:69">
      <c r="A31" s="685"/>
      <c r="C31" s="665"/>
      <c r="D31" s="665"/>
      <c r="E31" s="665"/>
      <c r="F31" s="665"/>
      <c r="G31" s="665"/>
      <c r="H31" s="686"/>
      <c r="I31" s="686"/>
      <c r="J31" s="670"/>
      <c r="K31" s="670"/>
      <c r="Q31" s="670"/>
      <c r="R31" s="670"/>
      <c r="S31" s="677"/>
      <c r="T31" s="677"/>
      <c r="U31" s="677"/>
      <c r="V31" s="667"/>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69"/>
      <c r="AY31" s="669"/>
      <c r="AZ31" s="669"/>
      <c r="BA31" s="669"/>
      <c r="BB31" s="669"/>
      <c r="BC31" s="669"/>
      <c r="BD31" s="669"/>
      <c r="BE31" s="669"/>
      <c r="BF31" s="669"/>
      <c r="BG31" s="669"/>
      <c r="BH31" s="669"/>
      <c r="BI31" s="669"/>
      <c r="BJ31" s="669"/>
      <c r="BK31" s="669"/>
      <c r="BL31" s="669"/>
      <c r="BM31" s="669"/>
      <c r="BN31" s="669"/>
      <c r="BO31" s="669"/>
      <c r="BP31" s="669"/>
      <c r="BQ31" s="669"/>
    </row>
    <row r="32" spans="1:69" ht="15.75">
      <c r="A32" s="685"/>
      <c r="C32" s="665" t="s">
        <v>977</v>
      </c>
      <c r="D32" s="665"/>
      <c r="E32" s="665"/>
      <c r="F32" s="665"/>
      <c r="G32" s="665"/>
      <c r="H32" s="686"/>
      <c r="I32" s="686"/>
      <c r="J32" s="694"/>
      <c r="K32" s="694"/>
      <c r="L32" s="695"/>
      <c r="Q32" s="670"/>
      <c r="R32" s="692"/>
      <c r="S32" s="696"/>
      <c r="T32" s="697"/>
      <c r="U32" s="677"/>
      <c r="V32" s="667"/>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c r="BM32" s="669"/>
      <c r="BN32" s="669"/>
      <c r="BO32" s="669"/>
      <c r="BP32" s="669"/>
      <c r="BQ32" s="669"/>
    </row>
    <row r="33" spans="1:69" ht="15.75">
      <c r="A33" s="685" t="s">
        <v>978</v>
      </c>
      <c r="C33" s="665" t="s">
        <v>979</v>
      </c>
      <c r="D33" s="665"/>
      <c r="E33" s="665"/>
      <c r="F33" s="665"/>
      <c r="G33" s="665"/>
      <c r="H33" s="686" t="s">
        <v>980</v>
      </c>
      <c r="I33" s="686"/>
      <c r="J33" s="690">
        <f>J23-J27</f>
        <v>15270749.797927253</v>
      </c>
      <c r="K33" s="694"/>
      <c r="L33" s="695"/>
      <c r="Q33" s="670"/>
      <c r="R33" s="692"/>
      <c r="S33" s="696"/>
      <c r="T33" s="697"/>
      <c r="U33" s="677"/>
      <c r="V33" s="667"/>
      <c r="W33" s="669"/>
      <c r="X33" s="669"/>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69"/>
      <c r="BM33" s="669"/>
      <c r="BN33" s="669"/>
      <c r="BO33" s="669"/>
      <c r="BP33" s="669"/>
      <c r="BQ33" s="669"/>
    </row>
    <row r="34" spans="1:69" ht="15.75">
      <c r="A34" s="685" t="s">
        <v>981</v>
      </c>
      <c r="C34" s="665" t="s">
        <v>982</v>
      </c>
      <c r="D34" s="665"/>
      <c r="E34" s="665"/>
      <c r="F34" s="665"/>
      <c r="G34" s="665"/>
      <c r="H34" s="686" t="s">
        <v>983</v>
      </c>
      <c r="I34" s="686"/>
      <c r="J34" s="694">
        <f>IF(J33=0,0,J33/J18)</f>
        <v>4.3436565043510041E-3</v>
      </c>
      <c r="K34" s="694"/>
      <c r="L34" s="695">
        <f>J34*1</f>
        <v>4.3436565043510041E-3</v>
      </c>
      <c r="Q34" s="670"/>
      <c r="R34" s="692"/>
      <c r="S34" s="696"/>
      <c r="T34" s="697"/>
      <c r="U34" s="677"/>
      <c r="V34" s="667"/>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c r="BP34" s="669"/>
      <c r="BQ34" s="669"/>
    </row>
    <row r="35" spans="1:69" ht="15.75">
      <c r="A35" s="685"/>
      <c r="C35" s="665"/>
      <c r="D35" s="665"/>
      <c r="E35" s="665"/>
      <c r="F35" s="665"/>
      <c r="G35" s="665"/>
      <c r="H35" s="686"/>
      <c r="I35" s="686"/>
      <c r="J35" s="694"/>
      <c r="K35" s="694"/>
      <c r="L35" s="695"/>
      <c r="Q35" s="670"/>
      <c r="R35" s="692"/>
      <c r="S35" s="696"/>
      <c r="T35" s="697"/>
      <c r="U35" s="677"/>
      <c r="V35" s="667"/>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69"/>
      <c r="BN35" s="669"/>
      <c r="BO35" s="669"/>
      <c r="BP35" s="669"/>
      <c r="BQ35" s="669"/>
    </row>
    <row r="36" spans="1:69" ht="15.75">
      <c r="A36" s="698"/>
      <c r="B36" s="669"/>
      <c r="C36" s="665" t="s">
        <v>984</v>
      </c>
      <c r="D36" s="665"/>
      <c r="E36" s="665"/>
      <c r="F36" s="665"/>
      <c r="G36" s="665"/>
      <c r="H36" s="699"/>
      <c r="I36" s="699"/>
      <c r="J36" s="670"/>
      <c r="K36" s="670"/>
      <c r="L36" s="670"/>
      <c r="N36" s="669"/>
      <c r="O36" s="669"/>
      <c r="Q36" s="670"/>
      <c r="R36" s="692"/>
      <c r="S36" s="696"/>
      <c r="T36" s="697"/>
      <c r="U36" s="677"/>
      <c r="V36" s="667"/>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69"/>
      <c r="BM36" s="669"/>
      <c r="BN36" s="669"/>
      <c r="BO36" s="669"/>
      <c r="BP36" s="669"/>
      <c r="BQ36" s="669"/>
    </row>
    <row r="37" spans="1:69" ht="15.75">
      <c r="A37" s="698" t="s">
        <v>985</v>
      </c>
      <c r="B37" s="669"/>
      <c r="C37" s="665" t="s">
        <v>986</v>
      </c>
      <c r="D37" s="665"/>
      <c r="E37" s="665"/>
      <c r="F37" s="665"/>
      <c r="G37" s="665"/>
      <c r="H37" s="686" t="s">
        <v>987</v>
      </c>
      <c r="I37" s="686"/>
      <c r="J37" s="687">
        <f>'2014 Attachment O Rev 1'!$I$173+'2014 Attachment O Rev 1'!$I$174</f>
        <v>3746219.391277662</v>
      </c>
      <c r="K37" s="670"/>
      <c r="L37" s="669"/>
      <c r="N37" s="669"/>
      <c r="O37" s="669"/>
      <c r="Q37" s="670"/>
      <c r="R37" s="692"/>
      <c r="S37" s="696"/>
      <c r="T37" s="697"/>
      <c r="U37" s="677"/>
      <c r="V37" s="667"/>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69"/>
      <c r="AY37" s="669"/>
      <c r="AZ37" s="669"/>
      <c r="BA37" s="669"/>
      <c r="BB37" s="669"/>
      <c r="BC37" s="669"/>
      <c r="BD37" s="669"/>
      <c r="BE37" s="669"/>
      <c r="BF37" s="669"/>
      <c r="BG37" s="669"/>
      <c r="BH37" s="669"/>
      <c r="BI37" s="669"/>
      <c r="BJ37" s="669"/>
      <c r="BK37" s="669"/>
      <c r="BL37" s="669"/>
      <c r="BM37" s="669"/>
      <c r="BN37" s="669"/>
      <c r="BO37" s="669"/>
      <c r="BP37" s="669"/>
      <c r="BQ37" s="669"/>
    </row>
    <row r="38" spans="1:69" ht="15.75">
      <c r="A38" s="698" t="s">
        <v>988</v>
      </c>
      <c r="B38" s="669"/>
      <c r="C38" s="665" t="s">
        <v>989</v>
      </c>
      <c r="D38" s="665"/>
      <c r="E38" s="665"/>
      <c r="F38" s="665"/>
      <c r="G38" s="665"/>
      <c r="H38" s="686" t="s">
        <v>990</v>
      </c>
      <c r="I38" s="686"/>
      <c r="J38" s="694">
        <f>IF(J37=0,0,J37/J18)</f>
        <v>1.0655855436684429E-3</v>
      </c>
      <c r="K38" s="694"/>
      <c r="L38" s="695">
        <f>J38*1</f>
        <v>1.0655855436684429E-3</v>
      </c>
      <c r="N38" s="669"/>
      <c r="O38" s="669"/>
      <c r="Q38" s="670"/>
      <c r="R38" s="692"/>
      <c r="S38" s="696"/>
      <c r="T38" s="697"/>
      <c r="U38" s="677"/>
      <c r="V38" s="667"/>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69"/>
      <c r="AY38" s="669"/>
      <c r="AZ38" s="669"/>
      <c r="BA38" s="669"/>
      <c r="BB38" s="669"/>
      <c r="BC38" s="669"/>
      <c r="BD38" s="669"/>
      <c r="BE38" s="669"/>
      <c r="BF38" s="669"/>
      <c r="BG38" s="669"/>
      <c r="BH38" s="669"/>
      <c r="BI38" s="669"/>
      <c r="BJ38" s="669"/>
      <c r="BK38" s="669"/>
      <c r="BL38" s="669"/>
      <c r="BM38" s="669"/>
      <c r="BN38" s="669"/>
      <c r="BO38" s="669"/>
      <c r="BP38" s="669"/>
      <c r="BQ38" s="669"/>
    </row>
    <row r="39" spans="1:69" ht="15.75">
      <c r="A39" s="685"/>
      <c r="C39" s="665"/>
      <c r="D39" s="665"/>
      <c r="E39" s="665"/>
      <c r="F39" s="665"/>
      <c r="G39" s="665"/>
      <c r="H39" s="686"/>
      <c r="I39" s="686"/>
      <c r="J39" s="694"/>
      <c r="K39" s="694"/>
      <c r="L39" s="695"/>
      <c r="Q39" s="670"/>
      <c r="R39" s="692"/>
      <c r="S39" s="696"/>
      <c r="T39" s="697"/>
      <c r="U39" s="677"/>
      <c r="V39" s="667"/>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c r="BN39" s="669"/>
      <c r="BO39" s="669"/>
      <c r="BP39" s="669"/>
      <c r="BQ39" s="669"/>
    </row>
    <row r="40" spans="1:69">
      <c r="A40" s="700"/>
      <c r="C40" s="665" t="s">
        <v>991</v>
      </c>
      <c r="D40" s="665"/>
      <c r="E40" s="665"/>
      <c r="F40" s="665"/>
      <c r="G40" s="665"/>
      <c r="H40" s="699"/>
      <c r="I40" s="699"/>
      <c r="J40" s="670"/>
      <c r="K40" s="670"/>
      <c r="L40" s="670"/>
      <c r="Q40" s="670"/>
      <c r="R40" s="670"/>
      <c r="S40" s="677"/>
      <c r="T40" s="670"/>
      <c r="U40" s="677"/>
      <c r="V40" s="667"/>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669"/>
      <c r="BL40" s="669"/>
      <c r="BM40" s="669"/>
      <c r="BN40" s="669"/>
      <c r="BO40" s="669"/>
      <c r="BP40" s="669"/>
      <c r="BQ40" s="669"/>
    </row>
    <row r="41" spans="1:69" ht="15.75">
      <c r="A41" s="700" t="s">
        <v>992</v>
      </c>
      <c r="C41" s="665" t="s">
        <v>993</v>
      </c>
      <c r="D41" s="665"/>
      <c r="E41" s="665"/>
      <c r="F41" s="665"/>
      <c r="G41" s="665"/>
      <c r="H41" s="686" t="s">
        <v>994</v>
      </c>
      <c r="I41" s="686"/>
      <c r="J41" s="687">
        <f>'2014 Attachment O Rev 1'!$I$186</f>
        <v>35248921.703965507</v>
      </c>
      <c r="K41" s="670"/>
      <c r="Q41" s="670"/>
      <c r="R41" s="701"/>
      <c r="S41" s="677"/>
      <c r="T41" s="702"/>
      <c r="U41" s="679"/>
      <c r="V41" s="667"/>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69"/>
      <c r="AY41" s="669"/>
      <c r="AZ41" s="669"/>
      <c r="BA41" s="669"/>
      <c r="BB41" s="669"/>
      <c r="BC41" s="669"/>
      <c r="BD41" s="669"/>
      <c r="BE41" s="669"/>
      <c r="BF41" s="669"/>
      <c r="BG41" s="669"/>
      <c r="BH41" s="669"/>
      <c r="BI41" s="669"/>
      <c r="BJ41" s="669"/>
      <c r="BK41" s="669"/>
      <c r="BL41" s="669"/>
      <c r="BM41" s="669"/>
      <c r="BN41" s="669"/>
      <c r="BO41" s="669"/>
      <c r="BP41" s="669"/>
      <c r="BQ41" s="669"/>
    </row>
    <row r="42" spans="1:69" ht="15.75">
      <c r="A42" s="700" t="s">
        <v>995</v>
      </c>
      <c r="C42" s="665" t="s">
        <v>996</v>
      </c>
      <c r="D42" s="665"/>
      <c r="E42" s="665"/>
      <c r="F42" s="665"/>
      <c r="G42" s="665"/>
      <c r="H42" s="686" t="s">
        <v>997</v>
      </c>
      <c r="I42" s="686"/>
      <c r="J42" s="694">
        <f>IF(J41=0,0,J41/J18)</f>
        <v>1.0026305849865412E-2</v>
      </c>
      <c r="K42" s="694"/>
      <c r="L42" s="695">
        <f>J42*1</f>
        <v>1.0026305849865412E-2</v>
      </c>
      <c r="Q42" s="670"/>
      <c r="R42" s="692"/>
      <c r="S42" s="677"/>
      <c r="T42" s="697"/>
      <c r="U42" s="679"/>
      <c r="V42" s="667"/>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69"/>
      <c r="BM42" s="669"/>
      <c r="BN42" s="669"/>
      <c r="BO42" s="669"/>
      <c r="BP42" s="669"/>
      <c r="BQ42" s="669"/>
    </row>
    <row r="43" spans="1:69">
      <c r="A43" s="700"/>
      <c r="C43" s="665"/>
      <c r="D43" s="665"/>
      <c r="E43" s="665"/>
      <c r="F43" s="665"/>
      <c r="G43" s="665"/>
      <c r="H43" s="686"/>
      <c r="I43" s="686"/>
      <c r="J43" s="670"/>
      <c r="K43" s="670"/>
      <c r="L43" s="670"/>
      <c r="Q43" s="670"/>
      <c r="U43" s="677"/>
      <c r="V43" s="667"/>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669"/>
      <c r="BF43" s="669"/>
      <c r="BG43" s="669"/>
      <c r="BH43" s="669"/>
      <c r="BI43" s="669"/>
      <c r="BJ43" s="669"/>
      <c r="BK43" s="669"/>
      <c r="BL43" s="669"/>
      <c r="BM43" s="669"/>
      <c r="BN43" s="669"/>
      <c r="BO43" s="669"/>
      <c r="BP43" s="669"/>
      <c r="BQ43" s="669"/>
    </row>
    <row r="44" spans="1:69" ht="15.75">
      <c r="A44" s="703" t="s">
        <v>998</v>
      </c>
      <c r="B44" s="704"/>
      <c r="C44" s="683" t="s">
        <v>999</v>
      </c>
      <c r="D44" s="683"/>
      <c r="E44" s="683"/>
      <c r="F44" s="683"/>
      <c r="G44" s="683"/>
      <c r="H44" s="678" t="s">
        <v>1000</v>
      </c>
      <c r="I44" s="678"/>
      <c r="J44" s="705">
        <f>J34+J38+J42</f>
        <v>1.5435547897884858E-2</v>
      </c>
      <c r="K44" s="705"/>
      <c r="L44" s="705">
        <f>L34+L38+L42</f>
        <v>1.5435547897884858E-2</v>
      </c>
      <c r="Q44" s="670"/>
      <c r="U44" s="677"/>
      <c r="V44" s="667"/>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669"/>
      <c r="BF44" s="669"/>
      <c r="BG44" s="669"/>
      <c r="BH44" s="669"/>
      <c r="BI44" s="669"/>
      <c r="BJ44" s="669"/>
      <c r="BK44" s="669"/>
      <c r="BL44" s="669"/>
      <c r="BM44" s="669"/>
      <c r="BN44" s="669"/>
      <c r="BO44" s="669"/>
      <c r="BP44" s="669"/>
      <c r="BQ44" s="669"/>
    </row>
    <row r="45" spans="1:69">
      <c r="A45" s="700"/>
      <c r="C45" s="665"/>
      <c r="D45" s="665"/>
      <c r="E45" s="665"/>
      <c r="F45" s="665"/>
      <c r="G45" s="665"/>
      <c r="H45" s="686"/>
      <c r="I45" s="686"/>
      <c r="J45" s="670"/>
      <c r="K45" s="670"/>
      <c r="L45" s="670"/>
      <c r="Q45" s="670"/>
      <c r="R45" s="670"/>
      <c r="S45" s="677"/>
      <c r="T45" s="706"/>
      <c r="U45" s="677"/>
      <c r="V45" s="667"/>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69"/>
      <c r="BC45" s="669"/>
      <c r="BD45" s="669"/>
      <c r="BE45" s="669"/>
      <c r="BF45" s="669"/>
      <c r="BG45" s="669"/>
      <c r="BH45" s="669"/>
      <c r="BI45" s="669"/>
      <c r="BJ45" s="669"/>
      <c r="BK45" s="669"/>
      <c r="BL45" s="669"/>
      <c r="BM45" s="669"/>
      <c r="BN45" s="669"/>
      <c r="BO45" s="669"/>
      <c r="BP45" s="669"/>
      <c r="BQ45" s="669"/>
    </row>
    <row r="46" spans="1:69">
      <c r="A46" s="698"/>
      <c r="B46" s="707"/>
      <c r="C46" s="670" t="s">
        <v>1001</v>
      </c>
      <c r="D46" s="670"/>
      <c r="E46" s="670"/>
      <c r="F46" s="670"/>
      <c r="G46" s="670"/>
      <c r="H46" s="686"/>
      <c r="I46" s="686"/>
      <c r="J46" s="670"/>
      <c r="K46" s="670"/>
      <c r="L46" s="670"/>
      <c r="Q46" s="708"/>
      <c r="R46" s="707"/>
      <c r="U46" s="679"/>
      <c r="V46" s="677" t="s">
        <v>124</v>
      </c>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c r="BE46" s="669"/>
      <c r="BF46" s="669"/>
      <c r="BG46" s="669"/>
      <c r="BH46" s="669"/>
      <c r="BI46" s="669"/>
      <c r="BJ46" s="669"/>
      <c r="BK46" s="669"/>
      <c r="BL46" s="669"/>
      <c r="BM46" s="669"/>
      <c r="BN46" s="669"/>
      <c r="BO46" s="669"/>
      <c r="BP46" s="669"/>
      <c r="BQ46" s="669"/>
    </row>
    <row r="47" spans="1:69">
      <c r="A47" s="700" t="s">
        <v>1002</v>
      </c>
      <c r="B47" s="707"/>
      <c r="C47" s="670" t="s">
        <v>606</v>
      </c>
      <c r="D47" s="670"/>
      <c r="E47" s="670"/>
      <c r="F47" s="670"/>
      <c r="G47" s="670"/>
      <c r="H47" s="686" t="s">
        <v>1003</v>
      </c>
      <c r="I47" s="686"/>
      <c r="J47" s="687">
        <f>'2014 Attachment O Rev 1'!$I$198</f>
        <v>97366380.478326157</v>
      </c>
      <c r="K47" s="670"/>
      <c r="L47" s="670"/>
      <c r="Q47" s="708"/>
      <c r="R47" s="707"/>
      <c r="U47" s="679"/>
      <c r="V47" s="677"/>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row>
    <row r="48" spans="1:69">
      <c r="A48" s="700" t="s">
        <v>539</v>
      </c>
      <c r="B48" s="707"/>
      <c r="C48" s="670" t="s">
        <v>1004</v>
      </c>
      <c r="D48" s="670"/>
      <c r="E48" s="670"/>
      <c r="F48" s="670"/>
      <c r="G48" s="670"/>
      <c r="H48" s="686" t="s">
        <v>1005</v>
      </c>
      <c r="I48" s="686"/>
      <c r="J48" s="694">
        <f>IF(J47=0,0,J47/J20)</f>
        <v>3.7008398644654515E-2</v>
      </c>
      <c r="K48" s="694"/>
      <c r="L48" s="695">
        <f>J48*1</f>
        <v>3.7008398644654515E-2</v>
      </c>
      <c r="Q48" s="708"/>
      <c r="R48" s="707"/>
      <c r="S48" s="677"/>
      <c r="T48" s="677"/>
      <c r="U48" s="679"/>
      <c r="V48" s="677"/>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c r="BQ48" s="669"/>
    </row>
    <row r="49" spans="1:69">
      <c r="A49" s="700"/>
      <c r="C49" s="670"/>
      <c r="D49" s="670"/>
      <c r="E49" s="670"/>
      <c r="F49" s="670"/>
      <c r="G49" s="670"/>
      <c r="H49" s="686"/>
      <c r="I49" s="686"/>
      <c r="J49" s="670"/>
      <c r="K49" s="670"/>
      <c r="L49" s="670"/>
      <c r="Q49" s="670"/>
      <c r="S49" s="667"/>
      <c r="T49" s="677"/>
      <c r="U49" s="667"/>
      <c r="V49" s="667"/>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69"/>
      <c r="AY49" s="669"/>
      <c r="AZ49" s="669"/>
      <c r="BA49" s="669"/>
      <c r="BB49" s="669"/>
      <c r="BC49" s="669"/>
      <c r="BD49" s="669"/>
      <c r="BE49" s="669"/>
      <c r="BF49" s="669"/>
      <c r="BG49" s="669"/>
      <c r="BH49" s="669"/>
      <c r="BI49" s="669"/>
      <c r="BJ49" s="669"/>
      <c r="BK49" s="669"/>
      <c r="BL49" s="669"/>
      <c r="BM49" s="669"/>
      <c r="BN49" s="669"/>
      <c r="BO49" s="669"/>
      <c r="BP49" s="669"/>
      <c r="BQ49" s="669"/>
    </row>
    <row r="50" spans="1:69">
      <c r="A50" s="700"/>
      <c r="C50" s="665" t="s">
        <v>608</v>
      </c>
      <c r="D50" s="665"/>
      <c r="E50" s="665"/>
      <c r="F50" s="665"/>
      <c r="G50" s="665"/>
      <c r="H50" s="709"/>
      <c r="I50" s="709"/>
      <c r="Q50" s="670"/>
      <c r="S50" s="677"/>
      <c r="T50" s="677"/>
      <c r="U50" s="677"/>
      <c r="V50" s="667"/>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c r="BD50" s="669"/>
      <c r="BE50" s="669"/>
      <c r="BF50" s="669"/>
      <c r="BG50" s="669"/>
      <c r="BH50" s="669"/>
      <c r="BI50" s="669"/>
      <c r="BJ50" s="669"/>
      <c r="BK50" s="669"/>
      <c r="BL50" s="669"/>
      <c r="BM50" s="669"/>
      <c r="BN50" s="669"/>
      <c r="BO50" s="669"/>
      <c r="BP50" s="669"/>
      <c r="BQ50" s="669"/>
    </row>
    <row r="51" spans="1:69">
      <c r="A51" s="700" t="s">
        <v>540</v>
      </c>
      <c r="C51" s="665" t="s">
        <v>1006</v>
      </c>
      <c r="D51" s="665"/>
      <c r="E51" s="665"/>
      <c r="F51" s="665"/>
      <c r="G51" s="665"/>
      <c r="H51" s="686" t="s">
        <v>1007</v>
      </c>
      <c r="I51" s="686"/>
      <c r="J51" s="687">
        <f>'2014 Attachment O Rev 1'!$I$200</f>
        <v>187071241.82345301</v>
      </c>
      <c r="K51" s="670"/>
      <c r="L51" s="670"/>
      <c r="Q51" s="670"/>
      <c r="S51" s="677"/>
      <c r="T51" s="677"/>
      <c r="U51" s="677"/>
      <c r="V51" s="667"/>
      <c r="W51" s="669"/>
      <c r="X51" s="669"/>
      <c r="Y51" s="66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669"/>
      <c r="AV51" s="669"/>
      <c r="AW51" s="669"/>
      <c r="AX51" s="669"/>
      <c r="AY51" s="669"/>
      <c r="AZ51" s="669"/>
      <c r="BA51" s="669"/>
      <c r="BB51" s="669"/>
      <c r="BC51" s="669"/>
      <c r="BD51" s="669"/>
      <c r="BE51" s="669"/>
      <c r="BF51" s="669"/>
      <c r="BG51" s="669"/>
      <c r="BH51" s="669"/>
      <c r="BI51" s="669"/>
      <c r="BJ51" s="669"/>
      <c r="BK51" s="669"/>
      <c r="BL51" s="669"/>
      <c r="BM51" s="669"/>
      <c r="BN51" s="669"/>
      <c r="BO51" s="669"/>
      <c r="BP51" s="669"/>
      <c r="BQ51" s="669"/>
    </row>
    <row r="52" spans="1:69">
      <c r="A52" s="700" t="s">
        <v>541</v>
      </c>
      <c r="B52" s="707"/>
      <c r="C52" s="670" t="s">
        <v>1008</v>
      </c>
      <c r="D52" s="670"/>
      <c r="E52" s="670"/>
      <c r="F52" s="670"/>
      <c r="G52" s="670"/>
      <c r="H52" s="686" t="s">
        <v>1009</v>
      </c>
      <c r="I52" s="686"/>
      <c r="J52" s="710">
        <f>IF(J51=0,0,J51/J20)</f>
        <v>7.1104698134424618E-2</v>
      </c>
      <c r="K52" s="710"/>
      <c r="L52" s="695">
        <f>J52*1</f>
        <v>7.1104698134424618E-2</v>
      </c>
      <c r="Q52" s="670"/>
      <c r="T52" s="711"/>
      <c r="U52" s="679"/>
      <c r="V52" s="677"/>
      <c r="W52" s="669"/>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69"/>
      <c r="AY52" s="669"/>
      <c r="AZ52" s="669"/>
      <c r="BA52" s="669"/>
      <c r="BB52" s="669"/>
      <c r="BC52" s="669"/>
      <c r="BD52" s="669"/>
      <c r="BE52" s="669"/>
      <c r="BF52" s="669"/>
      <c r="BG52" s="669"/>
      <c r="BH52" s="669"/>
      <c r="BI52" s="669"/>
      <c r="BJ52" s="669"/>
      <c r="BK52" s="669"/>
      <c r="BL52" s="669"/>
      <c r="BM52" s="669"/>
      <c r="BN52" s="669"/>
      <c r="BO52" s="669"/>
      <c r="BP52" s="669"/>
      <c r="BQ52" s="669"/>
    </row>
    <row r="53" spans="1:69">
      <c r="A53" s="700"/>
      <c r="C53" s="665"/>
      <c r="D53" s="665"/>
      <c r="E53" s="665"/>
      <c r="F53" s="665"/>
      <c r="G53" s="665"/>
      <c r="H53" s="686"/>
      <c r="I53" s="686"/>
      <c r="J53" s="670"/>
      <c r="K53" s="670"/>
      <c r="L53" s="670"/>
      <c r="Q53" s="670"/>
      <c r="R53" s="709"/>
      <c r="S53" s="677"/>
      <c r="T53" s="677"/>
      <c r="U53" s="677"/>
      <c r="V53" s="667"/>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69"/>
      <c r="AY53" s="669"/>
      <c r="AZ53" s="669"/>
      <c r="BA53" s="669"/>
      <c r="BB53" s="669"/>
      <c r="BC53" s="669"/>
      <c r="BD53" s="669"/>
      <c r="BE53" s="669"/>
      <c r="BF53" s="669"/>
      <c r="BG53" s="669"/>
      <c r="BH53" s="669"/>
      <c r="BI53" s="669"/>
      <c r="BJ53" s="669"/>
      <c r="BK53" s="669"/>
      <c r="BL53" s="669"/>
      <c r="BM53" s="669"/>
      <c r="BN53" s="669"/>
      <c r="BO53" s="669"/>
      <c r="BP53" s="669"/>
      <c r="BQ53" s="669"/>
    </row>
    <row r="54" spans="1:69" ht="15.75">
      <c r="A54" s="703" t="s">
        <v>542</v>
      </c>
      <c r="B54" s="704"/>
      <c r="C54" s="683" t="s">
        <v>1010</v>
      </c>
      <c r="D54" s="683"/>
      <c r="E54" s="683"/>
      <c r="F54" s="683"/>
      <c r="G54" s="683"/>
      <c r="H54" s="678" t="s">
        <v>1011</v>
      </c>
      <c r="I54" s="678"/>
      <c r="J54" s="712"/>
      <c r="K54" s="712"/>
      <c r="L54" s="705">
        <f>L48+L52</f>
        <v>0.10811309677907913</v>
      </c>
      <c r="Q54" s="670"/>
      <c r="R54" s="709"/>
      <c r="S54" s="677"/>
      <c r="T54" s="677"/>
      <c r="U54" s="677"/>
      <c r="V54" s="667"/>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69"/>
      <c r="BB54" s="669"/>
      <c r="BC54" s="669"/>
      <c r="BD54" s="669"/>
      <c r="BE54" s="669"/>
      <c r="BF54" s="669"/>
      <c r="BG54" s="669"/>
      <c r="BH54" s="669"/>
      <c r="BI54" s="669"/>
      <c r="BJ54" s="669"/>
      <c r="BK54" s="669"/>
      <c r="BL54" s="669"/>
      <c r="BM54" s="669"/>
      <c r="BN54" s="669"/>
      <c r="BO54" s="669"/>
      <c r="BP54" s="669"/>
      <c r="BQ54" s="669"/>
    </row>
    <row r="55" spans="1:69">
      <c r="Q55" s="713"/>
      <c r="R55" s="713"/>
      <c r="S55" s="677"/>
      <c r="T55" s="677"/>
      <c r="U55" s="677"/>
      <c r="V55" s="667"/>
      <c r="W55" s="669"/>
      <c r="X55" s="669"/>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69"/>
      <c r="AY55" s="669"/>
      <c r="AZ55" s="669"/>
      <c r="BA55" s="669"/>
      <c r="BB55" s="669"/>
      <c r="BC55" s="669"/>
      <c r="BD55" s="669"/>
      <c r="BE55" s="669"/>
      <c r="BF55" s="669"/>
      <c r="BG55" s="669"/>
      <c r="BH55" s="669"/>
      <c r="BI55" s="669"/>
      <c r="BJ55" s="669"/>
      <c r="BK55" s="669"/>
      <c r="BL55" s="669"/>
      <c r="BM55" s="669"/>
      <c r="BN55" s="669"/>
      <c r="BO55" s="669"/>
      <c r="BP55" s="669"/>
      <c r="BQ55" s="669"/>
    </row>
    <row r="56" spans="1:69">
      <c r="A56" s="672"/>
      <c r="C56" s="714"/>
      <c r="D56" s="714"/>
      <c r="E56" s="714"/>
      <c r="F56" s="714"/>
      <c r="G56" s="714"/>
      <c r="H56" s="714"/>
      <c r="I56" s="714"/>
      <c r="J56" s="670"/>
      <c r="K56" s="670"/>
      <c r="L56" s="714"/>
      <c r="M56" s="714"/>
      <c r="N56" s="714"/>
      <c r="O56" s="714"/>
      <c r="Q56" s="670"/>
      <c r="R56" s="670"/>
      <c r="S56" s="677"/>
      <c r="T56" s="677"/>
      <c r="U56" s="679"/>
      <c r="V56" s="677" t="s">
        <v>124</v>
      </c>
      <c r="W56" s="669"/>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69"/>
      <c r="AY56" s="669"/>
      <c r="AZ56" s="669"/>
      <c r="BA56" s="669"/>
      <c r="BB56" s="669"/>
      <c r="BC56" s="669"/>
      <c r="BD56" s="669"/>
      <c r="BE56" s="669"/>
      <c r="BF56" s="669"/>
      <c r="BG56" s="669"/>
      <c r="BH56" s="669"/>
      <c r="BI56" s="669"/>
      <c r="BJ56" s="669"/>
      <c r="BK56" s="669"/>
      <c r="BL56" s="669"/>
      <c r="BM56" s="669"/>
      <c r="BN56" s="669"/>
      <c r="BO56" s="669"/>
      <c r="BP56" s="669"/>
      <c r="BQ56" s="669"/>
    </row>
    <row r="57" spans="1:69">
      <c r="R57" s="662"/>
    </row>
    <row r="58" spans="1:69">
      <c r="R58" s="662"/>
    </row>
    <row r="60" spans="1:69">
      <c r="A60" s="672"/>
      <c r="C60" s="714"/>
      <c r="D60" s="714"/>
      <c r="E60" s="714"/>
      <c r="F60" s="714"/>
      <c r="G60" s="714"/>
      <c r="H60" s="714"/>
      <c r="I60" s="714"/>
      <c r="J60" s="670"/>
      <c r="K60" s="670"/>
      <c r="L60" s="714"/>
      <c r="M60" s="714"/>
      <c r="N60" s="714"/>
      <c r="O60" s="714"/>
      <c r="Q60" s="670"/>
      <c r="S60" s="677"/>
      <c r="T60" s="667"/>
      <c r="U60" s="677"/>
      <c r="V60" s="667"/>
      <c r="W60" s="669"/>
      <c r="X60" s="669"/>
      <c r="Y60" s="669"/>
      <c r="Z60" s="669"/>
      <c r="AA60" s="669"/>
      <c r="AB60" s="669"/>
      <c r="AC60" s="669"/>
      <c r="AD60" s="669"/>
      <c r="AE60" s="669"/>
      <c r="AF60" s="669"/>
      <c r="AG60" s="669"/>
      <c r="AH60" s="669"/>
      <c r="AI60" s="669"/>
      <c r="AJ60" s="669"/>
      <c r="AK60" s="669"/>
      <c r="AL60" s="669"/>
      <c r="AM60" s="669"/>
      <c r="AN60" s="669"/>
      <c r="AO60" s="669"/>
      <c r="AP60" s="669"/>
      <c r="AQ60" s="669"/>
      <c r="AR60" s="669"/>
      <c r="AS60" s="669"/>
      <c r="AT60" s="669"/>
      <c r="AU60" s="669"/>
      <c r="AV60" s="669"/>
      <c r="AW60" s="669"/>
      <c r="AX60" s="669"/>
      <c r="AY60" s="669"/>
      <c r="AZ60" s="669"/>
      <c r="BA60" s="669"/>
      <c r="BB60" s="669"/>
      <c r="BC60" s="669"/>
      <c r="BD60" s="669"/>
      <c r="BE60" s="669"/>
      <c r="BF60" s="669"/>
      <c r="BG60" s="669"/>
      <c r="BH60" s="669"/>
      <c r="BI60" s="669"/>
      <c r="BJ60" s="669"/>
      <c r="BK60" s="669"/>
      <c r="BL60" s="669"/>
      <c r="BM60" s="669"/>
      <c r="BN60" s="669"/>
      <c r="BO60" s="669"/>
      <c r="BP60" s="669"/>
      <c r="BQ60" s="669"/>
    </row>
    <row r="61" spans="1:69">
      <c r="A61" s="672"/>
      <c r="C61" s="665" t="str">
        <f>C5</f>
        <v>Formula Rate calculation</v>
      </c>
      <c r="D61" s="665"/>
      <c r="E61" s="665"/>
      <c r="F61" s="665"/>
      <c r="G61" s="665"/>
      <c r="H61" s="714"/>
      <c r="I61" s="714"/>
      <c r="J61" s="714" t="str">
        <f>J5</f>
        <v xml:space="preserve">     Rate Formula Template</v>
      </c>
      <c r="K61" s="714"/>
      <c r="L61" s="714"/>
      <c r="M61" s="714"/>
      <c r="N61" s="714"/>
      <c r="O61" s="714"/>
      <c r="Q61" s="670"/>
      <c r="R61" s="662" t="str">
        <f>R4</f>
        <v>Attachment MM - Generic Company</v>
      </c>
      <c r="S61" s="677"/>
      <c r="T61" s="667"/>
      <c r="U61" s="677"/>
      <c r="V61" s="667"/>
      <c r="W61" s="669"/>
      <c r="X61" s="669"/>
      <c r="Y61" s="669"/>
      <c r="Z61" s="669"/>
      <c r="AA61" s="669"/>
      <c r="AB61" s="669"/>
      <c r="AC61" s="669"/>
      <c r="AD61" s="669"/>
      <c r="AE61" s="669"/>
      <c r="AF61" s="669"/>
      <c r="AG61" s="669"/>
      <c r="AH61" s="669"/>
      <c r="AI61" s="669"/>
      <c r="AJ61" s="669"/>
      <c r="AK61" s="669"/>
      <c r="AL61" s="669"/>
      <c r="AM61" s="669"/>
      <c r="AN61" s="669"/>
      <c r="AO61" s="669"/>
      <c r="AP61" s="669"/>
      <c r="AQ61" s="669"/>
      <c r="AR61" s="669"/>
      <c r="AS61" s="669"/>
      <c r="AT61" s="669"/>
      <c r="AU61" s="669"/>
      <c r="AV61" s="669"/>
      <c r="AW61" s="669"/>
      <c r="AX61" s="669"/>
      <c r="AY61" s="669"/>
      <c r="AZ61" s="669"/>
      <c r="BA61" s="669"/>
      <c r="BB61" s="669"/>
      <c r="BC61" s="669"/>
      <c r="BD61" s="669"/>
      <c r="BE61" s="669"/>
      <c r="BF61" s="669"/>
      <c r="BG61" s="669"/>
      <c r="BH61" s="669"/>
      <c r="BI61" s="669"/>
      <c r="BJ61" s="669"/>
      <c r="BK61" s="669"/>
      <c r="BL61" s="669"/>
      <c r="BM61" s="669"/>
      <c r="BN61" s="669"/>
      <c r="BO61" s="669"/>
      <c r="BP61" s="669"/>
      <c r="BQ61" s="669"/>
    </row>
    <row r="62" spans="1:69">
      <c r="A62" s="672"/>
      <c r="C62" s="665"/>
      <c r="D62" s="665"/>
      <c r="E62" s="665"/>
      <c r="F62" s="665"/>
      <c r="G62" s="665"/>
      <c r="H62" s="714"/>
      <c r="I62" s="714"/>
      <c r="J62" s="714" t="str">
        <f>J6</f>
        <v xml:space="preserve"> Utilizing Attachment O Data</v>
      </c>
      <c r="K62" s="714"/>
      <c r="L62" s="714"/>
      <c r="M62" s="714"/>
      <c r="N62" s="714"/>
      <c r="O62" s="714"/>
      <c r="P62" s="670"/>
      <c r="Q62" s="670"/>
      <c r="R62" s="715" t="str">
        <f>R5</f>
        <v>For  the 12 months ended 12/31/2014</v>
      </c>
      <c r="S62" s="677"/>
      <c r="T62" s="667"/>
      <c r="U62" s="677"/>
      <c r="V62" s="667"/>
      <c r="W62" s="669"/>
      <c r="X62" s="669"/>
      <c r="Y62" s="669"/>
      <c r="Z62" s="669"/>
      <c r="AA62" s="669"/>
      <c r="AB62" s="669"/>
      <c r="AC62" s="669"/>
      <c r="AD62" s="669"/>
      <c r="AE62" s="669"/>
      <c r="AF62" s="669"/>
      <c r="AG62" s="669"/>
      <c r="AH62" s="669"/>
      <c r="AI62" s="669"/>
      <c r="AJ62" s="669"/>
      <c r="AK62" s="669"/>
      <c r="AL62" s="669"/>
      <c r="AM62" s="669"/>
      <c r="AN62" s="669"/>
      <c r="AO62" s="669"/>
      <c r="AP62" s="669"/>
      <c r="AQ62" s="669"/>
      <c r="AR62" s="669"/>
      <c r="AS62" s="669"/>
      <c r="AT62" s="669"/>
      <c r="AU62" s="669"/>
      <c r="AV62" s="669"/>
      <c r="AW62" s="669"/>
      <c r="AX62" s="669"/>
      <c r="AY62" s="669"/>
      <c r="AZ62" s="669"/>
      <c r="BA62" s="669"/>
      <c r="BB62" s="669"/>
      <c r="BC62" s="669"/>
      <c r="BD62" s="669"/>
      <c r="BE62" s="669"/>
      <c r="BF62" s="669"/>
      <c r="BG62" s="669"/>
      <c r="BH62" s="669"/>
      <c r="BI62" s="669"/>
      <c r="BJ62" s="669"/>
      <c r="BK62" s="669"/>
      <c r="BL62" s="669"/>
      <c r="BM62" s="669"/>
      <c r="BN62" s="669"/>
      <c r="BO62" s="669"/>
      <c r="BP62" s="669"/>
      <c r="BQ62" s="669"/>
    </row>
    <row r="63" spans="1:69" ht="14.25" customHeight="1">
      <c r="A63" s="672"/>
      <c r="C63" s="714"/>
      <c r="D63" s="714"/>
      <c r="E63" s="714"/>
      <c r="F63" s="714"/>
      <c r="G63" s="714"/>
      <c r="H63" s="714"/>
      <c r="I63" s="714"/>
      <c r="J63" s="714"/>
      <c r="K63" s="714"/>
      <c r="L63" s="714"/>
      <c r="M63" s="714"/>
      <c r="N63" s="714"/>
      <c r="O63" s="714"/>
      <c r="Q63" s="670"/>
      <c r="R63" s="714" t="s">
        <v>1012</v>
      </c>
      <c r="S63" s="677"/>
      <c r="T63" s="667"/>
      <c r="U63" s="677"/>
      <c r="V63" s="667"/>
      <c r="W63" s="669"/>
      <c r="X63" s="669"/>
      <c r="Y63" s="669"/>
      <c r="Z63" s="669"/>
      <c r="AA63" s="669"/>
      <c r="AB63" s="669"/>
      <c r="AC63" s="669"/>
      <c r="AD63" s="669"/>
      <c r="AE63" s="669"/>
      <c r="AF63" s="669"/>
      <c r="AG63" s="669"/>
      <c r="AH63" s="669"/>
      <c r="AI63" s="669"/>
      <c r="AJ63" s="669"/>
      <c r="AK63" s="669"/>
      <c r="AL63" s="669"/>
      <c r="AM63" s="669"/>
      <c r="AN63" s="669"/>
      <c r="AO63" s="669"/>
      <c r="AP63" s="669"/>
      <c r="AQ63" s="669"/>
      <c r="AR63" s="669"/>
      <c r="AS63" s="669"/>
      <c r="AT63" s="669"/>
      <c r="AU63" s="669"/>
      <c r="AV63" s="669"/>
      <c r="AW63" s="669"/>
      <c r="AX63" s="669"/>
      <c r="AY63" s="669"/>
      <c r="AZ63" s="669"/>
      <c r="BA63" s="669"/>
      <c r="BB63" s="669"/>
      <c r="BC63" s="669"/>
      <c r="BD63" s="669"/>
      <c r="BE63" s="669"/>
      <c r="BF63" s="669"/>
      <c r="BG63" s="669"/>
      <c r="BH63" s="669"/>
      <c r="BI63" s="669"/>
      <c r="BJ63" s="669"/>
      <c r="BK63" s="669"/>
      <c r="BL63" s="669"/>
      <c r="BM63" s="669"/>
      <c r="BN63" s="669"/>
      <c r="BO63" s="669"/>
      <c r="BP63" s="669"/>
      <c r="BQ63" s="669"/>
    </row>
    <row r="64" spans="1:69">
      <c r="A64" s="672"/>
      <c r="H64" s="714"/>
      <c r="I64" s="714"/>
      <c r="J64" s="714" t="str">
        <f>J8</f>
        <v>Northern States Power Companies</v>
      </c>
      <c r="K64" s="714"/>
      <c r="L64" s="714"/>
      <c r="M64" s="714"/>
      <c r="N64" s="714"/>
      <c r="O64" s="714"/>
      <c r="P64" s="714"/>
      <c r="Q64" s="670"/>
      <c r="R64" s="670"/>
      <c r="S64" s="677"/>
      <c r="T64" s="667"/>
      <c r="U64" s="677"/>
      <c r="V64" s="667"/>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69"/>
      <c r="AS64" s="669"/>
      <c r="AT64" s="669"/>
      <c r="AU64" s="669"/>
      <c r="AV64" s="669"/>
      <c r="AW64" s="669"/>
      <c r="AX64" s="669"/>
      <c r="AY64" s="669"/>
      <c r="AZ64" s="669"/>
      <c r="BA64" s="669"/>
      <c r="BB64" s="669"/>
      <c r="BC64" s="669"/>
      <c r="BD64" s="669"/>
      <c r="BE64" s="669"/>
      <c r="BF64" s="669"/>
      <c r="BG64" s="669"/>
      <c r="BH64" s="669"/>
      <c r="BI64" s="669"/>
      <c r="BJ64" s="669"/>
      <c r="BK64" s="669"/>
      <c r="BL64" s="669"/>
      <c r="BM64" s="669"/>
      <c r="BN64" s="669"/>
      <c r="BO64" s="669"/>
      <c r="BP64" s="669"/>
      <c r="BQ64" s="669"/>
    </row>
    <row r="65" spans="1:69">
      <c r="A65" s="672"/>
      <c r="H65" s="665"/>
      <c r="I65" s="665"/>
      <c r="J65" s="665"/>
      <c r="K65" s="665"/>
      <c r="L65" s="665"/>
      <c r="M65" s="665"/>
      <c r="N65" s="665"/>
      <c r="O65" s="665"/>
      <c r="P65" s="665"/>
      <c r="Q65" s="665"/>
      <c r="R65" s="665"/>
      <c r="S65" s="677"/>
      <c r="T65" s="667"/>
      <c r="U65" s="677"/>
      <c r="V65" s="667"/>
      <c r="W65" s="669"/>
      <c r="X65" s="669"/>
      <c r="Y65" s="669"/>
      <c r="Z65" s="669"/>
      <c r="AA65" s="669"/>
      <c r="AB65" s="669"/>
      <c r="AC65" s="669"/>
      <c r="AD65" s="669"/>
      <c r="AE65" s="669"/>
      <c r="AF65" s="669"/>
      <c r="AG65" s="669"/>
      <c r="AH65" s="669"/>
      <c r="AI65" s="669"/>
      <c r="AJ65" s="669"/>
      <c r="AK65" s="669"/>
      <c r="AL65" s="669"/>
      <c r="AM65" s="669"/>
      <c r="AN65" s="669"/>
      <c r="AO65" s="669"/>
      <c r="AP65" s="669"/>
      <c r="AQ65" s="669"/>
      <c r="AR65" s="669"/>
      <c r="AS65" s="669"/>
      <c r="AT65" s="669"/>
      <c r="AU65" s="669"/>
      <c r="AV65" s="669"/>
      <c r="AW65" s="669"/>
      <c r="AX65" s="669"/>
      <c r="AY65" s="669"/>
      <c r="AZ65" s="669"/>
      <c r="BA65" s="669"/>
      <c r="BB65" s="669"/>
      <c r="BC65" s="669"/>
      <c r="BD65" s="669"/>
      <c r="BE65" s="669"/>
      <c r="BF65" s="669"/>
      <c r="BG65" s="669"/>
      <c r="BH65" s="669"/>
      <c r="BI65" s="669"/>
      <c r="BJ65" s="669"/>
      <c r="BK65" s="669"/>
      <c r="BL65" s="669"/>
      <c r="BM65" s="669"/>
      <c r="BN65" s="669"/>
      <c r="BO65" s="669"/>
      <c r="BP65" s="669"/>
      <c r="BQ65" s="669"/>
    </row>
    <row r="66" spans="1:69" ht="15.75">
      <c r="A66" s="672"/>
      <c r="C66" s="714"/>
      <c r="D66" s="714"/>
      <c r="E66" s="714"/>
      <c r="F66" s="714"/>
      <c r="G66" s="714"/>
      <c r="H66" s="683" t="s">
        <v>1013</v>
      </c>
      <c r="I66" s="683"/>
      <c r="L66" s="665"/>
      <c r="M66" s="665"/>
      <c r="N66" s="665"/>
      <c r="O66" s="665"/>
      <c r="P66" s="665"/>
      <c r="Q66" s="670"/>
      <c r="R66" s="670"/>
      <c r="S66" s="677"/>
      <c r="T66" s="667"/>
      <c r="U66" s="677"/>
      <c r="V66" s="667"/>
      <c r="W66" s="669"/>
      <c r="X66" s="669"/>
      <c r="Y66" s="669"/>
      <c r="Z66" s="669"/>
      <c r="AA66" s="669"/>
      <c r="AB66" s="669"/>
      <c r="AC66" s="669"/>
      <c r="AD66" s="669"/>
      <c r="AE66" s="669"/>
      <c r="AF66" s="669"/>
      <c r="AG66" s="669"/>
      <c r="AH66" s="669"/>
      <c r="AI66" s="669"/>
      <c r="AJ66" s="669"/>
      <c r="AK66" s="669"/>
      <c r="AL66" s="669"/>
      <c r="AM66" s="669"/>
      <c r="AN66" s="669"/>
      <c r="AO66" s="669"/>
      <c r="AP66" s="669"/>
      <c r="AQ66" s="669"/>
      <c r="AR66" s="669"/>
      <c r="AS66" s="669"/>
      <c r="AT66" s="669"/>
      <c r="AU66" s="669"/>
      <c r="AV66" s="669"/>
      <c r="AW66" s="669"/>
      <c r="AX66" s="669"/>
      <c r="AY66" s="669"/>
      <c r="AZ66" s="669"/>
      <c r="BA66" s="669"/>
      <c r="BB66" s="669"/>
      <c r="BC66" s="669"/>
      <c r="BD66" s="669"/>
      <c r="BE66" s="669"/>
      <c r="BF66" s="669"/>
      <c r="BG66" s="669"/>
      <c r="BH66" s="669"/>
      <c r="BI66" s="669"/>
      <c r="BJ66" s="669"/>
      <c r="BK66" s="669"/>
      <c r="BL66" s="669"/>
      <c r="BM66" s="669"/>
      <c r="BN66" s="669"/>
      <c r="BO66" s="669"/>
      <c r="BP66" s="669"/>
      <c r="BQ66" s="669"/>
    </row>
    <row r="67" spans="1:69" ht="15.75">
      <c r="A67" s="672"/>
      <c r="C67" s="714"/>
      <c r="D67" s="714"/>
      <c r="E67" s="714"/>
      <c r="F67" s="714"/>
      <c r="G67" s="714"/>
      <c r="H67" s="683"/>
      <c r="I67" s="683"/>
      <c r="L67" s="665"/>
      <c r="M67" s="665"/>
      <c r="N67" s="665"/>
      <c r="O67" s="665"/>
      <c r="P67" s="665"/>
      <c r="Q67" s="670"/>
      <c r="R67" s="670"/>
      <c r="S67" s="677"/>
      <c r="T67" s="667"/>
      <c r="U67" s="677"/>
      <c r="V67" s="667"/>
      <c r="W67" s="669"/>
      <c r="X67" s="669"/>
      <c r="Y67" s="669"/>
      <c r="Z67" s="669"/>
      <c r="AA67" s="669"/>
      <c r="AB67" s="669"/>
      <c r="AC67" s="669"/>
      <c r="AD67" s="669"/>
      <c r="AE67" s="669"/>
      <c r="AF67" s="669"/>
      <c r="AG67" s="669"/>
      <c r="AH67" s="669"/>
      <c r="AI67" s="669"/>
      <c r="AJ67" s="669"/>
      <c r="AK67" s="669"/>
      <c r="AL67" s="669"/>
      <c r="AM67" s="669"/>
      <c r="AN67" s="669"/>
      <c r="AO67" s="669"/>
      <c r="AP67" s="669"/>
      <c r="AQ67" s="669"/>
      <c r="AR67" s="669"/>
      <c r="AS67" s="669"/>
      <c r="AT67" s="669"/>
      <c r="AU67" s="669"/>
      <c r="AV67" s="669"/>
      <c r="AW67" s="669"/>
      <c r="AX67" s="669"/>
      <c r="AY67" s="669"/>
      <c r="AZ67" s="669"/>
      <c r="BA67" s="669"/>
      <c r="BB67" s="669"/>
      <c r="BC67" s="669"/>
      <c r="BD67" s="669"/>
      <c r="BE67" s="669"/>
      <c r="BF67" s="669"/>
      <c r="BG67" s="669"/>
      <c r="BH67" s="669"/>
      <c r="BI67" s="669"/>
      <c r="BJ67" s="669"/>
      <c r="BK67" s="669"/>
      <c r="BL67" s="669"/>
      <c r="BM67" s="669"/>
      <c r="BN67" s="669"/>
      <c r="BO67" s="669"/>
      <c r="BP67" s="669"/>
      <c r="BQ67" s="669"/>
    </row>
    <row r="68" spans="1:69" ht="15.75">
      <c r="A68" s="716"/>
      <c r="C68" s="717" t="s">
        <v>459</v>
      </c>
      <c r="D68" s="717" t="s">
        <v>460</v>
      </c>
      <c r="E68" s="717" t="s">
        <v>461</v>
      </c>
      <c r="F68" s="717" t="s">
        <v>462</v>
      </c>
      <c r="G68" s="717" t="s">
        <v>463</v>
      </c>
      <c r="H68" s="717" t="s">
        <v>1014</v>
      </c>
      <c r="I68" s="717" t="s">
        <v>1015</v>
      </c>
      <c r="J68" s="717" t="s">
        <v>1016</v>
      </c>
      <c r="K68" s="717" t="s">
        <v>1017</v>
      </c>
      <c r="L68" s="717" t="s">
        <v>1018</v>
      </c>
      <c r="M68" s="717" t="s">
        <v>1019</v>
      </c>
      <c r="N68" s="717" t="s">
        <v>1020</v>
      </c>
      <c r="O68" s="717" t="s">
        <v>1021</v>
      </c>
      <c r="P68" s="717" t="s">
        <v>1022</v>
      </c>
      <c r="Q68" s="717" t="s">
        <v>1023</v>
      </c>
      <c r="R68" s="717" t="s">
        <v>1024</v>
      </c>
      <c r="S68" s="677"/>
      <c r="T68" s="667"/>
      <c r="U68" s="677"/>
      <c r="V68" s="667"/>
      <c r="W68" s="669"/>
      <c r="X68" s="669"/>
      <c r="Y68" s="669"/>
      <c r="Z68" s="669"/>
      <c r="AA68" s="669"/>
      <c r="AB68" s="669"/>
      <c r="AC68" s="669"/>
      <c r="AD68" s="669"/>
      <c r="AE68" s="669"/>
      <c r="AF68" s="669"/>
      <c r="AG68" s="669"/>
      <c r="AH68" s="669"/>
      <c r="AI68" s="669"/>
      <c r="AJ68" s="669"/>
      <c r="AK68" s="669"/>
      <c r="AL68" s="669"/>
      <c r="AM68" s="669"/>
      <c r="AN68" s="669"/>
      <c r="AO68" s="669"/>
      <c r="AP68" s="669"/>
      <c r="AQ68" s="669"/>
      <c r="AR68" s="669"/>
      <c r="AS68" s="669"/>
      <c r="AT68" s="669"/>
      <c r="AU68" s="669"/>
      <c r="AV68" s="669"/>
      <c r="AW68" s="669"/>
      <c r="AX68" s="669"/>
      <c r="AY68" s="669"/>
      <c r="AZ68" s="669"/>
      <c r="BA68" s="669"/>
      <c r="BB68" s="669"/>
      <c r="BC68" s="669"/>
      <c r="BD68" s="669"/>
      <c r="BE68" s="669"/>
      <c r="BF68" s="669"/>
      <c r="BG68" s="669"/>
      <c r="BH68" s="669"/>
      <c r="BI68" s="669"/>
      <c r="BJ68" s="669"/>
      <c r="BK68" s="669"/>
      <c r="BL68" s="669"/>
      <c r="BM68" s="669"/>
      <c r="BN68" s="669"/>
      <c r="BO68" s="669"/>
      <c r="BP68" s="669"/>
      <c r="BQ68" s="669"/>
    </row>
    <row r="69" spans="1:69" ht="85.5" customHeight="1">
      <c r="A69" s="718" t="s">
        <v>1025</v>
      </c>
      <c r="B69" s="719"/>
      <c r="C69" s="720" t="s">
        <v>1026</v>
      </c>
      <c r="D69" s="720" t="s">
        <v>1027</v>
      </c>
      <c r="E69" s="720" t="s">
        <v>1028</v>
      </c>
      <c r="F69" s="720" t="s">
        <v>1029</v>
      </c>
      <c r="G69" s="720" t="s">
        <v>1030</v>
      </c>
      <c r="H69" s="721" t="s">
        <v>1031</v>
      </c>
      <c r="I69" s="721" t="s">
        <v>1032</v>
      </c>
      <c r="J69" s="722" t="s">
        <v>1033</v>
      </c>
      <c r="K69" s="723" t="s">
        <v>1034</v>
      </c>
      <c r="L69" s="721" t="s">
        <v>1035</v>
      </c>
      <c r="M69" s="721" t="s">
        <v>1010</v>
      </c>
      <c r="N69" s="723" t="s">
        <v>1036</v>
      </c>
      <c r="O69" s="721" t="s">
        <v>942</v>
      </c>
      <c r="P69" s="724" t="s">
        <v>1037</v>
      </c>
      <c r="Q69" s="725" t="s">
        <v>1038</v>
      </c>
      <c r="R69" s="724" t="s">
        <v>1039</v>
      </c>
      <c r="S69" s="696"/>
      <c r="T69" s="667"/>
      <c r="U69" s="726"/>
      <c r="V69" s="667"/>
      <c r="W69" s="669"/>
      <c r="X69" s="669"/>
      <c r="Y69" s="669"/>
      <c r="Z69" s="669"/>
      <c r="AA69" s="669"/>
      <c r="AB69" s="669"/>
      <c r="AC69" s="669"/>
      <c r="AD69" s="669"/>
      <c r="AE69" s="669"/>
      <c r="AF69" s="669"/>
      <c r="AG69" s="669"/>
      <c r="AH69" s="669"/>
      <c r="AI69" s="669"/>
      <c r="AJ69" s="669"/>
      <c r="AK69" s="669"/>
      <c r="AL69" s="669"/>
      <c r="AM69" s="669"/>
      <c r="AN69" s="669"/>
      <c r="AO69" s="669"/>
      <c r="AP69" s="669"/>
      <c r="AQ69" s="669"/>
      <c r="AR69" s="669"/>
      <c r="AS69" s="669"/>
      <c r="AT69" s="669"/>
      <c r="AU69" s="669"/>
      <c r="AV69" s="669"/>
      <c r="AW69" s="669"/>
      <c r="AX69" s="669"/>
      <c r="AY69" s="669"/>
      <c r="AZ69" s="669"/>
      <c r="BA69" s="669"/>
      <c r="BB69" s="669"/>
      <c r="BC69" s="669"/>
      <c r="BD69" s="669"/>
      <c r="BE69" s="669"/>
      <c r="BF69" s="669"/>
      <c r="BG69" s="669"/>
      <c r="BH69" s="669"/>
      <c r="BI69" s="669"/>
      <c r="BJ69" s="669"/>
      <c r="BK69" s="669"/>
      <c r="BL69" s="669"/>
      <c r="BM69" s="669"/>
      <c r="BN69" s="669"/>
      <c r="BO69" s="669"/>
      <c r="BP69" s="669"/>
      <c r="BQ69" s="669"/>
    </row>
    <row r="70" spans="1:69" ht="46.5" customHeight="1">
      <c r="A70" s="727"/>
      <c r="B70" s="728"/>
      <c r="C70" s="728"/>
      <c r="D70" s="728"/>
      <c r="E70" s="729" t="s">
        <v>432</v>
      </c>
      <c r="F70" s="728"/>
      <c r="G70" s="728" t="s">
        <v>1040</v>
      </c>
      <c r="H70" s="729" t="s">
        <v>1041</v>
      </c>
      <c r="I70" s="730" t="s">
        <v>1042</v>
      </c>
      <c r="J70" s="729" t="s">
        <v>1043</v>
      </c>
      <c r="K70" s="731" t="s">
        <v>1044</v>
      </c>
      <c r="L70" s="729" t="s">
        <v>1045</v>
      </c>
      <c r="M70" s="730" t="s">
        <v>1046</v>
      </c>
      <c r="N70" s="732" t="s">
        <v>1047</v>
      </c>
      <c r="O70" s="730" t="s">
        <v>455</v>
      </c>
      <c r="P70" s="732" t="s">
        <v>1048</v>
      </c>
      <c r="Q70" s="733" t="s">
        <v>1049</v>
      </c>
      <c r="R70" s="734" t="s">
        <v>1050</v>
      </c>
      <c r="S70" s="677"/>
      <c r="T70" s="667"/>
      <c r="U70" s="726"/>
      <c r="V70" s="667"/>
      <c r="W70" s="669"/>
      <c r="X70" s="669"/>
      <c r="Y70" s="669"/>
      <c r="Z70" s="669"/>
      <c r="AA70" s="669"/>
      <c r="AB70" s="669"/>
      <c r="AC70" s="669"/>
      <c r="AD70" s="669"/>
      <c r="AE70" s="669"/>
      <c r="AF70" s="669"/>
      <c r="AG70" s="669"/>
      <c r="AH70" s="669"/>
      <c r="AI70" s="669"/>
      <c r="AJ70" s="669"/>
      <c r="AK70" s="669"/>
      <c r="AL70" s="669"/>
      <c r="AM70" s="669"/>
      <c r="AN70" s="669"/>
      <c r="AO70" s="669"/>
      <c r="AP70" s="669"/>
      <c r="AQ70" s="669"/>
      <c r="AR70" s="669"/>
      <c r="AS70" s="669"/>
      <c r="AT70" s="669"/>
      <c r="AU70" s="669"/>
      <c r="AV70" s="669"/>
      <c r="AW70" s="669"/>
      <c r="AX70" s="669"/>
      <c r="AY70" s="669"/>
      <c r="AZ70" s="669"/>
      <c r="BA70" s="669"/>
      <c r="BB70" s="669"/>
      <c r="BC70" s="669"/>
      <c r="BD70" s="669"/>
      <c r="BE70" s="669"/>
      <c r="BF70" s="669"/>
      <c r="BG70" s="669"/>
      <c r="BH70" s="669"/>
      <c r="BI70" s="669"/>
      <c r="BJ70" s="669"/>
      <c r="BK70" s="669"/>
      <c r="BL70" s="669"/>
      <c r="BM70" s="669"/>
      <c r="BN70" s="669"/>
      <c r="BO70" s="669"/>
      <c r="BP70" s="669"/>
      <c r="BQ70" s="669"/>
    </row>
    <row r="71" spans="1:69">
      <c r="A71" s="735" t="s">
        <v>1051</v>
      </c>
      <c r="B71" s="665"/>
      <c r="C71" s="665"/>
      <c r="D71" s="665"/>
      <c r="E71" s="665"/>
      <c r="F71" s="665"/>
      <c r="G71" s="665"/>
      <c r="H71" s="665"/>
      <c r="I71" s="665"/>
      <c r="J71" s="665"/>
      <c r="K71" s="736"/>
      <c r="L71" s="665"/>
      <c r="M71" s="665"/>
      <c r="N71" s="736"/>
      <c r="O71" s="665"/>
      <c r="P71" s="736"/>
      <c r="Q71" s="670"/>
      <c r="R71" s="737"/>
      <c r="S71" s="677"/>
      <c r="T71" s="667"/>
      <c r="U71" s="726"/>
      <c r="V71" s="667"/>
      <c r="W71" s="669"/>
      <c r="X71" s="669"/>
      <c r="Y71" s="669"/>
      <c r="Z71" s="669"/>
      <c r="AA71" s="669"/>
      <c r="AB71" s="669"/>
      <c r="AC71" s="669"/>
      <c r="AD71" s="669"/>
      <c r="AE71" s="669"/>
      <c r="AF71" s="669"/>
      <c r="AG71" s="669"/>
      <c r="AH71" s="669"/>
      <c r="AI71" s="669"/>
      <c r="AJ71" s="669"/>
      <c r="AK71" s="669"/>
      <c r="AL71" s="669"/>
      <c r="AM71" s="669"/>
      <c r="AN71" s="669"/>
      <c r="AO71" s="669"/>
      <c r="AP71" s="669"/>
      <c r="AQ71" s="669"/>
      <c r="AR71" s="669"/>
      <c r="AS71" s="669"/>
      <c r="AT71" s="669"/>
      <c r="AU71" s="669"/>
      <c r="AV71" s="669"/>
      <c r="AW71" s="669"/>
      <c r="AX71" s="669"/>
      <c r="AY71" s="669"/>
      <c r="AZ71" s="669"/>
      <c r="BA71" s="669"/>
      <c r="BB71" s="669"/>
      <c r="BC71" s="669"/>
      <c r="BD71" s="669"/>
      <c r="BE71" s="669"/>
      <c r="BF71" s="669"/>
      <c r="BG71" s="669"/>
      <c r="BH71" s="669"/>
      <c r="BI71" s="669"/>
      <c r="BJ71" s="669"/>
      <c r="BK71" s="669"/>
      <c r="BL71" s="669"/>
      <c r="BM71" s="669"/>
      <c r="BN71" s="669"/>
      <c r="BO71" s="669"/>
      <c r="BP71" s="669"/>
      <c r="BQ71" s="669"/>
    </row>
    <row r="72" spans="1:69">
      <c r="A72" s="738" t="s">
        <v>562</v>
      </c>
      <c r="C72" s="661" t="s">
        <v>1052</v>
      </c>
      <c r="D72" s="739">
        <v>1203</v>
      </c>
      <c r="E72" s="740">
        <f>'WP Att MM Support Rev 1'!C23</f>
        <v>385654486.91082692</v>
      </c>
      <c r="F72" s="740">
        <f>'WP Att MM Support Rev 1'!C39</f>
        <v>1599180.9323892477</v>
      </c>
      <c r="G72" s="695">
        <f>$L$29</f>
        <v>5.5527810590468477E-2</v>
      </c>
      <c r="H72" s="741">
        <f>F72*G72</f>
        <v>88799.015913598923</v>
      </c>
      <c r="I72" s="695">
        <f>$L$44</f>
        <v>1.5435547897884858E-2</v>
      </c>
      <c r="J72" s="872">
        <f>E72*I72</f>
        <v>5952788.3047462776</v>
      </c>
      <c r="K72" s="870">
        <f>H72+J72</f>
        <v>6041587.3206598768</v>
      </c>
      <c r="L72" s="741">
        <f>E72-F72</f>
        <v>384055305.97843766</v>
      </c>
      <c r="M72" s="695">
        <f>$L$54</f>
        <v>0.10811309677907913</v>
      </c>
      <c r="N72" s="743">
        <f>L72*M72</f>
        <v>41521408.463765681</v>
      </c>
      <c r="O72" s="740">
        <f>'WP Att MM Support Rev 1'!C59</f>
        <v>4020675.450339729</v>
      </c>
      <c r="P72" s="743">
        <f>K72+N72+O72</f>
        <v>51583671.234765284</v>
      </c>
      <c r="Q72" s="744">
        <v>704176</v>
      </c>
      <c r="R72" s="745">
        <f>P72+Q72</f>
        <v>52287847.234765284</v>
      </c>
      <c r="S72" s="746"/>
      <c r="T72" s="726"/>
      <c r="U72" s="726"/>
      <c r="V72" s="746"/>
      <c r="W72" s="746"/>
      <c r="X72" s="746"/>
      <c r="Y72" s="746"/>
    </row>
    <row r="73" spans="1:69">
      <c r="A73" s="738"/>
      <c r="D73" s="739"/>
      <c r="G73" s="695"/>
      <c r="H73" s="741"/>
      <c r="I73" s="695"/>
      <c r="K73" s="742"/>
      <c r="L73" s="741"/>
      <c r="M73" s="695"/>
      <c r="N73" s="743"/>
      <c r="P73" s="743"/>
      <c r="R73" s="745"/>
      <c r="S73" s="746"/>
      <c r="T73" s="746"/>
      <c r="U73" s="726"/>
      <c r="V73" s="746"/>
      <c r="W73" s="746"/>
      <c r="X73" s="746"/>
      <c r="Y73" s="746"/>
    </row>
    <row r="74" spans="1:69">
      <c r="A74" s="738"/>
      <c r="D74" s="739"/>
      <c r="G74" s="695"/>
      <c r="H74" s="741"/>
      <c r="I74" s="695"/>
      <c r="K74" s="742"/>
      <c r="L74" s="741"/>
      <c r="M74" s="695"/>
      <c r="N74" s="743"/>
      <c r="P74" s="743"/>
      <c r="R74" s="745"/>
      <c r="S74" s="746"/>
      <c r="T74" s="726"/>
      <c r="U74" s="726"/>
      <c r="V74" s="746"/>
      <c r="W74" s="746"/>
      <c r="X74" s="746"/>
      <c r="Y74" s="746"/>
    </row>
    <row r="75" spans="1:69">
      <c r="A75" s="738"/>
      <c r="D75" s="739"/>
      <c r="K75" s="742"/>
      <c r="N75" s="742"/>
      <c r="P75" s="742"/>
      <c r="R75" s="742"/>
      <c r="S75" s="746"/>
      <c r="T75" s="726"/>
      <c r="U75" s="726"/>
      <c r="V75" s="746"/>
      <c r="W75" s="746"/>
      <c r="X75" s="746"/>
      <c r="Y75" s="746"/>
    </row>
    <row r="76" spans="1:69">
      <c r="A76" s="738"/>
      <c r="D76" s="739"/>
      <c r="K76" s="742"/>
      <c r="N76" s="742"/>
      <c r="P76" s="742"/>
      <c r="R76" s="742"/>
      <c r="S76" s="746"/>
      <c r="T76" s="726"/>
      <c r="U76" s="726"/>
      <c r="V76" s="746"/>
      <c r="W76" s="746"/>
      <c r="X76" s="746"/>
      <c r="Y76" s="746"/>
    </row>
    <row r="77" spans="1:69">
      <c r="A77" s="738"/>
      <c r="D77" s="739"/>
      <c r="K77" s="742"/>
      <c r="N77" s="742"/>
      <c r="P77" s="742"/>
      <c r="R77" s="742"/>
      <c r="S77" s="746"/>
      <c r="T77" s="726"/>
      <c r="U77" s="726"/>
      <c r="V77" s="746"/>
      <c r="W77" s="746"/>
      <c r="X77" s="746"/>
      <c r="Y77" s="746"/>
    </row>
    <row r="78" spans="1:69">
      <c r="A78" s="738"/>
      <c r="D78" s="739"/>
      <c r="K78" s="742"/>
      <c r="N78" s="742"/>
      <c r="P78" s="742"/>
      <c r="R78" s="742"/>
      <c r="S78" s="746"/>
      <c r="T78" s="726"/>
      <c r="U78" s="726"/>
      <c r="V78" s="746"/>
      <c r="W78" s="746"/>
      <c r="X78" s="746"/>
      <c r="Y78" s="746"/>
    </row>
    <row r="79" spans="1:69">
      <c r="A79" s="738"/>
      <c r="D79" s="739"/>
      <c r="K79" s="742"/>
      <c r="N79" s="742"/>
      <c r="P79" s="742"/>
      <c r="R79" s="742"/>
      <c r="S79" s="746"/>
      <c r="T79" s="726"/>
      <c r="U79" s="726"/>
      <c r="V79" s="746"/>
      <c r="W79" s="746"/>
      <c r="X79" s="746"/>
      <c r="Y79" s="746"/>
    </row>
    <row r="80" spans="1:69">
      <c r="A80" s="738"/>
      <c r="C80" s="746"/>
      <c r="D80" s="747"/>
      <c r="E80" s="746"/>
      <c r="F80" s="746"/>
      <c r="G80" s="746"/>
      <c r="H80" s="746"/>
      <c r="I80" s="746"/>
      <c r="J80" s="746"/>
      <c r="K80" s="748"/>
      <c r="L80" s="746"/>
      <c r="M80" s="746"/>
      <c r="N80" s="748"/>
      <c r="O80" s="746"/>
      <c r="P80" s="748"/>
      <c r="Q80" s="746"/>
      <c r="R80" s="748"/>
      <c r="S80" s="746"/>
      <c r="T80" s="726"/>
      <c r="U80" s="726"/>
      <c r="V80" s="746"/>
      <c r="W80" s="746"/>
      <c r="X80" s="746"/>
      <c r="Y80" s="746"/>
    </row>
    <row r="81" spans="1:25">
      <c r="A81" s="738"/>
      <c r="C81" s="746"/>
      <c r="D81" s="747"/>
      <c r="E81" s="746"/>
      <c r="F81" s="746"/>
      <c r="G81" s="746"/>
      <c r="H81" s="746"/>
      <c r="I81" s="746"/>
      <c r="J81" s="746"/>
      <c r="K81" s="748"/>
      <c r="L81" s="746"/>
      <c r="M81" s="746"/>
      <c r="N81" s="748"/>
      <c r="O81" s="746"/>
      <c r="P81" s="748"/>
      <c r="Q81" s="746"/>
      <c r="R81" s="748"/>
      <c r="S81" s="746"/>
      <c r="T81" s="726"/>
      <c r="U81" s="726"/>
      <c r="V81" s="746"/>
      <c r="W81" s="746"/>
      <c r="X81" s="746"/>
      <c r="Y81" s="746"/>
    </row>
    <row r="82" spans="1:25">
      <c r="A82" s="738"/>
      <c r="C82" s="746"/>
      <c r="D82" s="747"/>
      <c r="E82" s="746"/>
      <c r="F82" s="746"/>
      <c r="G82" s="746"/>
      <c r="H82" s="746"/>
      <c r="I82" s="746"/>
      <c r="J82" s="746"/>
      <c r="K82" s="748"/>
      <c r="L82" s="746"/>
      <c r="M82" s="746"/>
      <c r="N82" s="748"/>
      <c r="O82" s="746"/>
      <c r="P82" s="748"/>
      <c r="Q82" s="746"/>
      <c r="R82" s="748"/>
      <c r="S82" s="746"/>
      <c r="T82" s="726"/>
      <c r="U82" s="726"/>
      <c r="V82" s="746"/>
      <c r="W82" s="746"/>
      <c r="X82" s="746"/>
      <c r="Y82" s="746"/>
    </row>
    <row r="83" spans="1:25">
      <c r="A83" s="738"/>
      <c r="C83" s="746"/>
      <c r="D83" s="747"/>
      <c r="E83" s="746"/>
      <c r="F83" s="746"/>
      <c r="G83" s="746"/>
      <c r="H83" s="746"/>
      <c r="I83" s="746"/>
      <c r="J83" s="746"/>
      <c r="K83" s="748"/>
      <c r="L83" s="746"/>
      <c r="M83" s="746"/>
      <c r="N83" s="748"/>
      <c r="O83" s="746"/>
      <c r="P83" s="748"/>
      <c r="Q83" s="746"/>
      <c r="R83" s="748"/>
      <c r="S83" s="746"/>
      <c r="T83" s="726"/>
      <c r="U83" s="726"/>
      <c r="V83" s="746"/>
      <c r="W83" s="746"/>
      <c r="X83" s="746"/>
      <c r="Y83" s="746"/>
    </row>
    <row r="84" spans="1:25">
      <c r="A84" s="738"/>
      <c r="C84" s="746"/>
      <c r="D84" s="747"/>
      <c r="E84" s="746"/>
      <c r="F84" s="746"/>
      <c r="G84" s="746"/>
      <c r="H84" s="746"/>
      <c r="I84" s="746"/>
      <c r="J84" s="746"/>
      <c r="K84" s="748"/>
      <c r="L84" s="746"/>
      <c r="M84" s="746"/>
      <c r="N84" s="748"/>
      <c r="O84" s="746"/>
      <c r="P84" s="748"/>
      <c r="Q84" s="746"/>
      <c r="R84" s="748"/>
      <c r="S84" s="746"/>
      <c r="T84" s="726"/>
      <c r="U84" s="726"/>
      <c r="V84" s="746"/>
      <c r="W84" s="746"/>
      <c r="X84" s="746"/>
      <c r="Y84" s="746"/>
    </row>
    <row r="85" spans="1:25">
      <c r="A85" s="738"/>
      <c r="C85" s="746"/>
      <c r="D85" s="747"/>
      <c r="E85" s="746"/>
      <c r="F85" s="746"/>
      <c r="G85" s="746"/>
      <c r="H85" s="746"/>
      <c r="I85" s="746"/>
      <c r="J85" s="746"/>
      <c r="K85" s="748"/>
      <c r="L85" s="746"/>
      <c r="M85" s="746"/>
      <c r="N85" s="748"/>
      <c r="O85" s="746"/>
      <c r="P85" s="748"/>
      <c r="Q85" s="746"/>
      <c r="R85" s="748"/>
      <c r="S85" s="746"/>
      <c r="T85" s="726"/>
      <c r="U85" s="726"/>
      <c r="V85" s="746"/>
      <c r="W85" s="746"/>
      <c r="X85" s="746"/>
      <c r="Y85" s="746"/>
    </row>
    <row r="86" spans="1:25">
      <c r="A86" s="738"/>
      <c r="C86" s="746"/>
      <c r="D86" s="747"/>
      <c r="E86" s="746"/>
      <c r="F86" s="746"/>
      <c r="G86" s="746"/>
      <c r="H86" s="746"/>
      <c r="I86" s="746"/>
      <c r="J86" s="746"/>
      <c r="K86" s="748"/>
      <c r="L86" s="746"/>
      <c r="M86" s="746"/>
      <c r="N86" s="748"/>
      <c r="O86" s="746"/>
      <c r="P86" s="748"/>
      <c r="Q86" s="746"/>
      <c r="R86" s="748"/>
      <c r="S86" s="746"/>
      <c r="T86" s="726"/>
      <c r="U86" s="726"/>
      <c r="V86" s="746"/>
      <c r="W86" s="746"/>
      <c r="X86" s="746"/>
      <c r="Y86" s="746"/>
    </row>
    <row r="87" spans="1:25">
      <c r="A87" s="738"/>
      <c r="C87" s="746"/>
      <c r="D87" s="747"/>
      <c r="E87" s="746"/>
      <c r="F87" s="746"/>
      <c r="G87" s="746"/>
      <c r="H87" s="746"/>
      <c r="I87" s="746"/>
      <c r="J87" s="746"/>
      <c r="K87" s="748"/>
      <c r="L87" s="746"/>
      <c r="M87" s="746"/>
      <c r="N87" s="748"/>
      <c r="O87" s="746"/>
      <c r="P87" s="748"/>
      <c r="Q87" s="746"/>
      <c r="R87" s="748"/>
      <c r="S87" s="746"/>
      <c r="T87" s="726"/>
      <c r="U87" s="726"/>
      <c r="V87" s="746"/>
      <c r="W87" s="746"/>
      <c r="X87" s="746"/>
      <c r="Y87" s="746"/>
    </row>
    <row r="88" spans="1:25">
      <c r="A88" s="738"/>
      <c r="C88" s="746"/>
      <c r="D88" s="747"/>
      <c r="E88" s="746"/>
      <c r="F88" s="746"/>
      <c r="G88" s="746"/>
      <c r="H88" s="746"/>
      <c r="I88" s="746"/>
      <c r="J88" s="746"/>
      <c r="K88" s="748"/>
      <c r="L88" s="746"/>
      <c r="M88" s="746"/>
      <c r="N88" s="748"/>
      <c r="O88" s="746"/>
      <c r="P88" s="748"/>
      <c r="Q88" s="746"/>
      <c r="R88" s="748"/>
      <c r="S88" s="746"/>
      <c r="T88" s="726"/>
      <c r="U88" s="726"/>
      <c r="V88" s="746"/>
      <c r="W88" s="746"/>
      <c r="X88" s="746"/>
      <c r="Y88" s="746"/>
    </row>
    <row r="89" spans="1:25">
      <c r="A89" s="738"/>
      <c r="C89" s="746"/>
      <c r="D89" s="747"/>
      <c r="E89" s="746"/>
      <c r="F89" s="746"/>
      <c r="G89" s="746"/>
      <c r="H89" s="746"/>
      <c r="I89" s="746"/>
      <c r="J89" s="746"/>
      <c r="K89" s="748"/>
      <c r="L89" s="746"/>
      <c r="M89" s="746"/>
      <c r="N89" s="748"/>
      <c r="O89" s="746"/>
      <c r="P89" s="748"/>
      <c r="Q89" s="746"/>
      <c r="R89" s="748"/>
      <c r="S89" s="746"/>
      <c r="T89" s="726"/>
      <c r="U89" s="726"/>
      <c r="V89" s="746"/>
      <c r="W89" s="746"/>
      <c r="X89" s="746"/>
      <c r="Y89" s="746"/>
    </row>
    <row r="90" spans="1:25">
      <c r="A90" s="738"/>
      <c r="C90" s="746"/>
      <c r="D90" s="747"/>
      <c r="E90" s="746"/>
      <c r="F90" s="746"/>
      <c r="G90" s="746"/>
      <c r="H90" s="746"/>
      <c r="I90" s="746"/>
      <c r="J90" s="746"/>
      <c r="K90" s="748"/>
      <c r="L90" s="746"/>
      <c r="M90" s="746"/>
      <c r="N90" s="748"/>
      <c r="O90" s="746"/>
      <c r="P90" s="748"/>
      <c r="Q90" s="746"/>
      <c r="R90" s="748"/>
      <c r="S90" s="746"/>
      <c r="T90" s="726"/>
      <c r="U90" s="726"/>
      <c r="V90" s="746"/>
      <c r="W90" s="746"/>
      <c r="X90" s="746"/>
      <c r="Y90" s="746"/>
    </row>
    <row r="91" spans="1:25">
      <c r="A91" s="749"/>
      <c r="B91" s="750"/>
      <c r="C91" s="751"/>
      <c r="D91" s="751"/>
      <c r="E91" s="751"/>
      <c r="F91" s="751"/>
      <c r="G91" s="751"/>
      <c r="H91" s="751"/>
      <c r="I91" s="751"/>
      <c r="J91" s="751"/>
      <c r="K91" s="752"/>
      <c r="L91" s="751"/>
      <c r="M91" s="751"/>
      <c r="N91" s="752"/>
      <c r="O91" s="751"/>
      <c r="P91" s="752"/>
      <c r="Q91" s="751"/>
      <c r="R91" s="752"/>
      <c r="S91" s="746"/>
      <c r="T91" s="726"/>
      <c r="U91" s="726"/>
      <c r="V91" s="746"/>
      <c r="W91" s="746"/>
      <c r="X91" s="746"/>
      <c r="Y91" s="746"/>
    </row>
    <row r="92" spans="1:25">
      <c r="A92" s="676" t="s">
        <v>1053</v>
      </c>
      <c r="B92" s="707"/>
      <c r="C92" s="665" t="s">
        <v>1054</v>
      </c>
      <c r="D92" s="665"/>
      <c r="E92" s="665"/>
      <c r="F92" s="665"/>
      <c r="G92" s="665"/>
      <c r="H92" s="699"/>
      <c r="I92" s="699"/>
      <c r="J92" s="670"/>
      <c r="K92" s="670"/>
      <c r="L92" s="670"/>
      <c r="M92" s="670"/>
      <c r="N92" s="670"/>
      <c r="O92" s="670"/>
      <c r="P92" s="753">
        <f>SUM(P72:P91)</f>
        <v>51583671.234765284</v>
      </c>
      <c r="Q92" s="753">
        <f>SUM(Q72:Q91)</f>
        <v>704176</v>
      </c>
      <c r="R92" s="753">
        <f>SUM(R72:R91)</f>
        <v>52287847.234765284</v>
      </c>
      <c r="S92" s="746"/>
      <c r="T92" s="726"/>
      <c r="U92" s="726"/>
      <c r="V92" s="746"/>
      <c r="W92" s="746"/>
      <c r="X92" s="746"/>
      <c r="Y92" s="746"/>
    </row>
    <row r="93" spans="1:25">
      <c r="A93" s="754"/>
      <c r="B93" s="746"/>
      <c r="C93" s="746"/>
      <c r="D93" s="746"/>
      <c r="E93" s="746"/>
      <c r="F93" s="746"/>
      <c r="G93" s="746"/>
      <c r="H93" s="746"/>
      <c r="I93" s="746"/>
      <c r="J93" s="746"/>
      <c r="K93" s="746"/>
      <c r="L93" s="746"/>
      <c r="M93" s="746"/>
      <c r="N93" s="746"/>
      <c r="O93" s="746"/>
      <c r="P93" s="746"/>
      <c r="Q93" s="746"/>
      <c r="R93" s="746"/>
      <c r="S93" s="746"/>
      <c r="T93" s="726"/>
      <c r="U93" s="726"/>
      <c r="V93" s="746"/>
      <c r="W93" s="746"/>
      <c r="X93" s="746"/>
      <c r="Y93" s="746"/>
    </row>
    <row r="94" spans="1:25">
      <c r="A94" s="755">
        <v>3</v>
      </c>
      <c r="B94" s="746"/>
      <c r="C94" s="714" t="s">
        <v>1055</v>
      </c>
      <c r="D94" s="714"/>
      <c r="E94" s="714"/>
      <c r="F94" s="714"/>
      <c r="G94" s="746"/>
      <c r="H94" s="746"/>
      <c r="I94" s="746"/>
      <c r="J94" s="746"/>
      <c r="K94" s="746"/>
      <c r="L94" s="746"/>
      <c r="M94" s="746"/>
      <c r="N94" s="746"/>
      <c r="O94" s="746"/>
      <c r="P94" s="753">
        <f>P92</f>
        <v>51583671.234765284</v>
      </c>
      <c r="Q94" s="746"/>
      <c r="R94" s="746"/>
      <c r="S94" s="746"/>
      <c r="T94" s="746"/>
      <c r="U94" s="726"/>
      <c r="V94" s="746"/>
      <c r="W94" s="746"/>
      <c r="X94" s="746"/>
      <c r="Y94" s="746"/>
    </row>
    <row r="95" spans="1:25">
      <c r="A95" s="746"/>
      <c r="B95" s="746"/>
      <c r="C95" s="746"/>
      <c r="D95" s="746"/>
      <c r="E95" s="746"/>
      <c r="F95" s="746"/>
      <c r="G95" s="746"/>
      <c r="H95" s="746"/>
      <c r="I95" s="746"/>
      <c r="J95" s="746"/>
      <c r="K95" s="746"/>
      <c r="L95" s="746"/>
      <c r="M95" s="746"/>
      <c r="N95" s="746"/>
      <c r="O95" s="746"/>
      <c r="P95" s="746"/>
      <c r="Q95" s="746"/>
      <c r="R95" s="746"/>
      <c r="S95" s="746"/>
      <c r="T95" s="746"/>
      <c r="U95" s="726"/>
      <c r="V95" s="746"/>
      <c r="W95" s="746"/>
      <c r="X95" s="746"/>
      <c r="Y95" s="746"/>
    </row>
    <row r="96" spans="1:25">
      <c r="A96" s="746"/>
      <c r="B96" s="746"/>
      <c r="C96" s="746"/>
      <c r="D96" s="746"/>
      <c r="E96" s="746"/>
      <c r="F96" s="746"/>
      <c r="G96" s="746"/>
      <c r="H96" s="746"/>
      <c r="I96" s="746"/>
      <c r="J96" s="746"/>
      <c r="K96" s="746"/>
      <c r="L96" s="746"/>
      <c r="M96" s="746"/>
      <c r="N96" s="746"/>
      <c r="O96" s="746"/>
      <c r="P96" s="746"/>
      <c r="Q96" s="746"/>
      <c r="R96" s="746"/>
      <c r="S96" s="746"/>
      <c r="T96" s="746"/>
      <c r="U96" s="726"/>
      <c r="V96" s="746"/>
      <c r="W96" s="746"/>
      <c r="X96" s="746"/>
      <c r="Y96" s="746"/>
    </row>
    <row r="97" spans="1:25">
      <c r="A97" s="714" t="s">
        <v>705</v>
      </c>
      <c r="B97" s="746"/>
      <c r="C97" s="746"/>
      <c r="D97" s="746"/>
      <c r="E97" s="746"/>
      <c r="F97" s="746"/>
      <c r="G97" s="746"/>
      <c r="H97" s="746"/>
      <c r="I97" s="746"/>
      <c r="J97" s="746"/>
      <c r="K97" s="746"/>
      <c r="L97" s="746"/>
      <c r="M97" s="746"/>
      <c r="N97" s="746"/>
      <c r="O97" s="746"/>
      <c r="P97" s="746"/>
      <c r="Q97" s="746"/>
      <c r="R97" s="746"/>
      <c r="S97" s="746"/>
      <c r="T97" s="746"/>
      <c r="U97" s="746"/>
      <c r="V97" s="746"/>
      <c r="W97" s="746"/>
      <c r="X97" s="746"/>
      <c r="Y97" s="746"/>
    </row>
    <row r="98" spans="1:25" ht="15.75" thickBot="1">
      <c r="A98" s="756" t="s">
        <v>706</v>
      </c>
      <c r="B98" s="746"/>
      <c r="C98" s="746"/>
      <c r="D98" s="746"/>
      <c r="E98" s="746"/>
      <c r="F98" s="746"/>
      <c r="G98" s="746"/>
      <c r="H98" s="746"/>
      <c r="I98" s="746"/>
      <c r="J98" s="746"/>
      <c r="K98" s="746"/>
      <c r="L98" s="746"/>
      <c r="M98" s="746"/>
      <c r="N98" s="746"/>
      <c r="O98" s="746"/>
      <c r="P98" s="746"/>
      <c r="Q98" s="746"/>
      <c r="R98" s="746"/>
      <c r="S98" s="746"/>
      <c r="T98" s="746"/>
      <c r="U98" s="746"/>
      <c r="V98" s="746"/>
      <c r="W98" s="746"/>
      <c r="X98" s="746"/>
      <c r="Y98" s="746"/>
    </row>
    <row r="99" spans="1:25" ht="17.100000000000001" customHeight="1">
      <c r="A99" s="757" t="s">
        <v>707</v>
      </c>
      <c r="B99" s="758"/>
      <c r="C99" s="887" t="s">
        <v>1056</v>
      </c>
      <c r="D99" s="887"/>
      <c r="E99" s="887"/>
      <c r="F99" s="887"/>
      <c r="G99" s="886"/>
      <c r="H99" s="886"/>
      <c r="I99" s="886"/>
      <c r="J99" s="886"/>
      <c r="K99" s="886"/>
      <c r="L99" s="886"/>
      <c r="M99" s="886"/>
      <c r="N99" s="886"/>
      <c r="O99" s="886"/>
      <c r="P99" s="886"/>
      <c r="Q99" s="886"/>
      <c r="R99" s="886"/>
      <c r="S99" s="746"/>
      <c r="T99" s="746"/>
      <c r="U99" s="746"/>
      <c r="V99" s="746"/>
      <c r="W99" s="746"/>
      <c r="X99" s="746"/>
      <c r="Y99" s="746"/>
    </row>
    <row r="100" spans="1:25">
      <c r="A100" s="757"/>
      <c r="B100" s="758"/>
      <c r="C100" s="887" t="s">
        <v>1057</v>
      </c>
      <c r="D100" s="887"/>
      <c r="E100" s="887"/>
      <c r="F100" s="887"/>
      <c r="G100" s="887"/>
      <c r="H100" s="887"/>
      <c r="I100" s="887"/>
      <c r="J100" s="887"/>
      <c r="K100" s="887"/>
      <c r="L100" s="887"/>
      <c r="M100" s="887"/>
      <c r="N100" s="887"/>
      <c r="O100" s="887"/>
      <c r="P100" s="887"/>
      <c r="Q100" s="887"/>
      <c r="R100" s="887"/>
      <c r="S100" s="746"/>
      <c r="T100" s="746"/>
      <c r="U100" s="746"/>
      <c r="V100" s="746"/>
      <c r="W100" s="746"/>
      <c r="X100" s="746"/>
      <c r="Y100" s="746"/>
    </row>
    <row r="101" spans="1:25" ht="17.100000000000001" customHeight="1">
      <c r="A101" s="757" t="s">
        <v>709</v>
      </c>
      <c r="B101" s="758"/>
      <c r="C101" s="887" t="s">
        <v>1058</v>
      </c>
      <c r="D101" s="887"/>
      <c r="E101" s="887"/>
      <c r="F101" s="887"/>
      <c r="G101" s="886"/>
      <c r="H101" s="886"/>
      <c r="I101" s="886"/>
      <c r="J101" s="886"/>
      <c r="K101" s="886"/>
      <c r="L101" s="886"/>
      <c r="M101" s="886"/>
      <c r="N101" s="886"/>
      <c r="O101" s="886"/>
      <c r="P101" s="886"/>
      <c r="Q101" s="886"/>
      <c r="R101" s="886"/>
      <c r="S101" s="746"/>
      <c r="T101" s="746"/>
      <c r="U101" s="746"/>
      <c r="V101" s="746"/>
      <c r="W101" s="746"/>
      <c r="X101" s="746"/>
      <c r="Y101" s="746"/>
    </row>
    <row r="102" spans="1:25" ht="15" customHeight="1">
      <c r="A102" s="757" t="s">
        <v>711</v>
      </c>
      <c r="B102" s="758"/>
      <c r="C102" s="887" t="s">
        <v>1059</v>
      </c>
      <c r="D102" s="887"/>
      <c r="E102" s="887"/>
      <c r="F102" s="887"/>
      <c r="G102" s="886"/>
      <c r="H102" s="886"/>
      <c r="I102" s="886"/>
      <c r="J102" s="886"/>
      <c r="K102" s="886"/>
      <c r="L102" s="886"/>
      <c r="M102" s="886"/>
      <c r="N102" s="886"/>
      <c r="O102" s="886"/>
      <c r="P102" s="886"/>
      <c r="Q102" s="886"/>
      <c r="R102" s="886"/>
      <c r="S102" s="746"/>
      <c r="T102" s="746"/>
      <c r="U102" s="746"/>
      <c r="V102" s="746"/>
      <c r="W102" s="746"/>
      <c r="X102" s="746"/>
      <c r="Y102" s="746"/>
    </row>
    <row r="103" spans="1:25" ht="17.100000000000001" customHeight="1">
      <c r="A103" s="757"/>
      <c r="B103" s="758"/>
      <c r="C103" s="887" t="s">
        <v>1060</v>
      </c>
      <c r="D103" s="887"/>
      <c r="E103" s="887"/>
      <c r="F103" s="887"/>
      <c r="G103" s="886"/>
      <c r="H103" s="886"/>
      <c r="I103" s="886"/>
      <c r="J103" s="886"/>
      <c r="K103" s="886"/>
      <c r="L103" s="886"/>
      <c r="M103" s="886"/>
      <c r="N103" s="886"/>
      <c r="O103" s="886"/>
      <c r="P103" s="886"/>
      <c r="Q103" s="886"/>
      <c r="R103" s="886"/>
      <c r="S103" s="746"/>
      <c r="T103" s="746"/>
      <c r="U103" s="746"/>
      <c r="V103" s="746"/>
      <c r="W103" s="746"/>
      <c r="X103" s="746"/>
      <c r="Y103" s="746"/>
    </row>
    <row r="104" spans="1:25" ht="17.100000000000001" customHeight="1">
      <c r="A104" s="757" t="s">
        <v>713</v>
      </c>
      <c r="B104" s="758"/>
      <c r="C104" s="887" t="s">
        <v>1061</v>
      </c>
      <c r="D104" s="887"/>
      <c r="E104" s="887"/>
      <c r="F104" s="887"/>
      <c r="G104" s="886"/>
      <c r="H104" s="886"/>
      <c r="I104" s="886"/>
      <c r="J104" s="886"/>
      <c r="K104" s="886"/>
      <c r="L104" s="886"/>
      <c r="M104" s="886"/>
      <c r="N104" s="886"/>
      <c r="O104" s="886"/>
      <c r="P104" s="886"/>
      <c r="Q104" s="886"/>
      <c r="R104" s="886"/>
      <c r="S104" s="746"/>
      <c r="T104" s="746"/>
      <c r="U104" s="746"/>
      <c r="V104" s="746"/>
      <c r="W104" s="746"/>
      <c r="X104" s="746"/>
      <c r="Y104" s="746"/>
    </row>
    <row r="105" spans="1:25" ht="17.100000000000001" customHeight="1">
      <c r="A105" s="759" t="s">
        <v>715</v>
      </c>
      <c r="B105" s="758"/>
      <c r="C105" s="887" t="s">
        <v>1062</v>
      </c>
      <c r="D105" s="887"/>
      <c r="E105" s="887"/>
      <c r="F105" s="887"/>
      <c r="G105" s="886"/>
      <c r="H105" s="886"/>
      <c r="I105" s="886"/>
      <c r="J105" s="886"/>
      <c r="K105" s="886"/>
      <c r="L105" s="886"/>
      <c r="M105" s="886"/>
      <c r="N105" s="886"/>
      <c r="O105" s="886"/>
      <c r="P105" s="886"/>
      <c r="Q105" s="886"/>
      <c r="R105" s="886"/>
      <c r="S105" s="746"/>
      <c r="T105" s="746"/>
      <c r="U105" s="746"/>
      <c r="V105" s="746"/>
      <c r="W105" s="746"/>
      <c r="X105" s="746"/>
      <c r="Y105" s="746"/>
    </row>
    <row r="106" spans="1:25" ht="17.100000000000001" customHeight="1">
      <c r="A106" s="759" t="s">
        <v>717</v>
      </c>
      <c r="B106" s="758"/>
      <c r="C106" s="887" t="s">
        <v>1063</v>
      </c>
      <c r="D106" s="887"/>
      <c r="E106" s="887"/>
      <c r="F106" s="887"/>
      <c r="G106" s="886"/>
      <c r="H106" s="886"/>
      <c r="I106" s="886"/>
      <c r="J106" s="886"/>
      <c r="K106" s="886"/>
      <c r="L106" s="886"/>
      <c r="M106" s="886"/>
      <c r="N106" s="886"/>
      <c r="O106" s="886"/>
      <c r="P106" s="886"/>
      <c r="Q106" s="886"/>
      <c r="R106" s="886"/>
      <c r="S106" s="746"/>
      <c r="T106" s="746"/>
      <c r="U106" s="746"/>
      <c r="V106" s="746"/>
      <c r="W106" s="746"/>
      <c r="X106" s="746"/>
      <c r="Y106" s="746"/>
    </row>
    <row r="107" spans="1:25" ht="17.100000000000001" customHeight="1">
      <c r="A107" s="759" t="s">
        <v>721</v>
      </c>
      <c r="B107" s="758"/>
      <c r="C107" s="887" t="s">
        <v>1064</v>
      </c>
      <c r="D107" s="887"/>
      <c r="E107" s="887"/>
      <c r="F107" s="887"/>
      <c r="G107" s="886"/>
      <c r="H107" s="886"/>
      <c r="I107" s="886"/>
      <c r="J107" s="886"/>
      <c r="K107" s="886"/>
      <c r="L107" s="886"/>
      <c r="M107" s="886"/>
      <c r="N107" s="886"/>
      <c r="O107" s="886"/>
      <c r="P107" s="886"/>
      <c r="Q107" s="886"/>
      <c r="R107" s="886"/>
      <c r="S107" s="746"/>
      <c r="T107" s="746"/>
      <c r="U107" s="746"/>
      <c r="V107" s="746"/>
      <c r="W107" s="746"/>
      <c r="X107" s="746"/>
      <c r="Y107" s="746"/>
    </row>
    <row r="108" spans="1:25" ht="17.100000000000001" customHeight="1">
      <c r="A108" s="760" t="s">
        <v>723</v>
      </c>
      <c r="B108" s="669"/>
      <c r="C108" s="887" t="s">
        <v>1065</v>
      </c>
      <c r="D108" s="887"/>
      <c r="E108" s="887"/>
      <c r="F108" s="887"/>
      <c r="G108" s="886"/>
      <c r="H108" s="886"/>
      <c r="I108" s="886"/>
      <c r="J108" s="886"/>
      <c r="K108" s="886"/>
      <c r="L108" s="886"/>
      <c r="M108" s="886"/>
      <c r="N108" s="886"/>
      <c r="O108" s="886"/>
      <c r="P108" s="886"/>
      <c r="Q108" s="886"/>
      <c r="R108" s="886"/>
      <c r="S108" s="746"/>
      <c r="T108" s="746"/>
      <c r="U108" s="746"/>
      <c r="V108" s="746"/>
      <c r="W108" s="746"/>
      <c r="X108" s="746"/>
      <c r="Y108" s="746"/>
    </row>
    <row r="109" spans="1:25" ht="17.100000000000001" customHeight="1">
      <c r="A109" s="761"/>
      <c r="B109" s="746"/>
      <c r="C109" s="746"/>
      <c r="D109" s="746"/>
      <c r="E109" s="746"/>
      <c r="F109" s="746"/>
      <c r="G109" s="746"/>
      <c r="H109" s="746"/>
      <c r="I109" s="746"/>
      <c r="J109" s="746"/>
      <c r="K109" s="746"/>
      <c r="L109" s="746"/>
      <c r="M109" s="746"/>
      <c r="N109" s="746"/>
      <c r="O109" s="746"/>
      <c r="P109" s="746"/>
      <c r="Q109" s="746"/>
      <c r="R109" s="746"/>
      <c r="S109" s="746"/>
      <c r="T109" s="746"/>
      <c r="U109" s="746"/>
      <c r="V109" s="746"/>
      <c r="W109" s="746"/>
      <c r="X109" s="746"/>
      <c r="Y109" s="746"/>
    </row>
    <row r="110" spans="1:25" ht="17.100000000000001" customHeight="1">
      <c r="A110" s="762"/>
      <c r="B110" s="368"/>
      <c r="C110" s="763"/>
      <c r="D110" s="763"/>
      <c r="E110" s="763"/>
      <c r="F110" s="763"/>
      <c r="G110" s="698"/>
      <c r="H110" s="699"/>
      <c r="I110" s="699"/>
      <c r="J110" s="670"/>
      <c r="K110" s="670"/>
      <c r="L110" s="714"/>
      <c r="M110" s="714"/>
      <c r="N110" s="694"/>
      <c r="O110" s="714"/>
      <c r="Q110" s="670"/>
      <c r="R110" s="764"/>
      <c r="S110" s="746"/>
      <c r="T110" s="746"/>
      <c r="U110" s="746"/>
      <c r="V110" s="746"/>
      <c r="W110" s="746"/>
      <c r="X110" s="746"/>
      <c r="Y110" s="746"/>
    </row>
    <row r="111" spans="1:25" ht="15.75">
      <c r="A111" s="762"/>
      <c r="B111" s="368"/>
      <c r="C111" s="763"/>
      <c r="D111" s="763"/>
      <c r="E111" s="763"/>
      <c r="F111" s="763"/>
      <c r="G111" s="698"/>
      <c r="H111" s="699"/>
      <c r="I111" s="699"/>
      <c r="J111" s="670"/>
      <c r="K111" s="670"/>
      <c r="L111" s="714"/>
      <c r="M111" s="714"/>
      <c r="N111" s="694"/>
      <c r="O111" s="714"/>
      <c r="Q111" s="670"/>
      <c r="R111" s="692"/>
      <c r="S111" s="746"/>
      <c r="T111" s="746"/>
      <c r="U111" s="746"/>
      <c r="V111" s="746"/>
      <c r="W111" s="746"/>
      <c r="X111" s="746"/>
      <c r="Y111" s="746"/>
    </row>
    <row r="112" spans="1:25">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row>
    <row r="113" spans="3:25">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row>
    <row r="114" spans="3:25">
      <c r="C114" s="746"/>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row>
    <row r="115" spans="3:25">
      <c r="C115" s="746"/>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row>
    <row r="116" spans="3:25">
      <c r="C116" s="746"/>
      <c r="D116" s="746"/>
      <c r="E116" s="746"/>
      <c r="F116" s="746"/>
      <c r="G116" s="746"/>
      <c r="H116" s="746"/>
      <c r="I116" s="746"/>
      <c r="J116" s="746"/>
      <c r="K116" s="746"/>
      <c r="L116" s="746"/>
      <c r="M116" s="746"/>
      <c r="N116" s="746"/>
      <c r="O116" s="746"/>
      <c r="P116" s="746"/>
      <c r="Q116" s="746"/>
      <c r="R116" s="746"/>
      <c r="S116" s="746"/>
      <c r="T116" s="746"/>
      <c r="U116" s="746"/>
      <c r="V116" s="746"/>
      <c r="W116" s="746"/>
      <c r="X116" s="746"/>
      <c r="Y116" s="746"/>
    </row>
    <row r="117" spans="3:25">
      <c r="C117" s="746"/>
      <c r="D117" s="746"/>
      <c r="E117" s="746"/>
      <c r="F117" s="746"/>
      <c r="G117" s="746"/>
      <c r="H117" s="746"/>
      <c r="I117" s="746"/>
      <c r="J117" s="746"/>
      <c r="K117" s="746"/>
      <c r="L117" s="746"/>
      <c r="M117" s="746"/>
      <c r="N117" s="746"/>
      <c r="O117" s="746"/>
      <c r="P117" s="746"/>
      <c r="Q117" s="746"/>
      <c r="R117" s="746"/>
      <c r="S117" s="746"/>
      <c r="T117" s="746"/>
      <c r="U117" s="746"/>
      <c r="V117" s="746"/>
      <c r="W117" s="746"/>
      <c r="X117" s="746"/>
      <c r="Y117" s="746"/>
    </row>
    <row r="118" spans="3:25">
      <c r="C118" s="746"/>
      <c r="D118" s="746"/>
      <c r="E118" s="746"/>
      <c r="F118" s="746"/>
      <c r="G118" s="746"/>
      <c r="H118" s="746"/>
      <c r="I118" s="746"/>
      <c r="J118" s="746"/>
      <c r="K118" s="746"/>
      <c r="L118" s="746"/>
      <c r="M118" s="746"/>
      <c r="N118" s="746"/>
      <c r="O118" s="746"/>
      <c r="P118" s="746"/>
      <c r="Q118" s="746"/>
      <c r="R118" s="746"/>
      <c r="S118" s="746"/>
      <c r="T118" s="746"/>
      <c r="U118" s="746"/>
      <c r="V118" s="746"/>
      <c r="W118" s="746"/>
      <c r="X118" s="746"/>
      <c r="Y118" s="746"/>
    </row>
    <row r="119" spans="3:25">
      <c r="C119" s="746"/>
      <c r="D119" s="746"/>
      <c r="E119" s="746"/>
      <c r="F119" s="746"/>
      <c r="G119" s="746"/>
      <c r="H119" s="746"/>
      <c r="I119" s="746"/>
      <c r="J119" s="746"/>
      <c r="K119" s="746"/>
      <c r="L119" s="746"/>
      <c r="M119" s="746"/>
      <c r="N119" s="746"/>
      <c r="O119" s="746"/>
      <c r="P119" s="746"/>
      <c r="Q119" s="746"/>
      <c r="R119" s="746"/>
      <c r="S119" s="746"/>
      <c r="T119" s="746"/>
      <c r="U119" s="746"/>
      <c r="V119" s="746"/>
      <c r="W119" s="746"/>
      <c r="X119" s="746"/>
      <c r="Y119" s="746"/>
    </row>
    <row r="120" spans="3:25">
      <c r="C120" s="746"/>
      <c r="D120" s="746"/>
      <c r="E120" s="746"/>
      <c r="F120" s="746"/>
      <c r="G120" s="746"/>
      <c r="H120" s="746"/>
      <c r="I120" s="746"/>
      <c r="J120" s="746"/>
      <c r="K120" s="746"/>
      <c r="L120" s="746"/>
      <c r="M120" s="746"/>
      <c r="N120" s="746"/>
      <c r="O120" s="746"/>
      <c r="P120" s="746"/>
      <c r="Q120" s="746"/>
      <c r="R120" s="746"/>
      <c r="S120" s="746"/>
      <c r="T120" s="746"/>
      <c r="U120" s="746"/>
      <c r="V120" s="746"/>
      <c r="W120" s="746"/>
      <c r="X120" s="746"/>
      <c r="Y120" s="746"/>
    </row>
    <row r="121" spans="3:25">
      <c r="C121" s="746"/>
      <c r="D121" s="746"/>
      <c r="E121" s="746"/>
      <c r="F121" s="746"/>
      <c r="G121" s="746"/>
      <c r="H121" s="746"/>
      <c r="I121" s="746"/>
      <c r="J121" s="746"/>
      <c r="K121" s="746"/>
      <c r="L121" s="746"/>
      <c r="M121" s="746"/>
      <c r="N121" s="746"/>
      <c r="O121" s="746"/>
      <c r="P121" s="746"/>
      <c r="Q121" s="746"/>
      <c r="R121" s="746"/>
      <c r="S121" s="746"/>
      <c r="T121" s="746"/>
      <c r="U121" s="746"/>
      <c r="V121" s="746"/>
      <c r="W121" s="746"/>
      <c r="X121" s="746"/>
      <c r="Y121" s="746"/>
    </row>
    <row r="122" spans="3:25">
      <c r="C122" s="746"/>
      <c r="D122" s="746"/>
      <c r="E122" s="746"/>
      <c r="F122" s="746"/>
      <c r="G122" s="746"/>
      <c r="H122" s="746"/>
      <c r="I122" s="746"/>
      <c r="J122" s="746"/>
      <c r="K122" s="746"/>
      <c r="L122" s="746"/>
      <c r="M122" s="746"/>
      <c r="N122" s="746"/>
      <c r="O122" s="746"/>
      <c r="P122" s="746"/>
      <c r="Q122" s="746"/>
      <c r="R122" s="746"/>
      <c r="S122" s="746"/>
      <c r="T122" s="746"/>
      <c r="U122" s="746"/>
      <c r="V122" s="746"/>
      <c r="W122" s="746"/>
      <c r="X122" s="746"/>
      <c r="Y122" s="746"/>
    </row>
    <row r="123" spans="3:25">
      <c r="C123" s="746"/>
      <c r="D123" s="746"/>
      <c r="E123" s="746"/>
      <c r="F123" s="746"/>
      <c r="G123" s="746"/>
      <c r="H123" s="746"/>
      <c r="I123" s="746"/>
      <c r="J123" s="746"/>
      <c r="K123" s="746"/>
      <c r="L123" s="746"/>
      <c r="M123" s="746"/>
      <c r="N123" s="746"/>
      <c r="O123" s="746"/>
      <c r="P123" s="746"/>
      <c r="Q123" s="746"/>
      <c r="R123" s="746"/>
      <c r="S123" s="746"/>
      <c r="T123" s="746"/>
      <c r="U123" s="746"/>
      <c r="V123" s="746"/>
      <c r="W123" s="746"/>
      <c r="X123" s="746"/>
      <c r="Y123" s="746"/>
    </row>
    <row r="124" spans="3:25">
      <c r="C124" s="746"/>
      <c r="D124" s="746"/>
      <c r="E124" s="746"/>
      <c r="F124" s="746"/>
      <c r="G124" s="746"/>
      <c r="H124" s="746"/>
      <c r="I124" s="746"/>
      <c r="J124" s="746"/>
      <c r="K124" s="746"/>
      <c r="L124" s="746"/>
      <c r="M124" s="746"/>
      <c r="N124" s="746"/>
      <c r="O124" s="746"/>
      <c r="P124" s="746"/>
      <c r="Q124" s="746"/>
      <c r="R124" s="746"/>
      <c r="S124" s="746"/>
      <c r="T124" s="746"/>
      <c r="U124" s="746"/>
      <c r="V124" s="746"/>
      <c r="W124" s="746"/>
      <c r="X124" s="746"/>
      <c r="Y124" s="746"/>
    </row>
    <row r="125" spans="3:25">
      <c r="C125" s="746"/>
      <c r="D125" s="746"/>
      <c r="E125" s="746"/>
      <c r="F125" s="746"/>
      <c r="G125" s="746"/>
      <c r="H125" s="746"/>
      <c r="I125" s="746"/>
      <c r="J125" s="746"/>
      <c r="K125" s="746"/>
      <c r="L125" s="746"/>
      <c r="M125" s="746"/>
      <c r="N125" s="746"/>
      <c r="O125" s="746"/>
      <c r="P125" s="746"/>
      <c r="Q125" s="746"/>
      <c r="R125" s="746"/>
      <c r="S125" s="746"/>
      <c r="T125" s="746"/>
      <c r="U125" s="746"/>
      <c r="V125" s="746"/>
      <c r="W125" s="746"/>
      <c r="X125" s="746"/>
      <c r="Y125" s="746"/>
    </row>
    <row r="126" spans="3:25">
      <c r="C126" s="746"/>
      <c r="D126" s="746"/>
      <c r="E126" s="746"/>
      <c r="F126" s="746"/>
      <c r="G126" s="746"/>
      <c r="H126" s="746"/>
      <c r="I126" s="746"/>
      <c r="J126" s="746"/>
      <c r="K126" s="746"/>
      <c r="L126" s="746"/>
      <c r="M126" s="746"/>
      <c r="N126" s="746"/>
      <c r="O126" s="746"/>
      <c r="P126" s="746"/>
      <c r="Q126" s="746"/>
      <c r="R126" s="746"/>
      <c r="S126" s="746"/>
      <c r="T126" s="746"/>
      <c r="U126" s="746"/>
      <c r="V126" s="746"/>
      <c r="W126" s="746"/>
      <c r="X126" s="746"/>
      <c r="Y126" s="746"/>
    </row>
    <row r="127" spans="3:25">
      <c r="C127" s="746"/>
      <c r="D127" s="746"/>
      <c r="E127" s="746"/>
      <c r="F127" s="746"/>
      <c r="G127" s="746"/>
      <c r="H127" s="746"/>
      <c r="I127" s="746"/>
      <c r="J127" s="746"/>
      <c r="K127" s="746"/>
      <c r="L127" s="746"/>
      <c r="M127" s="746"/>
      <c r="N127" s="746"/>
      <c r="O127" s="746"/>
      <c r="P127" s="746"/>
      <c r="Q127" s="746"/>
      <c r="R127" s="746"/>
      <c r="S127" s="746"/>
      <c r="T127" s="746"/>
      <c r="U127" s="746"/>
      <c r="V127" s="746"/>
      <c r="W127" s="746"/>
      <c r="X127" s="746"/>
      <c r="Y127" s="746"/>
    </row>
    <row r="128" spans="3:25">
      <c r="C128" s="746"/>
      <c r="D128" s="746"/>
      <c r="E128" s="746"/>
      <c r="F128" s="746"/>
      <c r="G128" s="746"/>
      <c r="H128" s="746"/>
      <c r="I128" s="746"/>
      <c r="J128" s="746"/>
      <c r="K128" s="746"/>
      <c r="L128" s="746"/>
      <c r="M128" s="746"/>
      <c r="N128" s="746"/>
      <c r="O128" s="746"/>
      <c r="P128" s="746"/>
      <c r="Q128" s="746"/>
      <c r="R128" s="746"/>
      <c r="S128" s="746"/>
      <c r="T128" s="746"/>
      <c r="U128" s="746"/>
      <c r="V128" s="746"/>
      <c r="W128" s="746"/>
      <c r="X128" s="746"/>
      <c r="Y128" s="746"/>
    </row>
    <row r="129" spans="3:25">
      <c r="C129" s="746"/>
      <c r="D129" s="746"/>
      <c r="E129" s="746"/>
      <c r="F129" s="746"/>
      <c r="G129" s="746"/>
      <c r="H129" s="746"/>
      <c r="I129" s="746"/>
      <c r="J129" s="746"/>
      <c r="K129" s="746"/>
      <c r="L129" s="746"/>
      <c r="M129" s="746"/>
      <c r="N129" s="746"/>
      <c r="O129" s="746"/>
      <c r="P129" s="746"/>
      <c r="Q129" s="746"/>
      <c r="R129" s="746"/>
      <c r="S129" s="746"/>
      <c r="T129" s="746"/>
      <c r="U129" s="746"/>
      <c r="V129" s="746"/>
      <c r="W129" s="746"/>
      <c r="X129" s="746"/>
      <c r="Y129" s="746"/>
    </row>
    <row r="130" spans="3:25">
      <c r="C130" s="746"/>
      <c r="D130" s="746"/>
      <c r="E130" s="746"/>
      <c r="F130" s="746"/>
      <c r="G130" s="746"/>
      <c r="H130" s="746"/>
      <c r="I130" s="746"/>
      <c r="J130" s="746"/>
      <c r="K130" s="746"/>
      <c r="L130" s="746"/>
      <c r="M130" s="746"/>
      <c r="N130" s="746"/>
      <c r="O130" s="746"/>
      <c r="P130" s="746"/>
      <c r="Q130" s="746"/>
      <c r="R130" s="746"/>
      <c r="S130" s="746"/>
      <c r="T130" s="746"/>
      <c r="U130" s="746"/>
      <c r="V130" s="746"/>
      <c r="W130" s="746"/>
      <c r="X130" s="746"/>
      <c r="Y130" s="746"/>
    </row>
    <row r="131" spans="3:25">
      <c r="C131" s="746"/>
      <c r="D131" s="746"/>
      <c r="E131" s="746"/>
      <c r="F131" s="746"/>
      <c r="G131" s="746"/>
      <c r="H131" s="746"/>
      <c r="I131" s="746"/>
      <c r="J131" s="746"/>
      <c r="K131" s="746"/>
      <c r="L131" s="746"/>
      <c r="M131" s="746"/>
      <c r="N131" s="746"/>
      <c r="O131" s="746"/>
      <c r="P131" s="746"/>
      <c r="Q131" s="746"/>
      <c r="R131" s="746"/>
      <c r="S131" s="746"/>
      <c r="T131" s="746"/>
      <c r="U131" s="746"/>
      <c r="V131" s="746"/>
      <c r="W131" s="746"/>
      <c r="X131" s="746"/>
      <c r="Y131" s="746"/>
    </row>
    <row r="132" spans="3:25">
      <c r="C132" s="746"/>
      <c r="D132" s="746"/>
      <c r="E132" s="746"/>
      <c r="F132" s="746"/>
      <c r="G132" s="746"/>
      <c r="H132" s="746"/>
      <c r="I132" s="746"/>
      <c r="J132" s="746"/>
      <c r="K132" s="746"/>
      <c r="L132" s="746"/>
      <c r="M132" s="746"/>
      <c r="N132" s="746"/>
      <c r="O132" s="746"/>
      <c r="P132" s="746"/>
      <c r="Q132" s="746"/>
      <c r="R132" s="746"/>
      <c r="S132" s="746"/>
      <c r="T132" s="746"/>
      <c r="U132" s="746"/>
      <c r="V132" s="746"/>
      <c r="W132" s="746"/>
      <c r="X132" s="746"/>
      <c r="Y132" s="746"/>
    </row>
    <row r="133" spans="3:25">
      <c r="C133" s="746"/>
      <c r="D133" s="746"/>
      <c r="E133" s="746"/>
      <c r="F133" s="746"/>
      <c r="G133" s="746"/>
      <c r="H133" s="746"/>
      <c r="I133" s="746"/>
      <c r="J133" s="746"/>
      <c r="K133" s="746"/>
      <c r="L133" s="746"/>
      <c r="M133" s="746"/>
      <c r="N133" s="746"/>
      <c r="O133" s="746"/>
      <c r="P133" s="746"/>
      <c r="Q133" s="746"/>
      <c r="R133" s="746"/>
      <c r="S133" s="746"/>
      <c r="T133" s="746"/>
      <c r="U133" s="746"/>
      <c r="V133" s="746"/>
      <c r="W133" s="746"/>
      <c r="X133" s="746"/>
      <c r="Y133" s="746"/>
    </row>
    <row r="134" spans="3:25">
      <c r="C134" s="746"/>
      <c r="D134" s="746"/>
      <c r="E134" s="746"/>
      <c r="F134" s="746"/>
      <c r="G134" s="746"/>
      <c r="H134" s="746"/>
      <c r="I134" s="746"/>
      <c r="J134" s="746"/>
      <c r="K134" s="746"/>
      <c r="L134" s="746"/>
      <c r="M134" s="746"/>
      <c r="N134" s="746"/>
      <c r="O134" s="746"/>
      <c r="P134" s="746"/>
      <c r="Q134" s="746"/>
      <c r="R134" s="746"/>
      <c r="S134" s="746"/>
      <c r="T134" s="746"/>
      <c r="U134" s="746"/>
      <c r="V134" s="746"/>
      <c r="W134" s="746"/>
      <c r="X134" s="746"/>
      <c r="Y134" s="746"/>
    </row>
    <row r="135" spans="3:25">
      <c r="C135" s="746"/>
      <c r="D135" s="746"/>
      <c r="E135" s="746"/>
      <c r="F135" s="746"/>
      <c r="G135" s="746"/>
      <c r="H135" s="746"/>
      <c r="I135" s="746"/>
      <c r="J135" s="746"/>
      <c r="K135" s="746"/>
      <c r="L135" s="746"/>
      <c r="M135" s="746"/>
      <c r="N135" s="746"/>
      <c r="O135" s="746"/>
      <c r="P135" s="746"/>
      <c r="Q135" s="746"/>
      <c r="R135" s="746"/>
      <c r="S135" s="746"/>
      <c r="T135" s="746"/>
      <c r="U135" s="746"/>
      <c r="V135" s="746"/>
      <c r="W135" s="746"/>
      <c r="X135" s="746"/>
      <c r="Y135" s="746"/>
    </row>
    <row r="136" spans="3:25">
      <c r="C136" s="746"/>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746"/>
    </row>
    <row r="137" spans="3:25">
      <c r="C137" s="746"/>
      <c r="D137" s="746"/>
      <c r="E137" s="746"/>
      <c r="F137" s="746"/>
      <c r="G137" s="746"/>
      <c r="H137" s="746"/>
      <c r="I137" s="746"/>
      <c r="J137" s="746"/>
      <c r="K137" s="746"/>
      <c r="L137" s="746"/>
      <c r="M137" s="746"/>
      <c r="N137" s="746"/>
      <c r="O137" s="746"/>
      <c r="P137" s="746"/>
      <c r="Q137" s="746"/>
      <c r="R137" s="746"/>
      <c r="S137" s="746"/>
      <c r="T137" s="746"/>
      <c r="U137" s="746"/>
      <c r="V137" s="746"/>
      <c r="W137" s="746"/>
      <c r="X137" s="746"/>
      <c r="Y137" s="746"/>
    </row>
    <row r="138" spans="3:25">
      <c r="C138" s="746"/>
      <c r="D138" s="746"/>
      <c r="E138" s="746"/>
      <c r="F138" s="746"/>
      <c r="G138" s="746"/>
      <c r="H138" s="746"/>
      <c r="I138" s="746"/>
      <c r="J138" s="746"/>
      <c r="K138" s="746"/>
      <c r="L138" s="746"/>
      <c r="M138" s="746"/>
      <c r="N138" s="746"/>
      <c r="O138" s="746"/>
      <c r="P138" s="746"/>
      <c r="Q138" s="746"/>
      <c r="R138" s="746"/>
      <c r="S138" s="746"/>
      <c r="T138" s="746"/>
      <c r="U138" s="746"/>
      <c r="V138" s="746"/>
      <c r="W138" s="746"/>
      <c r="X138" s="746"/>
      <c r="Y138" s="746"/>
    </row>
    <row r="139" spans="3:25">
      <c r="C139" s="746"/>
      <c r="D139" s="746"/>
      <c r="E139" s="746"/>
      <c r="F139" s="746"/>
      <c r="G139" s="746"/>
      <c r="H139" s="746"/>
      <c r="I139" s="746"/>
      <c r="J139" s="746"/>
      <c r="K139" s="746"/>
      <c r="L139" s="746"/>
      <c r="M139" s="746"/>
      <c r="N139" s="746"/>
      <c r="O139" s="746"/>
      <c r="P139" s="746"/>
      <c r="Q139" s="746"/>
      <c r="R139" s="746"/>
      <c r="S139" s="746"/>
      <c r="T139" s="746"/>
      <c r="U139" s="746"/>
      <c r="V139" s="746"/>
      <c r="W139" s="746"/>
      <c r="X139" s="746"/>
      <c r="Y139" s="746"/>
    </row>
    <row r="140" spans="3:25">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row>
    <row r="141" spans="3:25">
      <c r="C141" s="746"/>
      <c r="D141" s="746"/>
      <c r="E141" s="746"/>
      <c r="F141" s="746"/>
      <c r="G141" s="746"/>
      <c r="H141" s="746"/>
      <c r="I141" s="746"/>
      <c r="J141" s="746"/>
      <c r="K141" s="746"/>
      <c r="L141" s="746"/>
      <c r="M141" s="746"/>
      <c r="N141" s="746"/>
      <c r="O141" s="746"/>
      <c r="P141" s="746"/>
      <c r="Q141" s="746"/>
      <c r="R141" s="746"/>
      <c r="S141" s="746"/>
      <c r="T141" s="746"/>
      <c r="U141" s="746"/>
      <c r="V141" s="746"/>
      <c r="W141" s="746"/>
      <c r="X141" s="746"/>
      <c r="Y141" s="746"/>
    </row>
    <row r="142" spans="3:25">
      <c r="C142" s="746"/>
      <c r="D142" s="746"/>
      <c r="E142" s="746"/>
      <c r="F142" s="746"/>
      <c r="G142" s="746"/>
      <c r="H142" s="746"/>
      <c r="I142" s="746"/>
      <c r="J142" s="746"/>
      <c r="K142" s="746"/>
      <c r="L142" s="746"/>
      <c r="M142" s="746"/>
      <c r="N142" s="746"/>
      <c r="O142" s="746"/>
      <c r="P142" s="746"/>
      <c r="Q142" s="746"/>
      <c r="R142" s="746"/>
      <c r="S142" s="746"/>
      <c r="T142" s="746"/>
      <c r="U142" s="746"/>
      <c r="V142" s="746"/>
      <c r="W142" s="746"/>
      <c r="X142" s="746"/>
      <c r="Y142" s="746"/>
    </row>
    <row r="143" spans="3:25">
      <c r="C143" s="746"/>
      <c r="D143" s="746"/>
      <c r="E143" s="746"/>
      <c r="F143" s="746"/>
      <c r="G143" s="746"/>
      <c r="H143" s="746"/>
      <c r="I143" s="746"/>
      <c r="J143" s="746"/>
      <c r="K143" s="746"/>
      <c r="L143" s="746"/>
      <c r="M143" s="746"/>
      <c r="N143" s="746"/>
      <c r="O143" s="746"/>
      <c r="P143" s="746"/>
      <c r="Q143" s="746"/>
      <c r="R143" s="746"/>
      <c r="S143" s="746"/>
      <c r="T143" s="746"/>
      <c r="U143" s="746"/>
      <c r="V143" s="746"/>
      <c r="W143" s="746"/>
      <c r="X143" s="746"/>
      <c r="Y143" s="746"/>
    </row>
    <row r="144" spans="3:25">
      <c r="C144" s="746"/>
      <c r="D144" s="746"/>
      <c r="E144" s="746"/>
      <c r="F144" s="746"/>
      <c r="G144" s="746"/>
      <c r="H144" s="746"/>
      <c r="I144" s="746"/>
      <c r="J144" s="746"/>
      <c r="K144" s="746"/>
      <c r="L144" s="746"/>
      <c r="M144" s="746"/>
      <c r="N144" s="746"/>
      <c r="O144" s="746"/>
      <c r="P144" s="746"/>
      <c r="Q144" s="746"/>
      <c r="R144" s="746"/>
      <c r="S144" s="746"/>
      <c r="T144" s="746"/>
      <c r="U144" s="746"/>
      <c r="V144" s="746"/>
      <c r="W144" s="746"/>
      <c r="X144" s="746"/>
      <c r="Y144" s="746"/>
    </row>
    <row r="145" spans="3:25">
      <c r="C145" s="746"/>
      <c r="D145" s="746"/>
      <c r="E145" s="746"/>
      <c r="F145" s="746"/>
      <c r="G145" s="746"/>
      <c r="H145" s="746"/>
      <c r="I145" s="746"/>
      <c r="J145" s="746"/>
      <c r="K145" s="746"/>
      <c r="L145" s="746"/>
      <c r="M145" s="746"/>
      <c r="N145" s="746"/>
      <c r="O145" s="746"/>
      <c r="P145" s="746"/>
      <c r="Q145" s="746"/>
      <c r="R145" s="746"/>
      <c r="S145" s="746"/>
      <c r="T145" s="746"/>
      <c r="U145" s="746"/>
      <c r="V145" s="746"/>
      <c r="W145" s="746"/>
      <c r="X145" s="746"/>
      <c r="Y145" s="746"/>
    </row>
    <row r="146" spans="3:25">
      <c r="C146" s="746"/>
      <c r="D146" s="746"/>
      <c r="E146" s="746"/>
      <c r="F146" s="746"/>
      <c r="G146" s="746"/>
      <c r="H146" s="746"/>
      <c r="I146" s="746"/>
      <c r="J146" s="746"/>
      <c r="K146" s="746"/>
      <c r="L146" s="746"/>
      <c r="M146" s="746"/>
      <c r="N146" s="746"/>
      <c r="O146" s="746"/>
      <c r="P146" s="746"/>
      <c r="Q146" s="746"/>
      <c r="R146" s="746"/>
      <c r="S146" s="746"/>
      <c r="T146" s="746"/>
      <c r="U146" s="746"/>
      <c r="V146" s="746"/>
      <c r="W146" s="746"/>
      <c r="X146" s="746"/>
      <c r="Y146" s="746"/>
    </row>
    <row r="147" spans="3:25">
      <c r="C147" s="746"/>
      <c r="D147" s="746"/>
      <c r="E147" s="746"/>
      <c r="F147" s="746"/>
      <c r="G147" s="746"/>
      <c r="H147" s="746"/>
      <c r="I147" s="746"/>
      <c r="J147" s="746"/>
      <c r="K147" s="746"/>
      <c r="L147" s="746"/>
      <c r="M147" s="746"/>
      <c r="N147" s="746"/>
      <c r="O147" s="746"/>
      <c r="P147" s="746"/>
      <c r="Q147" s="746"/>
      <c r="R147" s="746"/>
      <c r="S147" s="746"/>
      <c r="T147" s="746"/>
      <c r="U147" s="746"/>
      <c r="V147" s="746"/>
      <c r="W147" s="746"/>
      <c r="X147" s="746"/>
      <c r="Y147" s="746"/>
    </row>
    <row r="148" spans="3:25">
      <c r="C148" s="746"/>
      <c r="D148" s="746"/>
      <c r="E148" s="746"/>
      <c r="F148" s="746"/>
      <c r="G148" s="746"/>
      <c r="H148" s="746"/>
      <c r="I148" s="746"/>
      <c r="J148" s="746"/>
      <c r="K148" s="746"/>
      <c r="L148" s="746"/>
      <c r="M148" s="746"/>
      <c r="N148" s="746"/>
      <c r="O148" s="746"/>
      <c r="P148" s="746"/>
      <c r="Q148" s="746"/>
      <c r="R148" s="746"/>
      <c r="S148" s="746"/>
      <c r="T148" s="746"/>
      <c r="U148" s="746"/>
      <c r="V148" s="746"/>
      <c r="W148" s="746"/>
      <c r="X148" s="746"/>
      <c r="Y148" s="746"/>
    </row>
    <row r="149" spans="3:25">
      <c r="C149" s="746"/>
      <c r="D149" s="746"/>
      <c r="E149" s="746"/>
      <c r="F149" s="746"/>
      <c r="G149" s="746"/>
      <c r="H149" s="746"/>
      <c r="I149" s="746"/>
      <c r="J149" s="746"/>
      <c r="K149" s="746"/>
      <c r="L149" s="746"/>
      <c r="M149" s="746"/>
      <c r="N149" s="746"/>
      <c r="O149" s="746"/>
      <c r="P149" s="746"/>
      <c r="Q149" s="746"/>
      <c r="R149" s="746"/>
      <c r="S149" s="746"/>
      <c r="T149" s="746"/>
      <c r="U149" s="746"/>
      <c r="V149" s="746"/>
      <c r="W149" s="746"/>
      <c r="X149" s="746"/>
      <c r="Y149" s="746"/>
    </row>
    <row r="150" spans="3:25">
      <c r="C150" s="746"/>
      <c r="D150" s="746"/>
      <c r="E150" s="746"/>
      <c r="F150" s="746"/>
      <c r="G150" s="746"/>
      <c r="H150" s="746"/>
      <c r="I150" s="746"/>
      <c r="J150" s="746"/>
      <c r="K150" s="746"/>
      <c r="L150" s="746"/>
      <c r="M150" s="746"/>
      <c r="N150" s="746"/>
      <c r="O150" s="746"/>
      <c r="P150" s="746"/>
      <c r="Q150" s="746"/>
      <c r="R150" s="746"/>
      <c r="S150" s="746"/>
      <c r="T150" s="746"/>
      <c r="U150" s="746"/>
      <c r="V150" s="746"/>
      <c r="W150" s="746"/>
      <c r="X150" s="746"/>
      <c r="Y150" s="746"/>
    </row>
    <row r="151" spans="3:25">
      <c r="C151" s="746"/>
      <c r="D151" s="746"/>
      <c r="E151" s="746"/>
      <c r="F151" s="746"/>
      <c r="G151" s="746"/>
      <c r="H151" s="746"/>
      <c r="I151" s="746"/>
      <c r="J151" s="746"/>
      <c r="K151" s="746"/>
      <c r="L151" s="746"/>
      <c r="M151" s="746"/>
      <c r="N151" s="746"/>
      <c r="O151" s="746"/>
      <c r="P151" s="746"/>
      <c r="Q151" s="746"/>
      <c r="R151" s="746"/>
      <c r="S151" s="746"/>
      <c r="T151" s="746"/>
      <c r="U151" s="746"/>
      <c r="V151" s="746"/>
      <c r="W151" s="746"/>
      <c r="X151" s="746"/>
      <c r="Y151" s="746"/>
    </row>
    <row r="152" spans="3:25">
      <c r="C152" s="746"/>
      <c r="D152" s="746"/>
      <c r="E152" s="746"/>
      <c r="F152" s="746"/>
      <c r="G152" s="746"/>
      <c r="H152" s="746"/>
      <c r="I152" s="746"/>
      <c r="J152" s="746"/>
      <c r="K152" s="746"/>
      <c r="L152" s="746"/>
      <c r="M152" s="746"/>
      <c r="N152" s="746"/>
      <c r="O152" s="746"/>
      <c r="P152" s="746"/>
      <c r="Q152" s="746"/>
      <c r="R152" s="746"/>
      <c r="S152" s="746"/>
      <c r="T152" s="746"/>
      <c r="U152" s="746"/>
      <c r="V152" s="746"/>
      <c r="W152" s="746"/>
      <c r="X152" s="746"/>
      <c r="Y152" s="746"/>
    </row>
    <row r="153" spans="3:25">
      <c r="C153" s="746"/>
      <c r="D153" s="746"/>
      <c r="E153" s="746"/>
      <c r="F153" s="746"/>
      <c r="G153" s="746"/>
      <c r="H153" s="746"/>
      <c r="I153" s="746"/>
      <c r="J153" s="746"/>
      <c r="K153" s="746"/>
      <c r="L153" s="746"/>
      <c r="M153" s="746"/>
      <c r="N153" s="746"/>
      <c r="O153" s="746"/>
      <c r="P153" s="746"/>
      <c r="Q153" s="746"/>
      <c r="R153" s="746"/>
      <c r="S153" s="746"/>
      <c r="T153" s="746"/>
      <c r="U153" s="746"/>
      <c r="V153" s="746"/>
      <c r="W153" s="746"/>
      <c r="X153" s="746"/>
      <c r="Y153" s="746"/>
    </row>
    <row r="154" spans="3:25">
      <c r="C154" s="746"/>
      <c r="D154" s="746"/>
      <c r="E154" s="746"/>
      <c r="F154" s="746"/>
      <c r="G154" s="746"/>
      <c r="H154" s="746"/>
      <c r="I154" s="746"/>
      <c r="J154" s="746"/>
      <c r="K154" s="746"/>
      <c r="L154" s="746"/>
      <c r="M154" s="746"/>
      <c r="N154" s="746"/>
      <c r="O154" s="746"/>
      <c r="P154" s="746"/>
      <c r="Q154" s="746"/>
      <c r="R154" s="746"/>
      <c r="S154" s="746"/>
      <c r="T154" s="746"/>
      <c r="U154" s="746"/>
      <c r="V154" s="746"/>
      <c r="W154" s="746"/>
      <c r="X154" s="746"/>
      <c r="Y154" s="746"/>
    </row>
    <row r="155" spans="3:25">
      <c r="C155" s="746"/>
      <c r="D155" s="746"/>
      <c r="E155" s="746"/>
      <c r="F155" s="746"/>
      <c r="G155" s="746"/>
      <c r="H155" s="746"/>
      <c r="I155" s="746"/>
      <c r="J155" s="746"/>
      <c r="K155" s="746"/>
      <c r="L155" s="746"/>
      <c r="M155" s="746"/>
      <c r="N155" s="746"/>
      <c r="O155" s="746"/>
      <c r="P155" s="746"/>
      <c r="Q155" s="746"/>
      <c r="R155" s="746"/>
      <c r="S155" s="746"/>
      <c r="T155" s="746"/>
      <c r="U155" s="746"/>
      <c r="V155" s="746"/>
      <c r="W155" s="746"/>
      <c r="X155" s="746"/>
      <c r="Y155" s="746"/>
    </row>
    <row r="156" spans="3:25">
      <c r="C156" s="746"/>
      <c r="D156" s="746"/>
      <c r="E156" s="746"/>
      <c r="F156" s="746"/>
      <c r="G156" s="746"/>
      <c r="H156" s="746"/>
      <c r="I156" s="746"/>
      <c r="J156" s="746"/>
      <c r="K156" s="746"/>
      <c r="L156" s="746"/>
      <c r="M156" s="746"/>
      <c r="N156" s="746"/>
      <c r="O156" s="746"/>
      <c r="P156" s="746"/>
      <c r="Q156" s="746"/>
      <c r="R156" s="746"/>
      <c r="S156" s="746"/>
      <c r="T156" s="746"/>
      <c r="U156" s="746"/>
      <c r="V156" s="746"/>
      <c r="W156" s="746"/>
      <c r="X156" s="746"/>
      <c r="Y156" s="746"/>
    </row>
    <row r="157" spans="3:25">
      <c r="C157" s="746"/>
      <c r="D157" s="746"/>
      <c r="E157" s="746"/>
      <c r="F157" s="746"/>
      <c r="G157" s="746"/>
      <c r="H157" s="746"/>
      <c r="I157" s="746"/>
      <c r="J157" s="746"/>
      <c r="K157" s="746"/>
      <c r="L157" s="746"/>
      <c r="M157" s="746"/>
      <c r="N157" s="746"/>
      <c r="O157" s="746"/>
      <c r="P157" s="746"/>
      <c r="Q157" s="746"/>
      <c r="R157" s="746"/>
      <c r="S157" s="746"/>
      <c r="T157" s="746"/>
      <c r="U157" s="746"/>
      <c r="V157" s="746"/>
      <c r="W157" s="746"/>
      <c r="X157" s="746"/>
      <c r="Y157" s="746"/>
    </row>
    <row r="158" spans="3:25">
      <c r="C158" s="746"/>
      <c r="D158" s="746"/>
      <c r="E158" s="746"/>
      <c r="F158" s="746"/>
      <c r="G158" s="746"/>
      <c r="H158" s="746"/>
      <c r="I158" s="746"/>
      <c r="J158" s="746"/>
      <c r="K158" s="746"/>
      <c r="L158" s="746"/>
      <c r="M158" s="746"/>
      <c r="N158" s="746"/>
      <c r="O158" s="746"/>
      <c r="P158" s="746"/>
      <c r="Q158" s="746"/>
      <c r="R158" s="746"/>
      <c r="S158" s="746"/>
      <c r="T158" s="746"/>
      <c r="U158" s="746"/>
      <c r="V158" s="746"/>
      <c r="W158" s="746"/>
      <c r="X158" s="746"/>
      <c r="Y158" s="746"/>
    </row>
    <row r="159" spans="3:25">
      <c r="C159" s="746"/>
      <c r="D159" s="746"/>
      <c r="E159" s="746"/>
      <c r="F159" s="746"/>
      <c r="G159" s="746"/>
      <c r="H159" s="746"/>
      <c r="I159" s="746"/>
      <c r="J159" s="746"/>
      <c r="K159" s="746"/>
      <c r="L159" s="746"/>
      <c r="M159" s="746"/>
      <c r="N159" s="746"/>
      <c r="O159" s="746"/>
      <c r="P159" s="746"/>
      <c r="Q159" s="746"/>
      <c r="R159" s="746"/>
      <c r="S159" s="746"/>
      <c r="T159" s="746"/>
      <c r="U159" s="746"/>
      <c r="V159" s="746"/>
      <c r="W159" s="746"/>
      <c r="X159" s="746"/>
      <c r="Y159" s="746"/>
    </row>
    <row r="160" spans="3:25">
      <c r="C160" s="746"/>
      <c r="D160" s="746"/>
      <c r="E160" s="746"/>
      <c r="F160" s="746"/>
      <c r="G160" s="746"/>
      <c r="H160" s="746"/>
      <c r="I160" s="746"/>
      <c r="J160" s="746"/>
      <c r="K160" s="746"/>
      <c r="L160" s="746"/>
      <c r="M160" s="746"/>
      <c r="N160" s="746"/>
      <c r="O160" s="746"/>
      <c r="P160" s="746"/>
      <c r="Q160" s="746"/>
      <c r="R160" s="746"/>
      <c r="S160" s="746"/>
      <c r="T160" s="746"/>
      <c r="U160" s="746"/>
      <c r="V160" s="746"/>
      <c r="W160" s="746"/>
      <c r="X160" s="746"/>
      <c r="Y160" s="746"/>
    </row>
    <row r="161" spans="3:25">
      <c r="C161" s="746"/>
      <c r="D161" s="746"/>
      <c r="E161" s="746"/>
      <c r="F161" s="746"/>
      <c r="G161" s="746"/>
      <c r="H161" s="746"/>
      <c r="I161" s="746"/>
      <c r="J161" s="746"/>
      <c r="K161" s="746"/>
      <c r="L161" s="746"/>
      <c r="M161" s="746"/>
      <c r="N161" s="746"/>
      <c r="O161" s="746"/>
      <c r="P161" s="746"/>
      <c r="Q161" s="746"/>
      <c r="R161" s="746"/>
      <c r="S161" s="746"/>
      <c r="T161" s="746"/>
      <c r="U161" s="746"/>
      <c r="V161" s="746"/>
      <c r="W161" s="746"/>
      <c r="X161" s="746"/>
      <c r="Y161" s="746"/>
    </row>
    <row r="162" spans="3:25">
      <c r="C162" s="746"/>
      <c r="D162" s="746"/>
      <c r="E162" s="746"/>
      <c r="F162" s="746"/>
      <c r="G162" s="746"/>
      <c r="H162" s="746"/>
      <c r="I162" s="746"/>
      <c r="J162" s="746"/>
      <c r="K162" s="746"/>
      <c r="L162" s="746"/>
      <c r="M162" s="746"/>
      <c r="N162" s="746"/>
      <c r="O162" s="746"/>
      <c r="P162" s="746"/>
      <c r="Q162" s="746"/>
      <c r="R162" s="746"/>
      <c r="S162" s="746"/>
      <c r="T162" s="746"/>
      <c r="U162" s="746"/>
      <c r="V162" s="746"/>
      <c r="W162" s="746"/>
      <c r="X162" s="746"/>
      <c r="Y162" s="746"/>
    </row>
    <row r="163" spans="3:25">
      <c r="C163" s="746"/>
      <c r="D163" s="746"/>
      <c r="E163" s="746"/>
      <c r="F163" s="746"/>
      <c r="G163" s="746"/>
      <c r="H163" s="746"/>
      <c r="I163" s="746"/>
      <c r="J163" s="746"/>
      <c r="K163" s="746"/>
      <c r="L163" s="746"/>
      <c r="M163" s="746"/>
      <c r="N163" s="746"/>
      <c r="O163" s="746"/>
      <c r="P163" s="746"/>
      <c r="Q163" s="746"/>
      <c r="R163" s="746"/>
      <c r="S163" s="746"/>
      <c r="T163" s="746"/>
      <c r="U163" s="746"/>
      <c r="V163" s="746"/>
      <c r="W163" s="746"/>
      <c r="X163" s="746"/>
      <c r="Y163" s="746"/>
    </row>
    <row r="164" spans="3:25">
      <c r="C164" s="746"/>
      <c r="D164" s="746"/>
      <c r="E164" s="746"/>
      <c r="F164" s="746"/>
      <c r="G164" s="746"/>
      <c r="H164" s="746"/>
      <c r="I164" s="746"/>
      <c r="J164" s="746"/>
      <c r="K164" s="746"/>
      <c r="L164" s="746"/>
      <c r="M164" s="746"/>
      <c r="N164" s="746"/>
      <c r="O164" s="746"/>
      <c r="P164" s="746"/>
      <c r="Q164" s="746"/>
      <c r="R164" s="746"/>
      <c r="S164" s="746"/>
      <c r="T164" s="746"/>
      <c r="U164" s="746"/>
      <c r="V164" s="746"/>
      <c r="W164" s="746"/>
      <c r="X164" s="746"/>
      <c r="Y164" s="746"/>
    </row>
    <row r="165" spans="3:25">
      <c r="C165" s="746"/>
      <c r="D165" s="746"/>
      <c r="E165" s="746"/>
      <c r="F165" s="746"/>
      <c r="G165" s="746"/>
      <c r="H165" s="746"/>
      <c r="I165" s="746"/>
      <c r="J165" s="746"/>
      <c r="K165" s="746"/>
      <c r="L165" s="746"/>
      <c r="M165" s="746"/>
      <c r="N165" s="746"/>
      <c r="O165" s="746"/>
      <c r="P165" s="746"/>
      <c r="Q165" s="746"/>
      <c r="R165" s="746"/>
      <c r="S165" s="746"/>
      <c r="T165" s="746"/>
      <c r="U165" s="746"/>
      <c r="V165" s="746"/>
      <c r="W165" s="746"/>
      <c r="X165" s="746"/>
      <c r="Y165" s="746"/>
    </row>
    <row r="166" spans="3:25">
      <c r="C166" s="746"/>
      <c r="D166" s="746"/>
      <c r="E166" s="746"/>
      <c r="F166" s="746"/>
      <c r="G166" s="746"/>
      <c r="H166" s="746"/>
      <c r="I166" s="746"/>
      <c r="J166" s="746"/>
      <c r="K166" s="746"/>
      <c r="L166" s="746"/>
      <c r="M166" s="746"/>
      <c r="N166" s="746"/>
      <c r="O166" s="746"/>
      <c r="P166" s="746"/>
      <c r="Q166" s="746"/>
      <c r="R166" s="746"/>
      <c r="S166" s="746"/>
      <c r="T166" s="746"/>
      <c r="U166" s="746"/>
      <c r="V166" s="746"/>
      <c r="W166" s="746"/>
      <c r="X166" s="746"/>
      <c r="Y166" s="746"/>
    </row>
    <row r="167" spans="3:25">
      <c r="C167" s="746"/>
      <c r="D167" s="746"/>
      <c r="E167" s="746"/>
      <c r="F167" s="746"/>
      <c r="G167" s="746"/>
      <c r="H167" s="746"/>
      <c r="I167" s="746"/>
      <c r="J167" s="746"/>
      <c r="K167" s="746"/>
      <c r="L167" s="746"/>
      <c r="M167" s="746"/>
      <c r="N167" s="746"/>
      <c r="O167" s="746"/>
      <c r="P167" s="746"/>
      <c r="Q167" s="746"/>
      <c r="R167" s="746"/>
      <c r="S167" s="746"/>
      <c r="T167" s="746"/>
      <c r="U167" s="746"/>
      <c r="V167" s="746"/>
      <c r="W167" s="746"/>
      <c r="X167" s="746"/>
      <c r="Y167" s="746"/>
    </row>
    <row r="168" spans="3:25">
      <c r="C168" s="746"/>
      <c r="D168" s="746"/>
      <c r="E168" s="746"/>
      <c r="F168" s="746"/>
      <c r="G168" s="746"/>
      <c r="H168" s="746"/>
      <c r="I168" s="746"/>
      <c r="J168" s="746"/>
      <c r="K168" s="746"/>
      <c r="L168" s="746"/>
      <c r="M168" s="746"/>
      <c r="N168" s="746"/>
      <c r="O168" s="746"/>
      <c r="P168" s="746"/>
      <c r="Q168" s="746"/>
      <c r="R168" s="746"/>
      <c r="S168" s="746"/>
      <c r="T168" s="746"/>
      <c r="U168" s="746"/>
      <c r="V168" s="746"/>
      <c r="W168" s="746"/>
      <c r="X168" s="746"/>
      <c r="Y168" s="746"/>
    </row>
    <row r="169" spans="3:25">
      <c r="C169" s="746"/>
      <c r="D169" s="746"/>
      <c r="E169" s="746"/>
      <c r="F169" s="746"/>
      <c r="G169" s="746"/>
      <c r="H169" s="746"/>
      <c r="I169" s="746"/>
      <c r="J169" s="746"/>
      <c r="K169" s="746"/>
      <c r="L169" s="746"/>
      <c r="M169" s="746"/>
      <c r="N169" s="746"/>
      <c r="O169" s="746"/>
      <c r="P169" s="746"/>
      <c r="Q169" s="746"/>
      <c r="R169" s="746"/>
      <c r="S169" s="746"/>
      <c r="T169" s="746"/>
      <c r="U169" s="746"/>
      <c r="V169" s="746"/>
      <c r="W169" s="746"/>
      <c r="X169" s="746"/>
      <c r="Y169" s="746"/>
    </row>
    <row r="170" spans="3:25">
      <c r="C170" s="746"/>
      <c r="D170" s="746"/>
      <c r="E170" s="746"/>
      <c r="F170" s="746"/>
      <c r="G170" s="746"/>
      <c r="H170" s="746"/>
      <c r="I170" s="746"/>
      <c r="J170" s="746"/>
      <c r="K170" s="746"/>
      <c r="L170" s="746"/>
      <c r="M170" s="746"/>
      <c r="N170" s="746"/>
      <c r="O170" s="746"/>
      <c r="P170" s="746"/>
      <c r="Q170" s="746"/>
      <c r="R170" s="746"/>
      <c r="S170" s="746"/>
      <c r="T170" s="746"/>
      <c r="U170" s="746"/>
      <c r="V170" s="746"/>
      <c r="W170" s="746"/>
      <c r="X170" s="746"/>
      <c r="Y170" s="746"/>
    </row>
    <row r="171" spans="3:25">
      <c r="C171" s="746"/>
      <c r="D171" s="746"/>
      <c r="E171" s="746"/>
      <c r="F171" s="746"/>
      <c r="G171" s="746"/>
      <c r="H171" s="746"/>
      <c r="I171" s="746"/>
      <c r="J171" s="746"/>
      <c r="K171" s="746"/>
      <c r="L171" s="746"/>
      <c r="M171" s="746"/>
      <c r="N171" s="746"/>
      <c r="O171" s="746"/>
      <c r="P171" s="746"/>
      <c r="Q171" s="746"/>
      <c r="R171" s="746"/>
      <c r="S171" s="746"/>
      <c r="T171" s="746"/>
      <c r="U171" s="746"/>
      <c r="V171" s="746"/>
      <c r="W171" s="746"/>
      <c r="X171" s="746"/>
      <c r="Y171" s="746"/>
    </row>
    <row r="172" spans="3:25">
      <c r="C172" s="746"/>
      <c r="D172" s="746"/>
      <c r="E172" s="746"/>
      <c r="F172" s="746"/>
      <c r="G172" s="746"/>
      <c r="H172" s="746"/>
      <c r="I172" s="746"/>
      <c r="J172" s="746"/>
      <c r="K172" s="746"/>
      <c r="L172" s="746"/>
      <c r="M172" s="746"/>
      <c r="N172" s="746"/>
      <c r="O172" s="746"/>
      <c r="P172" s="746"/>
      <c r="Q172" s="746"/>
      <c r="R172" s="746"/>
      <c r="S172" s="746"/>
      <c r="T172" s="746"/>
      <c r="U172" s="746"/>
      <c r="V172" s="746"/>
      <c r="W172" s="746"/>
      <c r="X172" s="746"/>
      <c r="Y172" s="746"/>
    </row>
    <row r="173" spans="3:25">
      <c r="C173" s="746"/>
      <c r="D173" s="746"/>
      <c r="E173" s="746"/>
      <c r="F173" s="746"/>
      <c r="G173" s="746"/>
      <c r="H173" s="746"/>
      <c r="I173" s="746"/>
      <c r="J173" s="746"/>
      <c r="K173" s="746"/>
      <c r="L173" s="746"/>
      <c r="M173" s="746"/>
      <c r="N173" s="746"/>
      <c r="O173" s="746"/>
      <c r="P173" s="746"/>
      <c r="Q173" s="746"/>
      <c r="R173" s="746"/>
      <c r="S173" s="746"/>
      <c r="T173" s="746"/>
      <c r="U173" s="746"/>
      <c r="V173" s="746"/>
      <c r="W173" s="746"/>
      <c r="X173" s="746"/>
      <c r="Y173" s="746"/>
    </row>
    <row r="174" spans="3:25">
      <c r="C174" s="746"/>
      <c r="D174" s="746"/>
      <c r="E174" s="746"/>
      <c r="F174" s="746"/>
      <c r="G174" s="746"/>
      <c r="H174" s="746"/>
      <c r="I174" s="746"/>
      <c r="J174" s="746"/>
      <c r="K174" s="746"/>
      <c r="L174" s="746"/>
      <c r="M174" s="746"/>
      <c r="N174" s="746"/>
      <c r="O174" s="746"/>
      <c r="P174" s="746"/>
      <c r="Q174" s="746"/>
      <c r="R174" s="746"/>
      <c r="S174" s="746"/>
      <c r="T174" s="746"/>
      <c r="U174" s="746"/>
      <c r="V174" s="746"/>
      <c r="W174" s="746"/>
      <c r="X174" s="746"/>
      <c r="Y174" s="746"/>
    </row>
    <row r="175" spans="3:25">
      <c r="C175" s="746"/>
      <c r="D175" s="746"/>
      <c r="E175" s="746"/>
      <c r="F175" s="746"/>
      <c r="G175" s="746"/>
      <c r="H175" s="746"/>
      <c r="I175" s="746"/>
      <c r="J175" s="746"/>
      <c r="K175" s="746"/>
      <c r="L175" s="746"/>
      <c r="M175" s="746"/>
      <c r="N175" s="746"/>
      <c r="O175" s="746"/>
      <c r="P175" s="746"/>
      <c r="Q175" s="746"/>
      <c r="R175" s="746"/>
      <c r="S175" s="746"/>
      <c r="T175" s="746"/>
      <c r="U175" s="746"/>
      <c r="V175" s="746"/>
      <c r="W175" s="746"/>
      <c r="X175" s="746"/>
      <c r="Y175" s="746"/>
    </row>
    <row r="176" spans="3:25">
      <c r="C176" s="746"/>
      <c r="D176" s="746"/>
      <c r="E176" s="746"/>
      <c r="F176" s="746"/>
      <c r="G176" s="746"/>
      <c r="H176" s="746"/>
      <c r="I176" s="746"/>
      <c r="J176" s="746"/>
      <c r="K176" s="746"/>
      <c r="L176" s="746"/>
      <c r="M176" s="746"/>
      <c r="N176" s="746"/>
      <c r="O176" s="746"/>
      <c r="P176" s="746"/>
      <c r="Q176" s="746"/>
      <c r="R176" s="746"/>
      <c r="S176" s="746"/>
      <c r="T176" s="746"/>
      <c r="U176" s="746"/>
      <c r="V176" s="746"/>
      <c r="W176" s="746"/>
      <c r="X176" s="746"/>
      <c r="Y176" s="746"/>
    </row>
    <row r="177" spans="3:25">
      <c r="C177" s="746"/>
      <c r="D177" s="746"/>
      <c r="E177" s="746"/>
      <c r="F177" s="746"/>
      <c r="G177" s="746"/>
      <c r="H177" s="746"/>
      <c r="I177" s="746"/>
      <c r="J177" s="746"/>
      <c r="K177" s="746"/>
      <c r="L177" s="746"/>
      <c r="M177" s="746"/>
      <c r="N177" s="746"/>
      <c r="O177" s="746"/>
      <c r="P177" s="746"/>
      <c r="Q177" s="746"/>
      <c r="R177" s="746"/>
      <c r="S177" s="746"/>
      <c r="T177" s="746"/>
      <c r="U177" s="746"/>
      <c r="V177" s="746"/>
      <c r="W177" s="746"/>
      <c r="X177" s="746"/>
      <c r="Y177" s="746"/>
    </row>
    <row r="178" spans="3:25">
      <c r="C178" s="746"/>
      <c r="D178" s="746"/>
      <c r="E178" s="746"/>
      <c r="F178" s="746"/>
      <c r="G178" s="746"/>
      <c r="H178" s="746"/>
      <c r="I178" s="746"/>
      <c r="J178" s="746"/>
      <c r="K178" s="746"/>
      <c r="L178" s="746"/>
      <c r="M178" s="746"/>
      <c r="N178" s="746"/>
      <c r="O178" s="746"/>
      <c r="P178" s="746"/>
      <c r="Q178" s="746"/>
      <c r="R178" s="746"/>
      <c r="S178" s="746"/>
      <c r="T178" s="746"/>
      <c r="U178" s="746"/>
      <c r="V178" s="746"/>
      <c r="W178" s="746"/>
      <c r="X178" s="746"/>
      <c r="Y178" s="746"/>
    </row>
    <row r="179" spans="3:25">
      <c r="C179" s="746"/>
      <c r="D179" s="746"/>
      <c r="E179" s="746"/>
      <c r="F179" s="746"/>
      <c r="G179" s="746"/>
      <c r="H179" s="746"/>
      <c r="I179" s="746"/>
      <c r="J179" s="746"/>
      <c r="K179" s="746"/>
      <c r="L179" s="746"/>
      <c r="M179" s="746"/>
      <c r="N179" s="746"/>
      <c r="O179" s="746"/>
      <c r="P179" s="746"/>
      <c r="Q179" s="746"/>
      <c r="R179" s="746"/>
      <c r="S179" s="746"/>
      <c r="T179" s="746"/>
      <c r="U179" s="746"/>
      <c r="V179" s="746"/>
      <c r="W179" s="746"/>
      <c r="X179" s="746"/>
      <c r="Y179" s="746"/>
    </row>
    <row r="180" spans="3:25">
      <c r="C180" s="746"/>
      <c r="D180" s="746"/>
      <c r="E180" s="746"/>
      <c r="F180" s="746"/>
      <c r="G180" s="746"/>
      <c r="H180" s="746"/>
      <c r="I180" s="746"/>
      <c r="J180" s="746"/>
      <c r="K180" s="746"/>
      <c r="L180" s="746"/>
      <c r="M180" s="746"/>
      <c r="N180" s="746"/>
      <c r="O180" s="746"/>
      <c r="P180" s="746"/>
      <c r="Q180" s="746"/>
      <c r="R180" s="746"/>
      <c r="S180" s="746"/>
      <c r="T180" s="746"/>
      <c r="U180" s="746"/>
      <c r="V180" s="746"/>
      <c r="W180" s="746"/>
      <c r="X180" s="746"/>
      <c r="Y180" s="746"/>
    </row>
    <row r="181" spans="3:25">
      <c r="C181" s="746"/>
      <c r="D181" s="746"/>
      <c r="E181" s="746"/>
      <c r="F181" s="746"/>
      <c r="G181" s="746"/>
      <c r="H181" s="746"/>
      <c r="I181" s="746"/>
      <c r="J181" s="746"/>
      <c r="K181" s="746"/>
      <c r="L181" s="746"/>
      <c r="M181" s="746"/>
      <c r="N181" s="746"/>
      <c r="O181" s="746"/>
      <c r="P181" s="746"/>
      <c r="Q181" s="746"/>
      <c r="R181" s="746"/>
      <c r="S181" s="746"/>
      <c r="T181" s="746"/>
      <c r="U181" s="746"/>
      <c r="V181" s="746"/>
      <c r="W181" s="746"/>
      <c r="X181" s="746"/>
      <c r="Y181" s="746"/>
    </row>
    <row r="182" spans="3:25">
      <c r="C182" s="746"/>
      <c r="D182" s="746"/>
      <c r="E182" s="746"/>
      <c r="F182" s="746"/>
      <c r="G182" s="746"/>
      <c r="H182" s="746"/>
      <c r="I182" s="746"/>
      <c r="J182" s="746"/>
      <c r="K182" s="746"/>
      <c r="L182" s="746"/>
      <c r="M182" s="746"/>
      <c r="N182" s="746"/>
      <c r="O182" s="746"/>
      <c r="P182" s="746"/>
      <c r="Q182" s="746"/>
      <c r="R182" s="746"/>
      <c r="S182" s="746"/>
      <c r="T182" s="746"/>
      <c r="U182" s="746"/>
      <c r="V182" s="746"/>
      <c r="W182" s="746"/>
      <c r="X182" s="746"/>
      <c r="Y182" s="746"/>
    </row>
    <row r="183" spans="3:25">
      <c r="C183" s="746"/>
      <c r="D183" s="746"/>
      <c r="E183" s="746"/>
      <c r="F183" s="746"/>
      <c r="G183" s="746"/>
      <c r="H183" s="746"/>
      <c r="I183" s="746"/>
      <c r="J183" s="746"/>
      <c r="K183" s="746"/>
      <c r="L183" s="746"/>
      <c r="M183" s="746"/>
      <c r="N183" s="746"/>
      <c r="O183" s="746"/>
      <c r="P183" s="746"/>
      <c r="Q183" s="746"/>
      <c r="R183" s="746"/>
      <c r="S183" s="746"/>
      <c r="T183" s="746"/>
      <c r="U183" s="746"/>
      <c r="V183" s="746"/>
      <c r="W183" s="746"/>
      <c r="X183" s="746"/>
      <c r="Y183" s="746"/>
    </row>
    <row r="184" spans="3:25">
      <c r="C184" s="746"/>
      <c r="D184" s="746"/>
      <c r="E184" s="746"/>
      <c r="F184" s="746"/>
      <c r="G184" s="746"/>
      <c r="H184" s="746"/>
      <c r="I184" s="746"/>
      <c r="J184" s="746"/>
      <c r="K184" s="746"/>
      <c r="L184" s="746"/>
      <c r="M184" s="746"/>
      <c r="N184" s="746"/>
      <c r="O184" s="746"/>
      <c r="P184" s="746"/>
      <c r="Q184" s="746"/>
      <c r="R184" s="746"/>
      <c r="S184" s="746"/>
      <c r="T184" s="746"/>
      <c r="U184" s="746"/>
      <c r="V184" s="746"/>
      <c r="W184" s="746"/>
      <c r="X184" s="746"/>
      <c r="Y184" s="746"/>
    </row>
    <row r="185" spans="3:25">
      <c r="C185" s="746"/>
      <c r="D185" s="746"/>
      <c r="E185" s="746"/>
      <c r="F185" s="746"/>
      <c r="G185" s="746"/>
      <c r="H185" s="746"/>
      <c r="I185" s="746"/>
      <c r="J185" s="746"/>
      <c r="K185" s="746"/>
      <c r="L185" s="746"/>
      <c r="M185" s="746"/>
      <c r="N185" s="746"/>
      <c r="O185" s="746"/>
      <c r="P185" s="746"/>
      <c r="Q185" s="746"/>
      <c r="R185" s="746"/>
      <c r="S185" s="746"/>
      <c r="T185" s="746"/>
      <c r="U185" s="746"/>
      <c r="V185" s="746"/>
      <c r="W185" s="746"/>
      <c r="X185" s="746"/>
      <c r="Y185" s="746"/>
    </row>
    <row r="186" spans="3:25">
      <c r="C186" s="746"/>
      <c r="D186" s="746"/>
      <c r="E186" s="746"/>
      <c r="F186" s="746"/>
      <c r="G186" s="746"/>
      <c r="H186" s="746"/>
      <c r="I186" s="746"/>
      <c r="J186" s="746"/>
      <c r="K186" s="746"/>
      <c r="L186" s="746"/>
      <c r="M186" s="746"/>
      <c r="N186" s="746"/>
      <c r="O186" s="746"/>
      <c r="P186" s="746"/>
      <c r="Q186" s="746"/>
      <c r="R186" s="746"/>
      <c r="S186" s="746"/>
      <c r="T186" s="746"/>
      <c r="U186" s="746"/>
      <c r="V186" s="746"/>
      <c r="W186" s="746"/>
      <c r="X186" s="746"/>
      <c r="Y186" s="746"/>
    </row>
    <row r="187" spans="3:25">
      <c r="C187" s="746"/>
      <c r="D187" s="746"/>
      <c r="E187" s="746"/>
      <c r="F187" s="746"/>
      <c r="G187" s="746"/>
      <c r="H187" s="746"/>
      <c r="I187" s="746"/>
      <c r="J187" s="746"/>
      <c r="K187" s="746"/>
      <c r="L187" s="746"/>
      <c r="M187" s="746"/>
      <c r="N187" s="746"/>
      <c r="O187" s="746"/>
      <c r="P187" s="746"/>
      <c r="Q187" s="746"/>
      <c r="R187" s="746"/>
      <c r="S187" s="746"/>
      <c r="T187" s="746"/>
      <c r="U187" s="746"/>
      <c r="V187" s="746"/>
      <c r="W187" s="746"/>
      <c r="X187" s="746"/>
      <c r="Y187" s="746"/>
    </row>
    <row r="188" spans="3:25">
      <c r="C188" s="746"/>
      <c r="D188" s="746"/>
      <c r="E188" s="746"/>
      <c r="F188" s="746"/>
      <c r="G188" s="746"/>
      <c r="H188" s="746"/>
      <c r="I188" s="746"/>
      <c r="J188" s="746"/>
      <c r="K188" s="746"/>
      <c r="L188" s="746"/>
      <c r="M188" s="746"/>
      <c r="N188" s="746"/>
      <c r="O188" s="746"/>
      <c r="P188" s="746"/>
      <c r="Q188" s="746"/>
      <c r="R188" s="746"/>
      <c r="S188" s="746"/>
      <c r="T188" s="746"/>
      <c r="U188" s="746"/>
      <c r="V188" s="746"/>
      <c r="W188" s="746"/>
      <c r="X188" s="746"/>
      <c r="Y188" s="746"/>
    </row>
    <row r="189" spans="3:25">
      <c r="C189" s="746"/>
      <c r="D189" s="746"/>
      <c r="E189" s="746"/>
      <c r="F189" s="746"/>
      <c r="G189" s="746"/>
      <c r="H189" s="746"/>
      <c r="I189" s="746"/>
      <c r="J189" s="746"/>
      <c r="K189" s="746"/>
      <c r="L189" s="746"/>
      <c r="M189" s="746"/>
      <c r="N189" s="746"/>
      <c r="O189" s="746"/>
      <c r="P189" s="746"/>
      <c r="Q189" s="746"/>
      <c r="R189" s="746"/>
      <c r="S189" s="746"/>
      <c r="T189" s="746"/>
      <c r="U189" s="746"/>
      <c r="V189" s="746"/>
      <c r="W189" s="746"/>
      <c r="X189" s="746"/>
      <c r="Y189" s="746"/>
    </row>
    <row r="190" spans="3:25">
      <c r="C190" s="746"/>
      <c r="D190" s="746"/>
      <c r="E190" s="746"/>
      <c r="F190" s="746"/>
      <c r="G190" s="746"/>
      <c r="H190" s="746"/>
      <c r="I190" s="746"/>
      <c r="J190" s="746"/>
      <c r="K190" s="746"/>
      <c r="L190" s="746"/>
      <c r="M190" s="746"/>
      <c r="N190" s="746"/>
      <c r="O190" s="746"/>
      <c r="P190" s="746"/>
      <c r="Q190" s="746"/>
      <c r="R190" s="746"/>
      <c r="S190" s="746"/>
      <c r="T190" s="746"/>
      <c r="U190" s="746"/>
      <c r="V190" s="746"/>
      <c r="W190" s="746"/>
      <c r="X190" s="746"/>
      <c r="Y190" s="746"/>
    </row>
    <row r="191" spans="3:25">
      <c r="C191" s="746"/>
      <c r="D191" s="746"/>
      <c r="E191" s="746"/>
      <c r="F191" s="746"/>
      <c r="G191" s="746"/>
      <c r="H191" s="746"/>
      <c r="I191" s="746"/>
      <c r="J191" s="746"/>
      <c r="K191" s="746"/>
      <c r="L191" s="746"/>
      <c r="M191" s="746"/>
      <c r="N191" s="746"/>
      <c r="O191" s="746"/>
      <c r="P191" s="746"/>
      <c r="Q191" s="746"/>
      <c r="R191" s="746"/>
      <c r="S191" s="746"/>
      <c r="T191" s="746"/>
      <c r="U191" s="746"/>
      <c r="V191" s="746"/>
      <c r="W191" s="746"/>
      <c r="X191" s="746"/>
      <c r="Y191" s="746"/>
    </row>
    <row r="192" spans="3:25">
      <c r="C192" s="746"/>
      <c r="D192" s="746"/>
      <c r="E192" s="746"/>
      <c r="F192" s="746"/>
      <c r="G192" s="746"/>
      <c r="H192" s="746"/>
      <c r="I192" s="746"/>
      <c r="J192" s="746"/>
      <c r="K192" s="746"/>
      <c r="L192" s="746"/>
      <c r="M192" s="746"/>
      <c r="N192" s="746"/>
      <c r="O192" s="746"/>
      <c r="P192" s="746"/>
      <c r="Q192" s="746"/>
      <c r="R192" s="746"/>
      <c r="S192" s="746"/>
      <c r="T192" s="746"/>
      <c r="U192" s="746"/>
      <c r="V192" s="746"/>
      <c r="W192" s="746"/>
      <c r="X192" s="746"/>
      <c r="Y192" s="746"/>
    </row>
    <row r="193" spans="3:25">
      <c r="C193" s="746"/>
      <c r="D193" s="746"/>
      <c r="E193" s="746"/>
      <c r="F193" s="746"/>
      <c r="G193" s="746"/>
      <c r="H193" s="746"/>
      <c r="I193" s="746"/>
      <c r="J193" s="746"/>
      <c r="K193" s="746"/>
      <c r="L193" s="746"/>
      <c r="M193" s="746"/>
      <c r="N193" s="746"/>
      <c r="O193" s="746"/>
      <c r="P193" s="746"/>
      <c r="Q193" s="746"/>
      <c r="R193" s="746"/>
      <c r="S193" s="746"/>
      <c r="T193" s="746"/>
      <c r="U193" s="746"/>
      <c r="V193" s="746"/>
      <c r="W193" s="746"/>
      <c r="X193" s="746"/>
      <c r="Y193" s="746"/>
    </row>
    <row r="194" spans="3:25">
      <c r="C194" s="746"/>
      <c r="D194" s="746"/>
      <c r="E194" s="746"/>
      <c r="F194" s="746"/>
      <c r="G194" s="746"/>
      <c r="H194" s="746"/>
      <c r="I194" s="746"/>
      <c r="J194" s="746"/>
      <c r="K194" s="746"/>
      <c r="L194" s="746"/>
      <c r="M194" s="746"/>
      <c r="N194" s="746"/>
      <c r="O194" s="746"/>
      <c r="P194" s="746"/>
      <c r="Q194" s="746"/>
      <c r="R194" s="746"/>
      <c r="S194" s="746"/>
      <c r="T194" s="746"/>
      <c r="U194" s="746"/>
      <c r="V194" s="746"/>
      <c r="W194" s="746"/>
      <c r="X194" s="746"/>
      <c r="Y194" s="746"/>
    </row>
    <row r="195" spans="3:25">
      <c r="C195" s="746"/>
      <c r="D195" s="746"/>
      <c r="E195" s="746"/>
      <c r="F195" s="746"/>
      <c r="G195" s="746"/>
      <c r="H195" s="746"/>
      <c r="I195" s="746"/>
      <c r="J195" s="746"/>
      <c r="K195" s="746"/>
      <c r="L195" s="746"/>
      <c r="M195" s="746"/>
      <c r="N195" s="746"/>
      <c r="O195" s="746"/>
      <c r="P195" s="746"/>
      <c r="Q195" s="746"/>
      <c r="R195" s="746"/>
      <c r="S195" s="746"/>
      <c r="T195" s="746"/>
      <c r="U195" s="746"/>
      <c r="V195" s="746"/>
      <c r="W195" s="746"/>
      <c r="X195" s="746"/>
      <c r="Y195" s="746"/>
    </row>
    <row r="196" spans="3:25">
      <c r="C196" s="746"/>
      <c r="D196" s="746"/>
      <c r="E196" s="746"/>
      <c r="F196" s="746"/>
      <c r="G196" s="746"/>
      <c r="H196" s="746"/>
      <c r="I196" s="746"/>
      <c r="J196" s="746"/>
      <c r="K196" s="746"/>
      <c r="L196" s="746"/>
      <c r="M196" s="746"/>
      <c r="N196" s="746"/>
      <c r="O196" s="746"/>
      <c r="P196" s="746"/>
      <c r="Q196" s="746"/>
      <c r="R196" s="746"/>
      <c r="S196" s="746"/>
      <c r="T196" s="746"/>
      <c r="U196" s="746"/>
      <c r="V196" s="746"/>
      <c r="W196" s="746"/>
      <c r="X196" s="746"/>
      <c r="Y196" s="746"/>
    </row>
    <row r="197" spans="3:25">
      <c r="C197" s="746"/>
      <c r="D197" s="746"/>
      <c r="E197" s="746"/>
      <c r="F197" s="746"/>
      <c r="G197" s="746"/>
      <c r="H197" s="746"/>
      <c r="I197" s="746"/>
      <c r="J197" s="746"/>
      <c r="K197" s="746"/>
      <c r="L197" s="746"/>
      <c r="M197" s="746"/>
      <c r="N197" s="746"/>
      <c r="O197" s="746"/>
      <c r="P197" s="746"/>
      <c r="Q197" s="746"/>
      <c r="R197" s="746"/>
      <c r="S197" s="746"/>
      <c r="T197" s="746"/>
      <c r="U197" s="746"/>
      <c r="V197" s="746"/>
      <c r="W197" s="746"/>
      <c r="X197" s="746"/>
      <c r="Y197" s="746"/>
    </row>
    <row r="198" spans="3:25">
      <c r="C198" s="746"/>
      <c r="D198" s="746"/>
      <c r="E198" s="746"/>
      <c r="F198" s="746"/>
      <c r="G198" s="746"/>
      <c r="H198" s="746"/>
      <c r="I198" s="746"/>
      <c r="J198" s="746"/>
      <c r="K198" s="746"/>
      <c r="L198" s="746"/>
      <c r="M198" s="746"/>
      <c r="N198" s="746"/>
      <c r="O198" s="746"/>
      <c r="P198" s="746"/>
      <c r="Q198" s="746"/>
      <c r="R198" s="746"/>
      <c r="S198" s="746"/>
      <c r="T198" s="746"/>
      <c r="U198" s="746"/>
      <c r="V198" s="746"/>
      <c r="W198" s="746"/>
      <c r="X198" s="746"/>
      <c r="Y198" s="746"/>
    </row>
    <row r="199" spans="3:25">
      <c r="C199" s="746"/>
      <c r="D199" s="746"/>
      <c r="E199" s="746"/>
      <c r="F199" s="746"/>
      <c r="G199" s="746"/>
      <c r="H199" s="746"/>
      <c r="I199" s="746"/>
      <c r="J199" s="746"/>
      <c r="K199" s="746"/>
      <c r="L199" s="746"/>
      <c r="M199" s="746"/>
      <c r="N199" s="746"/>
      <c r="O199" s="746"/>
      <c r="P199" s="746"/>
      <c r="Q199" s="746"/>
      <c r="R199" s="746"/>
      <c r="S199" s="746"/>
      <c r="T199" s="746"/>
      <c r="U199" s="746"/>
      <c r="V199" s="746"/>
      <c r="W199" s="746"/>
      <c r="X199" s="746"/>
      <c r="Y199" s="746"/>
    </row>
    <row r="200" spans="3:25">
      <c r="C200" s="746"/>
      <c r="D200" s="746"/>
      <c r="E200" s="746"/>
      <c r="F200" s="746"/>
      <c r="G200" s="746"/>
      <c r="H200" s="746"/>
      <c r="I200" s="746"/>
      <c r="J200" s="746"/>
      <c r="K200" s="746"/>
      <c r="L200" s="746"/>
      <c r="M200" s="746"/>
      <c r="N200" s="746"/>
      <c r="O200" s="746"/>
      <c r="P200" s="746"/>
      <c r="Q200" s="746"/>
      <c r="R200" s="746"/>
      <c r="S200" s="746"/>
      <c r="T200" s="746"/>
      <c r="U200" s="746"/>
      <c r="V200" s="746"/>
      <c r="W200" s="746"/>
      <c r="X200" s="746"/>
      <c r="Y200" s="746"/>
    </row>
    <row r="201" spans="3:25">
      <c r="C201" s="746"/>
      <c r="D201" s="746"/>
      <c r="E201" s="746"/>
      <c r="F201" s="746"/>
      <c r="G201" s="746"/>
      <c r="H201" s="746"/>
      <c r="I201" s="746"/>
      <c r="J201" s="746"/>
      <c r="K201" s="746"/>
      <c r="L201" s="746"/>
      <c r="M201" s="746"/>
      <c r="N201" s="746"/>
      <c r="O201" s="746"/>
      <c r="P201" s="746"/>
      <c r="Q201" s="746"/>
      <c r="R201" s="746"/>
      <c r="S201" s="746"/>
      <c r="T201" s="746"/>
      <c r="U201" s="746"/>
      <c r="V201" s="746"/>
      <c r="W201" s="746"/>
      <c r="X201" s="746"/>
      <c r="Y201" s="746"/>
    </row>
    <row r="202" spans="3:25">
      <c r="C202" s="746"/>
      <c r="D202" s="746"/>
      <c r="E202" s="746"/>
      <c r="F202" s="746"/>
      <c r="G202" s="746"/>
      <c r="H202" s="746"/>
      <c r="I202" s="746"/>
      <c r="J202" s="746"/>
      <c r="K202" s="746"/>
      <c r="L202" s="746"/>
      <c r="M202" s="746"/>
      <c r="N202" s="746"/>
      <c r="O202" s="746"/>
      <c r="P202" s="746"/>
      <c r="Q202" s="746"/>
      <c r="R202" s="746"/>
      <c r="S202" s="746"/>
      <c r="T202" s="746"/>
      <c r="U202" s="746"/>
      <c r="V202" s="746"/>
      <c r="W202" s="746"/>
      <c r="X202" s="746"/>
      <c r="Y202" s="746"/>
    </row>
    <row r="203" spans="3:25">
      <c r="C203" s="746"/>
      <c r="D203" s="746"/>
      <c r="E203" s="746"/>
      <c r="F203" s="746"/>
      <c r="G203" s="746"/>
      <c r="H203" s="746"/>
      <c r="I203" s="746"/>
      <c r="J203" s="746"/>
      <c r="K203" s="746"/>
      <c r="L203" s="746"/>
      <c r="M203" s="746"/>
      <c r="N203" s="746"/>
      <c r="O203" s="746"/>
      <c r="P203" s="746"/>
      <c r="Q203" s="746"/>
      <c r="R203" s="746"/>
      <c r="S203" s="746"/>
      <c r="T203" s="746"/>
      <c r="U203" s="746"/>
      <c r="V203" s="746"/>
      <c r="W203" s="746"/>
      <c r="X203" s="746"/>
      <c r="Y203" s="746"/>
    </row>
    <row r="204" spans="3:25">
      <c r="C204" s="746"/>
      <c r="D204" s="746"/>
      <c r="E204" s="746"/>
      <c r="F204" s="746"/>
      <c r="G204" s="746"/>
      <c r="H204" s="746"/>
      <c r="I204" s="746"/>
      <c r="J204" s="746"/>
      <c r="K204" s="746"/>
      <c r="L204" s="746"/>
      <c r="M204" s="746"/>
      <c r="N204" s="746"/>
      <c r="O204" s="746"/>
      <c r="P204" s="746"/>
      <c r="Q204" s="746"/>
      <c r="R204" s="746"/>
      <c r="S204" s="746"/>
      <c r="T204" s="746"/>
      <c r="U204" s="746"/>
      <c r="V204" s="746"/>
      <c r="W204" s="746"/>
      <c r="X204" s="746"/>
      <c r="Y204" s="746"/>
    </row>
    <row r="205" spans="3:25">
      <c r="C205" s="746"/>
      <c r="D205" s="746"/>
      <c r="E205" s="746"/>
      <c r="F205" s="746"/>
      <c r="G205" s="746"/>
      <c r="H205" s="746"/>
      <c r="I205" s="746"/>
      <c r="J205" s="746"/>
      <c r="K205" s="746"/>
      <c r="L205" s="746"/>
      <c r="M205" s="746"/>
      <c r="N205" s="746"/>
      <c r="O205" s="746"/>
      <c r="P205" s="746"/>
      <c r="Q205" s="746"/>
      <c r="R205" s="746"/>
      <c r="S205" s="746"/>
      <c r="T205" s="746"/>
      <c r="U205" s="746"/>
      <c r="V205" s="746"/>
      <c r="W205" s="746"/>
      <c r="X205" s="746"/>
      <c r="Y205" s="746"/>
    </row>
    <row r="206" spans="3:25">
      <c r="C206" s="746"/>
      <c r="D206" s="746"/>
      <c r="E206" s="746"/>
      <c r="F206" s="746"/>
      <c r="G206" s="746"/>
      <c r="H206" s="746"/>
      <c r="I206" s="746"/>
      <c r="J206" s="746"/>
      <c r="K206" s="746"/>
      <c r="L206" s="746"/>
      <c r="M206" s="746"/>
      <c r="N206" s="746"/>
      <c r="O206" s="746"/>
      <c r="P206" s="746"/>
      <c r="Q206" s="746"/>
      <c r="R206" s="746"/>
      <c r="S206" s="746"/>
      <c r="T206" s="746"/>
      <c r="U206" s="746"/>
      <c r="V206" s="746"/>
      <c r="W206" s="746"/>
      <c r="X206" s="746"/>
      <c r="Y206" s="746"/>
    </row>
    <row r="207" spans="3:25">
      <c r="C207" s="746"/>
      <c r="D207" s="746"/>
      <c r="E207" s="746"/>
      <c r="F207" s="746"/>
      <c r="G207" s="746"/>
      <c r="H207" s="746"/>
      <c r="I207" s="746"/>
      <c r="J207" s="746"/>
      <c r="K207" s="746"/>
      <c r="L207" s="746"/>
      <c r="M207" s="746"/>
      <c r="N207" s="746"/>
      <c r="O207" s="746"/>
      <c r="P207" s="746"/>
      <c r="Q207" s="746"/>
      <c r="R207" s="746"/>
      <c r="S207" s="746"/>
      <c r="T207" s="746"/>
      <c r="U207" s="746"/>
      <c r="V207" s="746"/>
      <c r="W207" s="746"/>
      <c r="X207" s="746"/>
      <c r="Y207" s="746"/>
    </row>
    <row r="208" spans="3:25">
      <c r="C208" s="746"/>
      <c r="D208" s="746"/>
      <c r="E208" s="746"/>
      <c r="F208" s="746"/>
      <c r="G208" s="746"/>
      <c r="H208" s="746"/>
      <c r="I208" s="746"/>
      <c r="J208" s="746"/>
      <c r="K208" s="746"/>
      <c r="L208" s="746"/>
      <c r="M208" s="746"/>
      <c r="N208" s="746"/>
      <c r="O208" s="746"/>
      <c r="P208" s="746"/>
      <c r="Q208" s="746"/>
      <c r="R208" s="746"/>
      <c r="S208" s="746"/>
      <c r="T208" s="746"/>
      <c r="U208" s="746"/>
      <c r="V208" s="746"/>
      <c r="W208" s="746"/>
      <c r="X208" s="746"/>
      <c r="Y208" s="746"/>
    </row>
    <row r="209" spans="3:25">
      <c r="C209" s="746"/>
      <c r="D209" s="746"/>
      <c r="E209" s="746"/>
      <c r="F209" s="746"/>
      <c r="G209" s="746"/>
      <c r="H209" s="746"/>
      <c r="I209" s="746"/>
      <c r="J209" s="746"/>
      <c r="K209" s="746"/>
      <c r="L209" s="746"/>
      <c r="M209" s="746"/>
      <c r="N209" s="746"/>
      <c r="O209" s="746"/>
      <c r="P209" s="746"/>
      <c r="Q209" s="746"/>
      <c r="R209" s="746"/>
      <c r="S209" s="746"/>
      <c r="T209" s="746"/>
      <c r="U209" s="746"/>
      <c r="V209" s="746"/>
      <c r="W209" s="746"/>
      <c r="X209" s="746"/>
      <c r="Y209" s="746"/>
    </row>
    <row r="210" spans="3:25">
      <c r="C210" s="746"/>
      <c r="D210" s="746"/>
      <c r="E210" s="746"/>
      <c r="F210" s="746"/>
      <c r="G210" s="746"/>
      <c r="H210" s="746"/>
      <c r="I210" s="746"/>
      <c r="J210" s="746"/>
      <c r="K210" s="746"/>
      <c r="L210" s="746"/>
      <c r="M210" s="746"/>
      <c r="N210" s="746"/>
      <c r="O210" s="746"/>
      <c r="P210" s="746"/>
      <c r="Q210" s="746"/>
      <c r="R210" s="746"/>
      <c r="S210" s="746"/>
      <c r="T210" s="746"/>
      <c r="U210" s="746"/>
      <c r="V210" s="746"/>
      <c r="W210" s="746"/>
      <c r="X210" s="746"/>
      <c r="Y210" s="746"/>
    </row>
    <row r="211" spans="3:25">
      <c r="C211" s="746"/>
      <c r="D211" s="746"/>
      <c r="E211" s="746"/>
      <c r="F211" s="746"/>
      <c r="G211" s="746"/>
      <c r="H211" s="746"/>
      <c r="I211" s="746"/>
      <c r="J211" s="746"/>
      <c r="K211" s="746"/>
      <c r="L211" s="746"/>
      <c r="M211" s="746"/>
      <c r="N211" s="746"/>
      <c r="O211" s="746"/>
      <c r="P211" s="746"/>
      <c r="Q211" s="746"/>
      <c r="R211" s="746"/>
      <c r="S211" s="746"/>
      <c r="T211" s="746"/>
      <c r="U211" s="746"/>
      <c r="V211" s="746"/>
      <c r="W211" s="746"/>
      <c r="X211" s="746"/>
      <c r="Y211" s="746"/>
    </row>
    <row r="212" spans="3:25">
      <c r="C212" s="746"/>
      <c r="D212" s="746"/>
      <c r="E212" s="746"/>
      <c r="F212" s="746"/>
      <c r="G212" s="746"/>
      <c r="H212" s="746"/>
      <c r="I212" s="746"/>
      <c r="J212" s="746"/>
      <c r="K212" s="746"/>
      <c r="L212" s="746"/>
      <c r="M212" s="746"/>
      <c r="N212" s="746"/>
      <c r="O212" s="746"/>
      <c r="P212" s="746"/>
      <c r="Q212" s="746"/>
      <c r="R212" s="746"/>
      <c r="S212" s="746"/>
      <c r="T212" s="746"/>
      <c r="U212" s="746"/>
      <c r="V212" s="746"/>
      <c r="W212" s="746"/>
      <c r="X212" s="746"/>
      <c r="Y212" s="746"/>
    </row>
    <row r="213" spans="3:25">
      <c r="C213" s="746"/>
      <c r="D213" s="746"/>
      <c r="E213" s="746"/>
      <c r="F213" s="746"/>
      <c r="G213" s="746"/>
      <c r="H213" s="746"/>
      <c r="I213" s="746"/>
      <c r="J213" s="746"/>
      <c r="K213" s="746"/>
      <c r="L213" s="746"/>
      <c r="M213" s="746"/>
      <c r="N213" s="746"/>
      <c r="O213" s="746"/>
      <c r="P213" s="746"/>
      <c r="Q213" s="746"/>
      <c r="R213" s="746"/>
      <c r="S213" s="746"/>
      <c r="T213" s="746"/>
      <c r="U213" s="746"/>
      <c r="V213" s="746"/>
      <c r="W213" s="746"/>
      <c r="X213" s="746"/>
      <c r="Y213" s="746"/>
    </row>
    <row r="214" spans="3:25">
      <c r="C214" s="746"/>
      <c r="D214" s="746"/>
      <c r="E214" s="746"/>
      <c r="F214" s="746"/>
      <c r="G214" s="746"/>
      <c r="H214" s="746"/>
      <c r="I214" s="746"/>
      <c r="J214" s="746"/>
      <c r="K214" s="746"/>
      <c r="L214" s="746"/>
      <c r="M214" s="746"/>
      <c r="N214" s="746"/>
      <c r="O214" s="746"/>
      <c r="P214" s="746"/>
      <c r="Q214" s="746"/>
      <c r="R214" s="746"/>
      <c r="S214" s="746"/>
      <c r="T214" s="746"/>
      <c r="U214" s="746"/>
      <c r="V214" s="746"/>
      <c r="W214" s="746"/>
      <c r="X214" s="746"/>
      <c r="Y214" s="746"/>
    </row>
    <row r="215" spans="3:25">
      <c r="C215" s="746"/>
      <c r="D215" s="746"/>
      <c r="E215" s="746"/>
      <c r="F215" s="746"/>
      <c r="G215" s="746"/>
      <c r="H215" s="746"/>
      <c r="I215" s="746"/>
      <c r="J215" s="746"/>
      <c r="K215" s="746"/>
      <c r="L215" s="746"/>
      <c r="M215" s="746"/>
      <c r="N215" s="746"/>
      <c r="O215" s="746"/>
      <c r="P215" s="746"/>
      <c r="Q215" s="746"/>
      <c r="R215" s="746"/>
      <c r="S215" s="746"/>
      <c r="T215" s="746"/>
      <c r="U215" s="746"/>
      <c r="V215" s="746"/>
      <c r="W215" s="746"/>
      <c r="X215" s="746"/>
      <c r="Y215" s="746"/>
    </row>
    <row r="216" spans="3:25">
      <c r="C216" s="746"/>
      <c r="D216" s="746"/>
      <c r="E216" s="746"/>
      <c r="F216" s="746"/>
      <c r="G216" s="746"/>
      <c r="H216" s="746"/>
      <c r="I216" s="746"/>
      <c r="J216" s="746"/>
      <c r="K216" s="746"/>
      <c r="L216" s="746"/>
      <c r="M216" s="746"/>
      <c r="N216" s="746"/>
      <c r="O216" s="746"/>
      <c r="P216" s="746"/>
      <c r="Q216" s="746"/>
      <c r="R216" s="746"/>
      <c r="S216" s="746"/>
      <c r="T216" s="746"/>
      <c r="U216" s="746"/>
      <c r="V216" s="746"/>
      <c r="W216" s="746"/>
      <c r="X216" s="746"/>
      <c r="Y216" s="746"/>
    </row>
    <row r="217" spans="3:25">
      <c r="C217" s="746"/>
      <c r="D217" s="746"/>
      <c r="E217" s="746"/>
      <c r="F217" s="746"/>
      <c r="G217" s="746"/>
      <c r="H217" s="746"/>
      <c r="I217" s="746"/>
      <c r="J217" s="746"/>
      <c r="K217" s="746"/>
      <c r="L217" s="746"/>
      <c r="M217" s="746"/>
      <c r="N217" s="746"/>
      <c r="O217" s="746"/>
      <c r="P217" s="746"/>
      <c r="Q217" s="746"/>
      <c r="R217" s="746"/>
      <c r="S217" s="746"/>
      <c r="T217" s="746"/>
      <c r="U217" s="746"/>
      <c r="V217" s="746"/>
      <c r="W217" s="746"/>
      <c r="X217" s="746"/>
      <c r="Y217" s="746"/>
    </row>
    <row r="218" spans="3:25">
      <c r="C218" s="746"/>
      <c r="D218" s="746"/>
      <c r="E218" s="746"/>
      <c r="F218" s="746"/>
      <c r="G218" s="746"/>
      <c r="H218" s="746"/>
      <c r="I218" s="746"/>
      <c r="J218" s="746"/>
      <c r="K218" s="746"/>
      <c r="L218" s="746"/>
      <c r="M218" s="746"/>
      <c r="N218" s="746"/>
      <c r="O218" s="746"/>
      <c r="P218" s="746"/>
      <c r="Q218" s="746"/>
      <c r="R218" s="746"/>
      <c r="S218" s="746"/>
      <c r="T218" s="746"/>
      <c r="U218" s="746"/>
      <c r="V218" s="746"/>
      <c r="W218" s="746"/>
      <c r="X218" s="746"/>
      <c r="Y218" s="746"/>
    </row>
    <row r="219" spans="3:25">
      <c r="C219" s="746"/>
      <c r="D219" s="746"/>
      <c r="E219" s="746"/>
      <c r="F219" s="746"/>
      <c r="G219" s="746"/>
      <c r="H219" s="746"/>
      <c r="I219" s="746"/>
      <c r="J219" s="746"/>
      <c r="K219" s="746"/>
      <c r="L219" s="746"/>
      <c r="M219" s="746"/>
      <c r="N219" s="746"/>
      <c r="O219" s="746"/>
      <c r="P219" s="746"/>
      <c r="Q219" s="746"/>
      <c r="R219" s="746"/>
      <c r="S219" s="746"/>
      <c r="T219" s="746"/>
      <c r="U219" s="746"/>
      <c r="V219" s="746"/>
      <c r="W219" s="746"/>
      <c r="X219" s="746"/>
      <c r="Y219" s="746"/>
    </row>
    <row r="220" spans="3:25">
      <c r="C220" s="746"/>
      <c r="D220" s="746"/>
      <c r="E220" s="746"/>
      <c r="F220" s="746"/>
      <c r="G220" s="746"/>
      <c r="H220" s="746"/>
      <c r="I220" s="746"/>
      <c r="J220" s="746"/>
      <c r="K220" s="746"/>
      <c r="L220" s="746"/>
      <c r="M220" s="746"/>
      <c r="N220" s="746"/>
      <c r="O220" s="746"/>
      <c r="P220" s="746"/>
      <c r="Q220" s="746"/>
      <c r="R220" s="746"/>
      <c r="S220" s="746"/>
      <c r="T220" s="746"/>
      <c r="U220" s="746"/>
      <c r="V220" s="746"/>
      <c r="W220" s="746"/>
      <c r="X220" s="746"/>
      <c r="Y220" s="746"/>
    </row>
    <row r="221" spans="3:25">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row>
    <row r="222" spans="3:25">
      <c r="C222" s="746"/>
      <c r="D222" s="746"/>
      <c r="E222" s="746"/>
      <c r="F222" s="746"/>
      <c r="G222" s="746"/>
      <c r="H222" s="746"/>
      <c r="I222" s="746"/>
      <c r="J222" s="746"/>
      <c r="K222" s="746"/>
      <c r="L222" s="746"/>
      <c r="M222" s="746"/>
      <c r="N222" s="746"/>
      <c r="O222" s="746"/>
      <c r="P222" s="746"/>
      <c r="Q222" s="746"/>
      <c r="R222" s="746"/>
      <c r="S222" s="746"/>
      <c r="T222" s="746"/>
      <c r="U222" s="746"/>
      <c r="V222" s="746"/>
      <c r="W222" s="746"/>
      <c r="X222" s="746"/>
      <c r="Y222" s="746"/>
    </row>
    <row r="223" spans="3:25">
      <c r="C223" s="746"/>
      <c r="D223" s="746"/>
      <c r="E223" s="746"/>
      <c r="F223" s="746"/>
      <c r="G223" s="746"/>
      <c r="H223" s="746"/>
      <c r="I223" s="746"/>
      <c r="J223" s="746"/>
      <c r="K223" s="746"/>
      <c r="L223" s="746"/>
      <c r="M223" s="746"/>
      <c r="N223" s="746"/>
      <c r="O223" s="746"/>
      <c r="P223" s="746"/>
      <c r="Q223" s="746"/>
      <c r="R223" s="746"/>
      <c r="S223" s="746"/>
      <c r="T223" s="746"/>
      <c r="U223" s="746"/>
      <c r="V223" s="746"/>
      <c r="W223" s="746"/>
      <c r="X223" s="746"/>
      <c r="Y223" s="746"/>
    </row>
    <row r="224" spans="3:25">
      <c r="C224" s="746"/>
      <c r="D224" s="746"/>
      <c r="E224" s="746"/>
      <c r="F224" s="746"/>
      <c r="G224" s="746"/>
      <c r="H224" s="746"/>
      <c r="I224" s="746"/>
      <c r="J224" s="746"/>
      <c r="K224" s="746"/>
      <c r="L224" s="746"/>
      <c r="M224" s="746"/>
      <c r="N224" s="746"/>
      <c r="O224" s="746"/>
      <c r="P224" s="746"/>
      <c r="Q224" s="746"/>
      <c r="R224" s="746"/>
      <c r="S224" s="746"/>
      <c r="T224" s="746"/>
      <c r="U224" s="746"/>
      <c r="V224" s="746"/>
      <c r="W224" s="746"/>
      <c r="X224" s="746"/>
      <c r="Y224" s="746"/>
    </row>
    <row r="225" spans="3:25">
      <c r="C225" s="746"/>
      <c r="D225" s="746"/>
      <c r="E225" s="746"/>
      <c r="F225" s="746"/>
      <c r="G225" s="746"/>
      <c r="H225" s="746"/>
      <c r="I225" s="746"/>
      <c r="J225" s="746"/>
      <c r="K225" s="746"/>
      <c r="L225" s="746"/>
      <c r="M225" s="746"/>
      <c r="N225" s="746"/>
      <c r="O225" s="746"/>
      <c r="P225" s="746"/>
      <c r="Q225" s="746"/>
      <c r="R225" s="746"/>
      <c r="S225" s="746"/>
      <c r="T225" s="746"/>
      <c r="U225" s="746"/>
      <c r="V225" s="746"/>
      <c r="W225" s="746"/>
      <c r="X225" s="746"/>
      <c r="Y225" s="746"/>
    </row>
    <row r="226" spans="3:25">
      <c r="C226" s="746"/>
      <c r="D226" s="746"/>
      <c r="E226" s="746"/>
      <c r="F226" s="746"/>
      <c r="G226" s="746"/>
      <c r="H226" s="746"/>
      <c r="I226" s="746"/>
      <c r="J226" s="746"/>
      <c r="K226" s="746"/>
      <c r="L226" s="746"/>
      <c r="M226" s="746"/>
      <c r="N226" s="746"/>
      <c r="O226" s="746"/>
      <c r="P226" s="746"/>
      <c r="Q226" s="746"/>
      <c r="R226" s="746"/>
      <c r="S226" s="746"/>
      <c r="T226" s="746"/>
      <c r="U226" s="746"/>
      <c r="V226" s="746"/>
      <c r="W226" s="746"/>
      <c r="X226" s="746"/>
      <c r="Y226" s="746"/>
    </row>
    <row r="227" spans="3:25">
      <c r="C227" s="746"/>
      <c r="D227" s="746"/>
      <c r="E227" s="746"/>
      <c r="F227" s="746"/>
      <c r="G227" s="746"/>
      <c r="H227" s="746"/>
      <c r="I227" s="746"/>
      <c r="J227" s="746"/>
      <c r="K227" s="746"/>
      <c r="L227" s="746"/>
      <c r="M227" s="746"/>
      <c r="N227" s="746"/>
      <c r="O227" s="746"/>
      <c r="P227" s="746"/>
      <c r="Q227" s="746"/>
      <c r="R227" s="746"/>
      <c r="S227" s="746"/>
      <c r="T227" s="746"/>
      <c r="U227" s="746"/>
      <c r="V227" s="746"/>
      <c r="W227" s="746"/>
      <c r="X227" s="746"/>
      <c r="Y227" s="746"/>
    </row>
    <row r="228" spans="3:25">
      <c r="C228" s="746"/>
      <c r="D228" s="746"/>
      <c r="E228" s="746"/>
      <c r="F228" s="746"/>
      <c r="G228" s="746"/>
      <c r="H228" s="746"/>
      <c r="I228" s="746"/>
      <c r="J228" s="746"/>
      <c r="K228" s="746"/>
      <c r="L228" s="746"/>
      <c r="M228" s="746"/>
      <c r="N228" s="746"/>
      <c r="O228" s="746"/>
      <c r="P228" s="746"/>
      <c r="Q228" s="746"/>
      <c r="R228" s="746"/>
      <c r="S228" s="746"/>
      <c r="T228" s="746"/>
      <c r="U228" s="746"/>
      <c r="V228" s="746"/>
      <c r="W228" s="746"/>
      <c r="X228" s="746"/>
      <c r="Y228" s="746"/>
    </row>
    <row r="229" spans="3:25">
      <c r="C229" s="746"/>
      <c r="D229" s="746"/>
      <c r="E229" s="746"/>
      <c r="F229" s="746"/>
      <c r="G229" s="746"/>
      <c r="H229" s="746"/>
      <c r="I229" s="746"/>
      <c r="J229" s="746"/>
      <c r="K229" s="746"/>
      <c r="L229" s="746"/>
      <c r="M229" s="746"/>
      <c r="N229" s="746"/>
      <c r="O229" s="746"/>
      <c r="P229" s="746"/>
      <c r="Q229" s="746"/>
      <c r="R229" s="746"/>
      <c r="S229" s="746"/>
      <c r="T229" s="746"/>
      <c r="U229" s="746"/>
      <c r="V229" s="746"/>
      <c r="W229" s="746"/>
      <c r="X229" s="746"/>
      <c r="Y229" s="746"/>
    </row>
    <row r="230" spans="3:25">
      <c r="C230" s="746"/>
      <c r="D230" s="746"/>
      <c r="E230" s="746"/>
      <c r="F230" s="746"/>
      <c r="G230" s="746"/>
      <c r="H230" s="746"/>
      <c r="I230" s="746"/>
      <c r="J230" s="746"/>
      <c r="K230" s="746"/>
      <c r="L230" s="746"/>
      <c r="M230" s="746"/>
      <c r="N230" s="746"/>
      <c r="O230" s="746"/>
      <c r="P230" s="746"/>
      <c r="Q230" s="746"/>
      <c r="R230" s="746"/>
      <c r="S230" s="746"/>
      <c r="T230" s="746"/>
      <c r="U230" s="746"/>
      <c r="V230" s="746"/>
      <c r="W230" s="746"/>
      <c r="X230" s="746"/>
      <c r="Y230" s="746"/>
    </row>
    <row r="231" spans="3:25">
      <c r="C231" s="746"/>
      <c r="D231" s="746"/>
      <c r="E231" s="746"/>
      <c r="F231" s="746"/>
      <c r="G231" s="746"/>
      <c r="H231" s="746"/>
      <c r="I231" s="746"/>
      <c r="J231" s="746"/>
      <c r="K231" s="746"/>
      <c r="L231" s="746"/>
      <c r="M231" s="746"/>
      <c r="N231" s="746"/>
      <c r="O231" s="746"/>
      <c r="P231" s="746"/>
      <c r="Q231" s="746"/>
      <c r="R231" s="746"/>
      <c r="S231" s="746"/>
      <c r="T231" s="746"/>
      <c r="U231" s="746"/>
      <c r="V231" s="746"/>
      <c r="W231" s="746"/>
      <c r="X231" s="746"/>
      <c r="Y231" s="746"/>
    </row>
    <row r="232" spans="3:25">
      <c r="C232" s="746"/>
      <c r="D232" s="746"/>
      <c r="E232" s="746"/>
      <c r="F232" s="746"/>
      <c r="G232" s="746"/>
      <c r="H232" s="746"/>
      <c r="I232" s="746"/>
      <c r="J232" s="746"/>
      <c r="K232" s="746"/>
      <c r="L232" s="746"/>
      <c r="M232" s="746"/>
      <c r="N232" s="746"/>
      <c r="O232" s="746"/>
      <c r="P232" s="746"/>
      <c r="Q232" s="746"/>
      <c r="R232" s="746"/>
      <c r="S232" s="746"/>
      <c r="T232" s="746"/>
      <c r="U232" s="746"/>
      <c r="V232" s="746"/>
      <c r="W232" s="746"/>
      <c r="X232" s="746"/>
      <c r="Y232" s="746"/>
    </row>
    <row r="233" spans="3:25">
      <c r="C233" s="746"/>
      <c r="D233" s="746"/>
      <c r="E233" s="746"/>
      <c r="F233" s="746"/>
      <c r="G233" s="746"/>
      <c r="H233" s="746"/>
      <c r="I233" s="746"/>
      <c r="J233" s="746"/>
      <c r="K233" s="746"/>
      <c r="L233" s="746"/>
      <c r="M233" s="746"/>
      <c r="N233" s="746"/>
      <c r="O233" s="746"/>
      <c r="P233" s="746"/>
      <c r="Q233" s="746"/>
      <c r="R233" s="746"/>
      <c r="S233" s="746"/>
      <c r="T233" s="746"/>
      <c r="U233" s="746"/>
      <c r="V233" s="746"/>
      <c r="W233" s="746"/>
      <c r="X233" s="746"/>
      <c r="Y233" s="746"/>
    </row>
    <row r="234" spans="3:25">
      <c r="C234" s="746"/>
      <c r="D234" s="746"/>
      <c r="E234" s="746"/>
      <c r="F234" s="746"/>
      <c r="G234" s="746"/>
      <c r="H234" s="746"/>
      <c r="I234" s="746"/>
      <c r="J234" s="746"/>
      <c r="K234" s="746"/>
      <c r="L234" s="746"/>
      <c r="M234" s="746"/>
      <c r="N234" s="746"/>
      <c r="O234" s="746"/>
      <c r="P234" s="746"/>
      <c r="Q234" s="746"/>
      <c r="R234" s="746"/>
      <c r="S234" s="746"/>
      <c r="T234" s="746"/>
      <c r="U234" s="746"/>
      <c r="V234" s="746"/>
      <c r="W234" s="746"/>
      <c r="X234" s="746"/>
      <c r="Y234" s="746"/>
    </row>
    <row r="235" spans="3:25">
      <c r="C235" s="746"/>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row>
    <row r="236" spans="3:25">
      <c r="C236" s="746"/>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row>
    <row r="237" spans="3:25">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row>
    <row r="238" spans="3:25">
      <c r="C238" s="746"/>
      <c r="D238" s="746"/>
      <c r="E238" s="746"/>
      <c r="F238" s="746"/>
      <c r="G238" s="746"/>
      <c r="H238" s="746"/>
      <c r="I238" s="746"/>
      <c r="J238" s="746"/>
      <c r="K238" s="746"/>
      <c r="L238" s="746"/>
      <c r="M238" s="746"/>
      <c r="N238" s="746"/>
      <c r="O238" s="746"/>
      <c r="P238" s="746"/>
      <c r="Q238" s="746"/>
      <c r="R238" s="746"/>
      <c r="S238" s="746"/>
      <c r="T238" s="746"/>
      <c r="U238" s="746"/>
      <c r="V238" s="746"/>
      <c r="W238" s="746"/>
      <c r="X238" s="746"/>
      <c r="Y238" s="746"/>
    </row>
    <row r="239" spans="3:25">
      <c r="C239" s="746"/>
      <c r="D239" s="746"/>
      <c r="E239" s="746"/>
      <c r="F239" s="746"/>
      <c r="G239" s="746"/>
      <c r="H239" s="746"/>
      <c r="I239" s="746"/>
      <c r="J239" s="746"/>
      <c r="K239" s="746"/>
      <c r="L239" s="746"/>
      <c r="M239" s="746"/>
      <c r="N239" s="746"/>
      <c r="O239" s="746"/>
      <c r="P239" s="746"/>
      <c r="Q239" s="746"/>
      <c r="R239" s="746"/>
      <c r="S239" s="746"/>
      <c r="T239" s="746"/>
      <c r="U239" s="746"/>
      <c r="V239" s="746"/>
      <c r="W239" s="746"/>
      <c r="X239" s="746"/>
      <c r="Y239" s="746"/>
    </row>
    <row r="240" spans="3:25">
      <c r="C240" s="746"/>
      <c r="D240" s="746"/>
      <c r="E240" s="746"/>
      <c r="F240" s="746"/>
      <c r="G240" s="746"/>
      <c r="H240" s="746"/>
      <c r="I240" s="746"/>
      <c r="J240" s="746"/>
      <c r="K240" s="746"/>
      <c r="L240" s="746"/>
      <c r="M240" s="746"/>
      <c r="N240" s="746"/>
      <c r="O240" s="746"/>
      <c r="P240" s="746"/>
      <c r="Q240" s="746"/>
      <c r="R240" s="746"/>
      <c r="S240" s="746"/>
      <c r="T240" s="746"/>
      <c r="U240" s="746"/>
      <c r="V240" s="746"/>
      <c r="W240" s="746"/>
      <c r="X240" s="746"/>
      <c r="Y240" s="746"/>
    </row>
    <row r="241" spans="3:25">
      <c r="C241" s="746"/>
      <c r="D241" s="746"/>
      <c r="E241" s="746"/>
      <c r="F241" s="746"/>
      <c r="G241" s="746"/>
      <c r="H241" s="746"/>
      <c r="I241" s="746"/>
      <c r="J241" s="746"/>
      <c r="K241" s="746"/>
      <c r="L241" s="746"/>
      <c r="M241" s="746"/>
      <c r="N241" s="746"/>
      <c r="O241" s="746"/>
      <c r="P241" s="746"/>
      <c r="Q241" s="746"/>
      <c r="R241" s="746"/>
      <c r="S241" s="746"/>
      <c r="T241" s="746"/>
      <c r="U241" s="746"/>
      <c r="V241" s="746"/>
      <c r="W241" s="746"/>
      <c r="X241" s="746"/>
      <c r="Y241" s="746"/>
    </row>
    <row r="242" spans="3:25">
      <c r="C242" s="746"/>
      <c r="D242" s="746"/>
      <c r="E242" s="746"/>
      <c r="F242" s="746"/>
      <c r="G242" s="746"/>
      <c r="H242" s="746"/>
      <c r="I242" s="746"/>
      <c r="J242" s="746"/>
      <c r="K242" s="746"/>
      <c r="L242" s="746"/>
      <c r="M242" s="746"/>
      <c r="N242" s="746"/>
      <c r="O242" s="746"/>
      <c r="P242" s="746"/>
      <c r="Q242" s="746"/>
      <c r="R242" s="746"/>
      <c r="S242" s="746"/>
      <c r="T242" s="746"/>
      <c r="U242" s="746"/>
      <c r="V242" s="746"/>
      <c r="W242" s="746"/>
      <c r="X242" s="746"/>
      <c r="Y242" s="746"/>
    </row>
    <row r="243" spans="3:25">
      <c r="C243" s="746"/>
      <c r="D243" s="746"/>
      <c r="E243" s="746"/>
      <c r="F243" s="746"/>
      <c r="G243" s="746"/>
      <c r="H243" s="746"/>
      <c r="I243" s="746"/>
      <c r="J243" s="746"/>
      <c r="K243" s="746"/>
      <c r="L243" s="746"/>
      <c r="M243" s="746"/>
      <c r="N243" s="746"/>
      <c r="O243" s="746"/>
      <c r="P243" s="746"/>
      <c r="Q243" s="746"/>
      <c r="R243" s="746"/>
      <c r="S243" s="746"/>
      <c r="T243" s="746"/>
      <c r="U243" s="746"/>
      <c r="V243" s="746"/>
      <c r="W243" s="746"/>
      <c r="X243" s="746"/>
      <c r="Y243" s="746"/>
    </row>
    <row r="244" spans="3:25">
      <c r="C244" s="746"/>
      <c r="D244" s="746"/>
      <c r="E244" s="746"/>
      <c r="F244" s="746"/>
      <c r="G244" s="746"/>
      <c r="H244" s="746"/>
      <c r="I244" s="746"/>
      <c r="J244" s="746"/>
      <c r="K244" s="746"/>
      <c r="L244" s="746"/>
      <c r="M244" s="746"/>
      <c r="N244" s="746"/>
      <c r="O244" s="746"/>
      <c r="P244" s="746"/>
      <c r="Q244" s="746"/>
      <c r="R244" s="746"/>
      <c r="S244" s="746"/>
      <c r="T244" s="746"/>
      <c r="U244" s="746"/>
      <c r="V244" s="746"/>
      <c r="W244" s="746"/>
      <c r="X244" s="746"/>
      <c r="Y244" s="746"/>
    </row>
    <row r="245" spans="3:25">
      <c r="C245" s="746"/>
      <c r="D245" s="746"/>
      <c r="E245" s="746"/>
      <c r="F245" s="746"/>
      <c r="G245" s="746"/>
      <c r="H245" s="746"/>
      <c r="I245" s="746"/>
      <c r="J245" s="746"/>
      <c r="K245" s="746"/>
      <c r="L245" s="746"/>
      <c r="M245" s="746"/>
      <c r="N245" s="746"/>
      <c r="O245" s="746"/>
      <c r="P245" s="746"/>
      <c r="Q245" s="746"/>
      <c r="R245" s="746"/>
      <c r="S245" s="746"/>
      <c r="T245" s="746"/>
      <c r="U245" s="746"/>
      <c r="V245" s="746"/>
      <c r="W245" s="746"/>
      <c r="X245" s="746"/>
      <c r="Y245" s="746"/>
    </row>
    <row r="246" spans="3:25">
      <c r="C246" s="746"/>
      <c r="D246" s="746"/>
      <c r="E246" s="746"/>
      <c r="F246" s="746"/>
      <c r="G246" s="746"/>
      <c r="H246" s="746"/>
      <c r="I246" s="746"/>
      <c r="J246" s="746"/>
      <c r="K246" s="746"/>
      <c r="L246" s="746"/>
      <c r="M246" s="746"/>
      <c r="N246" s="746"/>
      <c r="O246" s="746"/>
      <c r="P246" s="746"/>
      <c r="Q246" s="746"/>
      <c r="R246" s="746"/>
      <c r="S246" s="746"/>
      <c r="T246" s="746"/>
      <c r="U246" s="746"/>
      <c r="V246" s="746"/>
      <c r="W246" s="746"/>
      <c r="X246" s="746"/>
      <c r="Y246" s="746"/>
    </row>
    <row r="247" spans="3:25">
      <c r="C247" s="746"/>
      <c r="D247" s="746"/>
      <c r="E247" s="746"/>
      <c r="F247" s="746"/>
      <c r="G247" s="746"/>
      <c r="H247" s="746"/>
      <c r="I247" s="746"/>
      <c r="J247" s="746"/>
      <c r="K247" s="746"/>
      <c r="L247" s="746"/>
      <c r="M247" s="746"/>
      <c r="N247" s="746"/>
      <c r="O247" s="746"/>
      <c r="P247" s="746"/>
      <c r="Q247" s="746"/>
      <c r="R247" s="746"/>
      <c r="S247" s="746"/>
      <c r="T247" s="746"/>
      <c r="U247" s="746"/>
      <c r="V247" s="746"/>
      <c r="W247" s="746"/>
      <c r="X247" s="746"/>
      <c r="Y247" s="746"/>
    </row>
    <row r="248" spans="3:25">
      <c r="C248" s="746"/>
      <c r="D248" s="746"/>
      <c r="E248" s="746"/>
      <c r="F248" s="746"/>
      <c r="G248" s="746"/>
      <c r="H248" s="746"/>
      <c r="I248" s="746"/>
      <c r="J248" s="746"/>
      <c r="K248" s="746"/>
      <c r="L248" s="746"/>
      <c r="M248" s="746"/>
      <c r="N248" s="746"/>
      <c r="O248" s="746"/>
      <c r="P248" s="746"/>
      <c r="Q248" s="746"/>
      <c r="R248" s="746"/>
      <c r="S248" s="746"/>
      <c r="T248" s="746"/>
      <c r="U248" s="746"/>
      <c r="V248" s="746"/>
      <c r="W248" s="746"/>
      <c r="X248" s="746"/>
      <c r="Y248" s="746"/>
    </row>
    <row r="249" spans="3:25">
      <c r="C249" s="746"/>
      <c r="D249" s="746"/>
      <c r="E249" s="746"/>
      <c r="F249" s="746"/>
      <c r="G249" s="746"/>
      <c r="H249" s="746"/>
      <c r="I249" s="746"/>
      <c r="J249" s="746"/>
      <c r="K249" s="746"/>
      <c r="L249" s="746"/>
      <c r="M249" s="746"/>
      <c r="N249" s="746"/>
      <c r="O249" s="746"/>
      <c r="P249" s="746"/>
      <c r="Q249" s="746"/>
      <c r="R249" s="746"/>
      <c r="S249" s="746"/>
      <c r="T249" s="746"/>
      <c r="U249" s="746"/>
      <c r="V249" s="746"/>
      <c r="W249" s="746"/>
      <c r="X249" s="746"/>
      <c r="Y249" s="746"/>
    </row>
    <row r="250" spans="3:25">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row>
    <row r="251" spans="3:25">
      <c r="C251" s="746"/>
      <c r="D251" s="746"/>
      <c r="E251" s="746"/>
      <c r="F251" s="746"/>
      <c r="G251" s="746"/>
      <c r="H251" s="746"/>
      <c r="I251" s="746"/>
      <c r="J251" s="746"/>
      <c r="K251" s="746"/>
      <c r="L251" s="746"/>
      <c r="M251" s="746"/>
      <c r="N251" s="746"/>
      <c r="O251" s="746"/>
      <c r="P251" s="746"/>
      <c r="Q251" s="746"/>
      <c r="R251" s="746"/>
      <c r="S251" s="746"/>
      <c r="T251" s="746"/>
      <c r="U251" s="746"/>
      <c r="V251" s="746"/>
      <c r="W251" s="746"/>
      <c r="X251" s="746"/>
      <c r="Y251" s="746"/>
    </row>
    <row r="252" spans="3:25">
      <c r="C252" s="746"/>
      <c r="D252" s="746"/>
      <c r="E252" s="746"/>
      <c r="F252" s="746"/>
      <c r="G252" s="746"/>
      <c r="H252" s="746"/>
      <c r="I252" s="746"/>
      <c r="J252" s="746"/>
      <c r="K252" s="746"/>
      <c r="L252" s="746"/>
      <c r="M252" s="746"/>
      <c r="N252" s="746"/>
      <c r="O252" s="746"/>
      <c r="P252" s="746"/>
      <c r="Q252" s="746"/>
      <c r="R252" s="746"/>
      <c r="S252" s="746"/>
      <c r="T252" s="746"/>
      <c r="U252" s="746"/>
      <c r="V252" s="746"/>
      <c r="W252" s="746"/>
      <c r="X252" s="746"/>
      <c r="Y252" s="746"/>
    </row>
    <row r="253" spans="3:25">
      <c r="C253" s="746"/>
      <c r="D253" s="746"/>
      <c r="E253" s="746"/>
      <c r="F253" s="746"/>
      <c r="G253" s="746"/>
      <c r="H253" s="746"/>
      <c r="I253" s="746"/>
      <c r="J253" s="746"/>
      <c r="K253" s="746"/>
      <c r="L253" s="746"/>
      <c r="M253" s="746"/>
      <c r="N253" s="746"/>
      <c r="O253" s="746"/>
      <c r="P253" s="746"/>
      <c r="Q253" s="746"/>
      <c r="R253" s="746"/>
      <c r="S253" s="746"/>
      <c r="T253" s="746"/>
      <c r="U253" s="746"/>
      <c r="V253" s="746"/>
      <c r="W253" s="746"/>
      <c r="X253" s="746"/>
      <c r="Y253" s="746"/>
    </row>
    <row r="254" spans="3:25">
      <c r="C254" s="746"/>
      <c r="D254" s="746"/>
      <c r="E254" s="746"/>
      <c r="F254" s="746"/>
      <c r="G254" s="746"/>
      <c r="H254" s="746"/>
      <c r="I254" s="746"/>
      <c r="J254" s="746"/>
      <c r="K254" s="746"/>
      <c r="L254" s="746"/>
      <c r="M254" s="746"/>
      <c r="N254" s="746"/>
      <c r="O254" s="746"/>
      <c r="P254" s="746"/>
      <c r="Q254" s="746"/>
      <c r="R254" s="746"/>
      <c r="S254" s="746"/>
      <c r="T254" s="746"/>
      <c r="U254" s="746"/>
      <c r="V254" s="746"/>
      <c r="W254" s="746"/>
      <c r="X254" s="746"/>
      <c r="Y254" s="746"/>
    </row>
    <row r="255" spans="3:25">
      <c r="C255" s="746"/>
      <c r="D255" s="746"/>
      <c r="E255" s="746"/>
      <c r="F255" s="746"/>
      <c r="G255" s="746"/>
      <c r="H255" s="746"/>
      <c r="I255" s="746"/>
      <c r="J255" s="746"/>
      <c r="K255" s="746"/>
      <c r="L255" s="746"/>
      <c r="M255" s="746"/>
      <c r="N255" s="746"/>
      <c r="O255" s="746"/>
      <c r="P255" s="746"/>
      <c r="Q255" s="746"/>
      <c r="R255" s="746"/>
      <c r="S255" s="746"/>
      <c r="T255" s="746"/>
      <c r="U255" s="746"/>
      <c r="V255" s="746"/>
      <c r="W255" s="746"/>
      <c r="X255" s="746"/>
      <c r="Y255" s="746"/>
    </row>
    <row r="256" spans="3:25">
      <c r="C256" s="746"/>
      <c r="D256" s="746"/>
      <c r="E256" s="746"/>
      <c r="F256" s="746"/>
      <c r="G256" s="746"/>
      <c r="H256" s="746"/>
      <c r="I256" s="746"/>
      <c r="J256" s="746"/>
      <c r="K256" s="746"/>
      <c r="L256" s="746"/>
      <c r="M256" s="746"/>
      <c r="N256" s="746"/>
      <c r="O256" s="746"/>
      <c r="P256" s="746"/>
      <c r="Q256" s="746"/>
      <c r="R256" s="746"/>
      <c r="S256" s="746"/>
      <c r="T256" s="746"/>
      <c r="U256" s="746"/>
      <c r="V256" s="746"/>
      <c r="W256" s="746"/>
      <c r="X256" s="746"/>
      <c r="Y256" s="746"/>
    </row>
    <row r="257" spans="3:25">
      <c r="C257" s="746"/>
      <c r="D257" s="746"/>
      <c r="E257" s="746"/>
      <c r="F257" s="746"/>
      <c r="G257" s="746"/>
      <c r="H257" s="746"/>
      <c r="I257" s="746"/>
      <c r="J257" s="746"/>
      <c r="K257" s="746"/>
      <c r="L257" s="746"/>
      <c r="M257" s="746"/>
      <c r="N257" s="746"/>
      <c r="O257" s="746"/>
      <c r="P257" s="746"/>
      <c r="Q257" s="746"/>
      <c r="R257" s="746"/>
      <c r="S257" s="746"/>
      <c r="T257" s="746"/>
      <c r="U257" s="746"/>
      <c r="V257" s="746"/>
      <c r="W257" s="746"/>
      <c r="X257" s="746"/>
      <c r="Y257" s="746"/>
    </row>
    <row r="258" spans="3:25">
      <c r="C258" s="746"/>
      <c r="D258" s="746"/>
      <c r="E258" s="746"/>
      <c r="F258" s="746"/>
      <c r="G258" s="746"/>
      <c r="H258" s="746"/>
      <c r="I258" s="746"/>
      <c r="J258" s="746"/>
      <c r="K258" s="746"/>
      <c r="L258" s="746"/>
      <c r="M258" s="746"/>
      <c r="N258" s="746"/>
      <c r="O258" s="746"/>
      <c r="P258" s="746"/>
      <c r="Q258" s="746"/>
      <c r="R258" s="746"/>
      <c r="S258" s="746"/>
      <c r="T258" s="746"/>
      <c r="U258" s="746"/>
      <c r="V258" s="746"/>
      <c r="W258" s="746"/>
      <c r="X258" s="746"/>
      <c r="Y258" s="746"/>
    </row>
    <row r="259" spans="3:25">
      <c r="C259" s="746"/>
      <c r="D259" s="746"/>
      <c r="E259" s="746"/>
      <c r="F259" s="746"/>
      <c r="G259" s="746"/>
      <c r="H259" s="746"/>
      <c r="I259" s="746"/>
      <c r="J259" s="746"/>
      <c r="K259" s="746"/>
      <c r="L259" s="746"/>
      <c r="M259" s="746"/>
      <c r="N259" s="746"/>
      <c r="O259" s="746"/>
      <c r="P259" s="746"/>
      <c r="Q259" s="746"/>
      <c r="R259" s="746"/>
      <c r="S259" s="746"/>
      <c r="T259" s="746"/>
      <c r="U259" s="746"/>
      <c r="V259" s="746"/>
      <c r="W259" s="746"/>
      <c r="X259" s="746"/>
      <c r="Y259" s="746"/>
    </row>
    <row r="260" spans="3:25">
      <c r="C260" s="746"/>
      <c r="D260" s="746"/>
      <c r="E260" s="746"/>
      <c r="F260" s="746"/>
      <c r="G260" s="746"/>
      <c r="H260" s="746"/>
      <c r="I260" s="746"/>
      <c r="J260" s="746"/>
      <c r="K260" s="746"/>
      <c r="L260" s="746"/>
      <c r="M260" s="746"/>
      <c r="N260" s="746"/>
      <c r="O260" s="746"/>
      <c r="P260" s="746"/>
      <c r="Q260" s="746"/>
      <c r="R260" s="746"/>
      <c r="S260" s="746"/>
      <c r="T260" s="746"/>
      <c r="U260" s="746"/>
      <c r="V260" s="746"/>
      <c r="W260" s="746"/>
      <c r="X260" s="746"/>
      <c r="Y260" s="746"/>
    </row>
    <row r="261" spans="3:25">
      <c r="C261" s="746"/>
      <c r="D261" s="746"/>
      <c r="E261" s="746"/>
      <c r="F261" s="746"/>
      <c r="G261" s="746"/>
      <c r="H261" s="746"/>
      <c r="I261" s="746"/>
      <c r="J261" s="746"/>
      <c r="K261" s="746"/>
      <c r="L261" s="746"/>
      <c r="M261" s="746"/>
      <c r="N261" s="746"/>
      <c r="O261" s="746"/>
      <c r="P261" s="746"/>
      <c r="Q261" s="746"/>
      <c r="R261" s="746"/>
      <c r="S261" s="746"/>
      <c r="T261" s="746"/>
      <c r="U261" s="746"/>
      <c r="V261" s="746"/>
      <c r="W261" s="746"/>
      <c r="X261" s="746"/>
      <c r="Y261" s="746"/>
    </row>
    <row r="262" spans="3:25">
      <c r="C262" s="746"/>
      <c r="D262" s="746"/>
      <c r="E262" s="746"/>
      <c r="F262" s="746"/>
      <c r="G262" s="746"/>
      <c r="H262" s="746"/>
      <c r="I262" s="746"/>
      <c r="J262" s="746"/>
      <c r="K262" s="746"/>
      <c r="L262" s="746"/>
      <c r="M262" s="746"/>
      <c r="N262" s="746"/>
      <c r="O262" s="746"/>
      <c r="P262" s="746"/>
      <c r="Q262" s="746"/>
      <c r="R262" s="746"/>
      <c r="S262" s="746"/>
      <c r="T262" s="746"/>
      <c r="U262" s="746"/>
      <c r="V262" s="746"/>
      <c r="W262" s="746"/>
      <c r="X262" s="746"/>
      <c r="Y262" s="746"/>
    </row>
    <row r="263" spans="3:25">
      <c r="C263" s="746"/>
      <c r="D263" s="746"/>
      <c r="E263" s="746"/>
      <c r="F263" s="746"/>
      <c r="G263" s="746"/>
      <c r="H263" s="746"/>
      <c r="I263" s="746"/>
      <c r="J263" s="746"/>
      <c r="K263" s="746"/>
      <c r="L263" s="746"/>
      <c r="M263" s="746"/>
      <c r="N263" s="746"/>
      <c r="O263" s="746"/>
      <c r="P263" s="746"/>
      <c r="Q263" s="746"/>
      <c r="R263" s="746"/>
      <c r="S263" s="746"/>
      <c r="T263" s="746"/>
      <c r="U263" s="746"/>
      <c r="V263" s="746"/>
      <c r="W263" s="746"/>
      <c r="X263" s="746"/>
      <c r="Y263" s="746"/>
    </row>
    <row r="264" spans="3:25">
      <c r="C264" s="746"/>
      <c r="D264" s="746"/>
      <c r="E264" s="746"/>
      <c r="F264" s="746"/>
      <c r="G264" s="746"/>
      <c r="H264" s="746"/>
      <c r="I264" s="746"/>
      <c r="J264" s="746"/>
      <c r="K264" s="746"/>
      <c r="L264" s="746"/>
      <c r="M264" s="746"/>
      <c r="N264" s="746"/>
      <c r="O264" s="746"/>
      <c r="P264" s="746"/>
      <c r="Q264" s="746"/>
      <c r="R264" s="746"/>
      <c r="S264" s="746"/>
      <c r="T264" s="746"/>
      <c r="U264" s="746"/>
      <c r="V264" s="746"/>
      <c r="W264" s="746"/>
      <c r="X264" s="746"/>
      <c r="Y264" s="746"/>
    </row>
    <row r="265" spans="3:25">
      <c r="C265" s="746"/>
      <c r="D265" s="746"/>
      <c r="E265" s="746"/>
      <c r="F265" s="746"/>
      <c r="G265" s="746"/>
      <c r="H265" s="746"/>
      <c r="I265" s="746"/>
      <c r="J265" s="746"/>
      <c r="K265" s="746"/>
      <c r="L265" s="746"/>
      <c r="M265" s="746"/>
      <c r="N265" s="746"/>
      <c r="O265" s="746"/>
      <c r="P265" s="746"/>
      <c r="Q265" s="746"/>
      <c r="R265" s="746"/>
      <c r="S265" s="746"/>
      <c r="T265" s="746"/>
      <c r="U265" s="746"/>
      <c r="V265" s="746"/>
      <c r="W265" s="746"/>
      <c r="X265" s="746"/>
      <c r="Y265" s="746"/>
    </row>
    <row r="266" spans="3:25">
      <c r="C266" s="746"/>
      <c r="D266" s="746"/>
      <c r="E266" s="746"/>
      <c r="F266" s="746"/>
      <c r="G266" s="746"/>
      <c r="H266" s="746"/>
      <c r="I266" s="746"/>
      <c r="J266" s="746"/>
      <c r="K266" s="746"/>
      <c r="L266" s="746"/>
      <c r="M266" s="746"/>
      <c r="N266" s="746"/>
      <c r="O266" s="746"/>
      <c r="P266" s="746"/>
      <c r="Q266" s="746"/>
      <c r="R266" s="746"/>
      <c r="S266" s="746"/>
      <c r="T266" s="746"/>
      <c r="U266" s="746"/>
      <c r="V266" s="746"/>
      <c r="W266" s="746"/>
      <c r="X266" s="746"/>
      <c r="Y266" s="746"/>
    </row>
    <row r="267" spans="3:25">
      <c r="C267" s="746"/>
      <c r="D267" s="746"/>
      <c r="E267" s="746"/>
      <c r="F267" s="746"/>
      <c r="G267" s="746"/>
      <c r="H267" s="746"/>
      <c r="I267" s="746"/>
      <c r="J267" s="746"/>
      <c r="K267" s="746"/>
      <c r="L267" s="746"/>
      <c r="M267" s="746"/>
      <c r="N267" s="746"/>
      <c r="O267" s="746"/>
      <c r="P267" s="746"/>
      <c r="Q267" s="746"/>
      <c r="R267" s="746"/>
      <c r="S267" s="746"/>
      <c r="T267" s="746"/>
      <c r="U267" s="746"/>
      <c r="V267" s="746"/>
      <c r="W267" s="746"/>
      <c r="X267" s="746"/>
      <c r="Y267" s="746"/>
    </row>
    <row r="268" spans="3:25">
      <c r="C268" s="746"/>
      <c r="D268" s="746"/>
      <c r="E268" s="746"/>
      <c r="F268" s="746"/>
      <c r="G268" s="746"/>
      <c r="H268" s="746"/>
      <c r="I268" s="746"/>
      <c r="J268" s="746"/>
      <c r="K268" s="746"/>
      <c r="L268" s="746"/>
      <c r="M268" s="746"/>
      <c r="N268" s="746"/>
      <c r="O268" s="746"/>
      <c r="P268" s="746"/>
      <c r="Q268" s="746"/>
      <c r="R268" s="746"/>
      <c r="S268" s="746"/>
      <c r="T268" s="746"/>
      <c r="U268" s="746"/>
      <c r="V268" s="746"/>
      <c r="W268" s="746"/>
      <c r="X268" s="746"/>
      <c r="Y268" s="746"/>
    </row>
    <row r="269" spans="3:25">
      <c r="C269" s="746"/>
      <c r="D269" s="746"/>
      <c r="E269" s="746"/>
      <c r="F269" s="746"/>
      <c r="G269" s="746"/>
      <c r="H269" s="746"/>
      <c r="I269" s="746"/>
      <c r="J269" s="746"/>
      <c r="K269" s="746"/>
      <c r="L269" s="746"/>
      <c r="M269" s="746"/>
      <c r="N269" s="746"/>
      <c r="O269" s="746"/>
      <c r="P269" s="746"/>
      <c r="Q269" s="746"/>
      <c r="R269" s="746"/>
      <c r="S269" s="746"/>
      <c r="T269" s="746"/>
      <c r="U269" s="746"/>
      <c r="V269" s="746"/>
      <c r="W269" s="746"/>
      <c r="X269" s="746"/>
      <c r="Y269" s="746"/>
    </row>
    <row r="270" spans="3:25">
      <c r="C270" s="746"/>
      <c r="D270" s="746"/>
      <c r="E270" s="746"/>
      <c r="F270" s="746"/>
      <c r="G270" s="746"/>
      <c r="H270" s="746"/>
      <c r="I270" s="746"/>
      <c r="J270" s="746"/>
      <c r="K270" s="746"/>
      <c r="L270" s="746"/>
      <c r="M270" s="746"/>
      <c r="N270" s="746"/>
      <c r="O270" s="746"/>
      <c r="P270" s="746"/>
      <c r="Q270" s="746"/>
      <c r="R270" s="746"/>
      <c r="S270" s="746"/>
      <c r="T270" s="746"/>
      <c r="U270" s="746"/>
      <c r="V270" s="746"/>
      <c r="W270" s="746"/>
      <c r="X270" s="746"/>
      <c r="Y270" s="746"/>
    </row>
    <row r="271" spans="3:25">
      <c r="C271" s="746"/>
      <c r="D271" s="746"/>
      <c r="E271" s="746"/>
      <c r="F271" s="746"/>
      <c r="G271" s="746"/>
      <c r="H271" s="746"/>
      <c r="I271" s="746"/>
      <c r="J271" s="746"/>
      <c r="K271" s="746"/>
      <c r="L271" s="746"/>
      <c r="M271" s="746"/>
      <c r="N271" s="746"/>
      <c r="O271" s="746"/>
      <c r="P271" s="746"/>
      <c r="Q271" s="746"/>
      <c r="R271" s="746"/>
      <c r="S271" s="746"/>
      <c r="T271" s="746"/>
      <c r="U271" s="746"/>
      <c r="V271" s="746"/>
      <c r="W271" s="746"/>
      <c r="X271" s="746"/>
      <c r="Y271" s="746"/>
    </row>
    <row r="272" spans="3:25">
      <c r="C272" s="746"/>
      <c r="D272" s="746"/>
      <c r="E272" s="746"/>
      <c r="F272" s="746"/>
      <c r="G272" s="746"/>
      <c r="H272" s="746"/>
      <c r="I272" s="746"/>
      <c r="J272" s="746"/>
      <c r="K272" s="746"/>
      <c r="L272" s="746"/>
      <c r="M272" s="746"/>
      <c r="N272" s="746"/>
      <c r="O272" s="746"/>
      <c r="P272" s="746"/>
      <c r="Q272" s="746"/>
      <c r="R272" s="746"/>
      <c r="S272" s="746"/>
      <c r="T272" s="746"/>
      <c r="U272" s="746"/>
      <c r="V272" s="746"/>
      <c r="W272" s="746"/>
      <c r="X272" s="746"/>
      <c r="Y272" s="746"/>
    </row>
    <row r="273" spans="3:25">
      <c r="C273" s="746"/>
      <c r="D273" s="746"/>
      <c r="E273" s="746"/>
      <c r="F273" s="746"/>
      <c r="G273" s="746"/>
      <c r="H273" s="746"/>
      <c r="I273" s="746"/>
      <c r="J273" s="746"/>
      <c r="K273" s="746"/>
      <c r="L273" s="746"/>
      <c r="M273" s="746"/>
      <c r="N273" s="746"/>
      <c r="O273" s="746"/>
      <c r="P273" s="746"/>
      <c r="Q273" s="746"/>
      <c r="R273" s="746"/>
      <c r="S273" s="746"/>
      <c r="T273" s="746"/>
      <c r="U273" s="746"/>
      <c r="V273" s="746"/>
      <c r="W273" s="746"/>
      <c r="X273" s="746"/>
      <c r="Y273" s="746"/>
    </row>
    <row r="274" spans="3:25">
      <c r="C274" s="746"/>
      <c r="D274" s="746"/>
      <c r="E274" s="746"/>
      <c r="F274" s="746"/>
      <c r="G274" s="746"/>
      <c r="H274" s="746"/>
      <c r="I274" s="746"/>
      <c r="J274" s="746"/>
      <c r="K274" s="746"/>
      <c r="L274" s="746"/>
      <c r="M274" s="746"/>
      <c r="N274" s="746"/>
      <c r="O274" s="746"/>
      <c r="P274" s="746"/>
      <c r="Q274" s="746"/>
      <c r="R274" s="746"/>
      <c r="S274" s="746"/>
      <c r="T274" s="746"/>
      <c r="U274" s="746"/>
      <c r="V274" s="746"/>
      <c r="W274" s="746"/>
      <c r="X274" s="746"/>
      <c r="Y274" s="746"/>
    </row>
    <row r="275" spans="3:25">
      <c r="C275" s="746"/>
      <c r="D275" s="746"/>
      <c r="E275" s="746"/>
      <c r="F275" s="746"/>
      <c r="G275" s="746"/>
      <c r="H275" s="746"/>
      <c r="I275" s="746"/>
      <c r="J275" s="746"/>
      <c r="K275" s="746"/>
      <c r="L275" s="746"/>
      <c r="M275" s="746"/>
      <c r="N275" s="746"/>
      <c r="O275" s="746"/>
      <c r="P275" s="746"/>
      <c r="Q275" s="746"/>
      <c r="R275" s="746"/>
      <c r="S275" s="746"/>
      <c r="T275" s="746"/>
      <c r="U275" s="746"/>
      <c r="V275" s="746"/>
      <c r="W275" s="746"/>
      <c r="X275" s="746"/>
      <c r="Y275" s="746"/>
    </row>
    <row r="276" spans="3:25">
      <c r="C276" s="746"/>
      <c r="D276" s="746"/>
      <c r="E276" s="746"/>
      <c r="F276" s="746"/>
      <c r="G276" s="746"/>
      <c r="H276" s="746"/>
      <c r="I276" s="746"/>
      <c r="J276" s="746"/>
      <c r="K276" s="746"/>
      <c r="L276" s="746"/>
      <c r="M276" s="746"/>
      <c r="N276" s="746"/>
      <c r="O276" s="746"/>
      <c r="P276" s="746"/>
      <c r="Q276" s="746"/>
      <c r="R276" s="746"/>
      <c r="S276" s="746"/>
      <c r="T276" s="746"/>
      <c r="U276" s="746"/>
      <c r="V276" s="746"/>
      <c r="W276" s="746"/>
      <c r="X276" s="746"/>
      <c r="Y276" s="746"/>
    </row>
    <row r="277" spans="3:25">
      <c r="C277" s="746"/>
      <c r="D277" s="746"/>
      <c r="E277" s="746"/>
      <c r="F277" s="746"/>
      <c r="G277" s="746"/>
      <c r="H277" s="746"/>
      <c r="I277" s="746"/>
      <c r="J277" s="746"/>
      <c r="K277" s="746"/>
      <c r="L277" s="746"/>
      <c r="M277" s="746"/>
      <c r="N277" s="746"/>
      <c r="O277" s="746"/>
      <c r="P277" s="746"/>
      <c r="Q277" s="746"/>
      <c r="R277" s="746"/>
      <c r="S277" s="746"/>
      <c r="T277" s="746"/>
      <c r="U277" s="746"/>
      <c r="V277" s="746"/>
      <c r="W277" s="746"/>
      <c r="X277" s="746"/>
      <c r="Y277" s="746"/>
    </row>
    <row r="278" spans="3:25">
      <c r="C278" s="746"/>
      <c r="D278" s="746"/>
      <c r="E278" s="746"/>
      <c r="F278" s="746"/>
      <c r="G278" s="746"/>
      <c r="H278" s="746"/>
      <c r="I278" s="746"/>
      <c r="J278" s="746"/>
      <c r="K278" s="746"/>
      <c r="L278" s="746"/>
      <c r="M278" s="746"/>
      <c r="N278" s="746"/>
      <c r="O278" s="746"/>
      <c r="P278" s="746"/>
      <c r="Q278" s="746"/>
      <c r="R278" s="746"/>
      <c r="S278" s="746"/>
      <c r="T278" s="746"/>
      <c r="U278" s="746"/>
      <c r="V278" s="746"/>
      <c r="W278" s="746"/>
      <c r="X278" s="746"/>
      <c r="Y278" s="746"/>
    </row>
    <row r="279" spans="3:25">
      <c r="C279" s="746"/>
      <c r="D279" s="746"/>
      <c r="E279" s="746"/>
      <c r="F279" s="746"/>
      <c r="G279" s="746"/>
      <c r="H279" s="746"/>
      <c r="I279" s="746"/>
      <c r="J279" s="746"/>
      <c r="K279" s="746"/>
      <c r="L279" s="746"/>
      <c r="M279" s="746"/>
      <c r="N279" s="746"/>
      <c r="O279" s="746"/>
      <c r="P279" s="746"/>
      <c r="Q279" s="746"/>
      <c r="R279" s="746"/>
      <c r="S279" s="746"/>
      <c r="T279" s="746"/>
      <c r="U279" s="746"/>
      <c r="V279" s="746"/>
      <c r="W279" s="746"/>
      <c r="X279" s="746"/>
      <c r="Y279" s="746"/>
    </row>
    <row r="280" spans="3:25">
      <c r="C280" s="746"/>
      <c r="D280" s="746"/>
      <c r="E280" s="746"/>
      <c r="F280" s="746"/>
      <c r="G280" s="746"/>
      <c r="H280" s="746"/>
      <c r="I280" s="746"/>
      <c r="J280" s="746"/>
      <c r="K280" s="746"/>
      <c r="L280" s="746"/>
      <c r="M280" s="746"/>
      <c r="N280" s="746"/>
      <c r="O280" s="746"/>
      <c r="P280" s="746"/>
      <c r="Q280" s="746"/>
      <c r="R280" s="746"/>
      <c r="S280" s="746"/>
      <c r="T280" s="746"/>
      <c r="U280" s="746"/>
      <c r="V280" s="746"/>
      <c r="W280" s="746"/>
      <c r="X280" s="746"/>
      <c r="Y280" s="746"/>
    </row>
    <row r="281" spans="3:25">
      <c r="C281" s="746"/>
      <c r="D281" s="746"/>
      <c r="E281" s="746"/>
      <c r="F281" s="746"/>
      <c r="G281" s="746"/>
      <c r="H281" s="746"/>
      <c r="I281" s="746"/>
      <c r="J281" s="746"/>
      <c r="K281" s="746"/>
      <c r="L281" s="746"/>
      <c r="M281" s="746"/>
      <c r="N281" s="746"/>
      <c r="O281" s="746"/>
      <c r="P281" s="746"/>
      <c r="Q281" s="746"/>
      <c r="R281" s="746"/>
      <c r="S281" s="746"/>
      <c r="T281" s="746"/>
      <c r="U281" s="746"/>
      <c r="V281" s="746"/>
      <c r="W281" s="746"/>
      <c r="X281" s="746"/>
      <c r="Y281" s="746"/>
    </row>
    <row r="282" spans="3:25">
      <c r="C282" s="746"/>
      <c r="D282" s="746"/>
      <c r="E282" s="746"/>
      <c r="F282" s="746"/>
      <c r="G282" s="746"/>
      <c r="H282" s="746"/>
      <c r="I282" s="746"/>
      <c r="J282" s="746"/>
      <c r="K282" s="746"/>
      <c r="L282" s="746"/>
      <c r="M282" s="746"/>
      <c r="N282" s="746"/>
      <c r="O282" s="746"/>
      <c r="P282" s="746"/>
      <c r="Q282" s="746"/>
      <c r="R282" s="746"/>
      <c r="S282" s="746"/>
      <c r="T282" s="746"/>
      <c r="U282" s="746"/>
      <c r="V282" s="746"/>
      <c r="W282" s="746"/>
      <c r="X282" s="746"/>
      <c r="Y282" s="746"/>
    </row>
    <row r="283" spans="3:25">
      <c r="C283" s="746"/>
      <c r="D283" s="746"/>
      <c r="E283" s="746"/>
      <c r="F283" s="746"/>
      <c r="G283" s="746"/>
      <c r="H283" s="746"/>
      <c r="I283" s="746"/>
      <c r="J283" s="746"/>
      <c r="K283" s="746"/>
      <c r="L283" s="746"/>
      <c r="M283" s="746"/>
      <c r="N283" s="746"/>
      <c r="O283" s="746"/>
      <c r="P283" s="746"/>
      <c r="Q283" s="746"/>
      <c r="R283" s="746"/>
      <c r="S283" s="746"/>
      <c r="T283" s="746"/>
      <c r="U283" s="746"/>
      <c r="V283" s="746"/>
      <c r="W283" s="746"/>
      <c r="X283" s="746"/>
      <c r="Y283" s="746"/>
    </row>
    <row r="284" spans="3:25">
      <c r="C284" s="746"/>
      <c r="D284" s="746"/>
      <c r="E284" s="746"/>
      <c r="F284" s="746"/>
      <c r="G284" s="746"/>
      <c r="H284" s="746"/>
      <c r="I284" s="746"/>
      <c r="J284" s="746"/>
      <c r="K284" s="746"/>
      <c r="L284" s="746"/>
      <c r="M284" s="746"/>
      <c r="N284" s="746"/>
      <c r="O284" s="746"/>
      <c r="P284" s="746"/>
      <c r="Q284" s="746"/>
      <c r="R284" s="746"/>
      <c r="S284" s="746"/>
      <c r="T284" s="746"/>
      <c r="U284" s="746"/>
      <c r="V284" s="746"/>
      <c r="W284" s="746"/>
      <c r="X284" s="746"/>
      <c r="Y284" s="746"/>
    </row>
    <row r="285" spans="3:25">
      <c r="C285" s="746"/>
      <c r="D285" s="746"/>
      <c r="E285" s="746"/>
      <c r="F285" s="746"/>
      <c r="G285" s="746"/>
      <c r="H285" s="746"/>
      <c r="I285" s="746"/>
      <c r="J285" s="746"/>
      <c r="K285" s="746"/>
      <c r="L285" s="746"/>
      <c r="M285" s="746"/>
      <c r="N285" s="746"/>
      <c r="O285" s="746"/>
      <c r="P285" s="746"/>
      <c r="Q285" s="746"/>
      <c r="R285" s="746"/>
      <c r="S285" s="746"/>
      <c r="T285" s="746"/>
      <c r="U285" s="746"/>
      <c r="V285" s="746"/>
      <c r="W285" s="746"/>
      <c r="X285" s="746"/>
      <c r="Y285" s="746"/>
    </row>
    <row r="286" spans="3:25">
      <c r="C286" s="746"/>
      <c r="D286" s="746"/>
      <c r="E286" s="746"/>
      <c r="F286" s="746"/>
      <c r="G286" s="746"/>
      <c r="H286" s="746"/>
      <c r="I286" s="746"/>
      <c r="J286" s="746"/>
      <c r="K286" s="746"/>
      <c r="L286" s="746"/>
      <c r="M286" s="746"/>
      <c r="N286" s="746"/>
      <c r="O286" s="746"/>
      <c r="P286" s="746"/>
      <c r="Q286" s="746"/>
      <c r="R286" s="746"/>
      <c r="S286" s="746"/>
      <c r="T286" s="746"/>
      <c r="U286" s="746"/>
      <c r="V286" s="746"/>
      <c r="W286" s="746"/>
      <c r="X286" s="746"/>
      <c r="Y286" s="746"/>
    </row>
    <row r="287" spans="3:25">
      <c r="C287" s="746"/>
      <c r="D287" s="746"/>
      <c r="E287" s="746"/>
      <c r="F287" s="746"/>
      <c r="G287" s="746"/>
      <c r="H287" s="746"/>
      <c r="I287" s="746"/>
      <c r="J287" s="746"/>
      <c r="K287" s="746"/>
      <c r="L287" s="746"/>
      <c r="M287" s="746"/>
      <c r="N287" s="746"/>
      <c r="O287" s="746"/>
      <c r="P287" s="746"/>
      <c r="Q287" s="746"/>
      <c r="R287" s="746"/>
      <c r="S287" s="746"/>
      <c r="T287" s="746"/>
      <c r="U287" s="746"/>
      <c r="V287" s="746"/>
      <c r="W287" s="746"/>
      <c r="X287" s="746"/>
      <c r="Y287" s="746"/>
    </row>
    <row r="288" spans="3:25">
      <c r="C288" s="746"/>
      <c r="D288" s="746"/>
      <c r="E288" s="746"/>
      <c r="F288" s="746"/>
      <c r="G288" s="746"/>
      <c r="H288" s="746"/>
      <c r="I288" s="746"/>
      <c r="J288" s="746"/>
      <c r="K288" s="746"/>
      <c r="L288" s="746"/>
      <c r="M288" s="746"/>
      <c r="N288" s="746"/>
      <c r="O288" s="746"/>
      <c r="P288" s="746"/>
      <c r="Q288" s="746"/>
      <c r="R288" s="746"/>
      <c r="S288" s="746"/>
      <c r="T288" s="746"/>
      <c r="U288" s="746"/>
      <c r="V288" s="746"/>
      <c r="W288" s="746"/>
      <c r="X288" s="746"/>
      <c r="Y288" s="746"/>
    </row>
    <row r="289" spans="3:25">
      <c r="C289" s="746"/>
      <c r="D289" s="746"/>
      <c r="E289" s="746"/>
      <c r="F289" s="746"/>
      <c r="G289" s="746"/>
      <c r="H289" s="746"/>
      <c r="I289" s="746"/>
      <c r="J289" s="746"/>
      <c r="K289" s="746"/>
      <c r="L289" s="746"/>
      <c r="M289" s="746"/>
      <c r="N289" s="746"/>
      <c r="O289" s="746"/>
      <c r="P289" s="746"/>
      <c r="Q289" s="746"/>
      <c r="R289" s="746"/>
      <c r="S289" s="746"/>
      <c r="T289" s="746"/>
      <c r="U289" s="746"/>
      <c r="V289" s="746"/>
      <c r="W289" s="746"/>
      <c r="X289" s="746"/>
      <c r="Y289" s="746"/>
    </row>
    <row r="290" spans="3:25">
      <c r="C290" s="746"/>
      <c r="D290" s="746"/>
      <c r="E290" s="746"/>
      <c r="F290" s="746"/>
      <c r="G290" s="746"/>
      <c r="H290" s="746"/>
      <c r="I290" s="746"/>
      <c r="J290" s="746"/>
      <c r="K290" s="746"/>
      <c r="L290" s="746"/>
      <c r="M290" s="746"/>
      <c r="N290" s="746"/>
      <c r="O290" s="746"/>
      <c r="P290" s="746"/>
      <c r="Q290" s="746"/>
      <c r="R290" s="746"/>
      <c r="S290" s="746"/>
      <c r="T290" s="746"/>
      <c r="U290" s="746"/>
      <c r="V290" s="746"/>
      <c r="W290" s="746"/>
      <c r="X290" s="746"/>
      <c r="Y290" s="746"/>
    </row>
    <row r="291" spans="3:25">
      <c r="C291" s="746"/>
      <c r="D291" s="746"/>
      <c r="E291" s="746"/>
      <c r="F291" s="746"/>
      <c r="G291" s="746"/>
      <c r="H291" s="746"/>
      <c r="I291" s="746"/>
      <c r="J291" s="746"/>
      <c r="K291" s="746"/>
      <c r="L291" s="746"/>
      <c r="M291" s="746"/>
      <c r="N291" s="746"/>
      <c r="O291" s="746"/>
      <c r="P291" s="746"/>
      <c r="Q291" s="746"/>
      <c r="R291" s="746"/>
      <c r="S291" s="746"/>
      <c r="T291" s="746"/>
      <c r="U291" s="746"/>
      <c r="V291" s="746"/>
      <c r="W291" s="746"/>
      <c r="X291" s="746"/>
      <c r="Y291" s="746"/>
    </row>
    <row r="292" spans="3:25">
      <c r="C292" s="746"/>
      <c r="D292" s="746"/>
      <c r="E292" s="746"/>
      <c r="F292" s="746"/>
      <c r="G292" s="746"/>
      <c r="H292" s="746"/>
      <c r="I292" s="746"/>
      <c r="J292" s="746"/>
      <c r="K292" s="746"/>
      <c r="L292" s="746"/>
      <c r="M292" s="746"/>
      <c r="N292" s="746"/>
      <c r="O292" s="746"/>
      <c r="P292" s="746"/>
      <c r="Q292" s="746"/>
      <c r="R292" s="746"/>
      <c r="S292" s="746"/>
      <c r="T292" s="746"/>
      <c r="U292" s="746"/>
      <c r="V292" s="746"/>
      <c r="W292" s="746"/>
      <c r="X292" s="746"/>
      <c r="Y292" s="746"/>
    </row>
    <row r="293" spans="3:25">
      <c r="C293" s="746"/>
      <c r="D293" s="746"/>
      <c r="E293" s="746"/>
      <c r="F293" s="746"/>
      <c r="G293" s="746"/>
      <c r="H293" s="746"/>
      <c r="I293" s="746"/>
      <c r="J293" s="746"/>
      <c r="K293" s="746"/>
      <c r="L293" s="746"/>
      <c r="M293" s="746"/>
      <c r="N293" s="746"/>
      <c r="O293" s="746"/>
      <c r="P293" s="746"/>
      <c r="Q293" s="746"/>
      <c r="R293" s="746"/>
      <c r="S293" s="746"/>
      <c r="T293" s="746"/>
      <c r="U293" s="746"/>
      <c r="V293" s="746"/>
      <c r="W293" s="746"/>
      <c r="X293" s="746"/>
      <c r="Y293" s="746"/>
    </row>
    <row r="294" spans="3:25">
      <c r="C294" s="746"/>
      <c r="D294" s="746"/>
      <c r="E294" s="746"/>
      <c r="F294" s="746"/>
      <c r="G294" s="746"/>
      <c r="H294" s="746"/>
      <c r="I294" s="746"/>
      <c r="J294" s="746"/>
      <c r="K294" s="746"/>
      <c r="L294" s="746"/>
      <c r="M294" s="746"/>
      <c r="N294" s="746"/>
      <c r="O294" s="746"/>
      <c r="P294" s="746"/>
      <c r="Q294" s="746"/>
      <c r="R294" s="746"/>
      <c r="S294" s="746"/>
      <c r="T294" s="746"/>
      <c r="U294" s="746"/>
      <c r="V294" s="746"/>
      <c r="W294" s="746"/>
      <c r="X294" s="746"/>
      <c r="Y294" s="746"/>
    </row>
    <row r="295" spans="3:25">
      <c r="C295" s="746"/>
      <c r="D295" s="746"/>
      <c r="E295" s="746"/>
      <c r="F295" s="746"/>
      <c r="G295" s="746"/>
      <c r="H295" s="746"/>
      <c r="I295" s="746"/>
      <c r="J295" s="746"/>
      <c r="K295" s="746"/>
      <c r="L295" s="746"/>
      <c r="M295" s="746"/>
      <c r="N295" s="746"/>
      <c r="O295" s="746"/>
      <c r="P295" s="746"/>
      <c r="Q295" s="746"/>
      <c r="R295" s="746"/>
      <c r="S295" s="746"/>
      <c r="T295" s="746"/>
      <c r="U295" s="746"/>
      <c r="V295" s="746"/>
      <c r="W295" s="746"/>
      <c r="X295" s="746"/>
      <c r="Y295" s="746"/>
    </row>
    <row r="296" spans="3:25">
      <c r="C296" s="746"/>
      <c r="D296" s="746"/>
      <c r="E296" s="746"/>
      <c r="F296" s="746"/>
      <c r="G296" s="746"/>
      <c r="H296" s="746"/>
      <c r="I296" s="746"/>
      <c r="J296" s="746"/>
      <c r="K296" s="746"/>
      <c r="L296" s="746"/>
      <c r="M296" s="746"/>
      <c r="N296" s="746"/>
      <c r="O296" s="746"/>
      <c r="P296" s="746"/>
      <c r="Q296" s="746"/>
      <c r="R296" s="746"/>
      <c r="S296" s="746"/>
      <c r="T296" s="746"/>
      <c r="U296" s="746"/>
      <c r="V296" s="746"/>
      <c r="W296" s="746"/>
      <c r="X296" s="746"/>
      <c r="Y296" s="746"/>
    </row>
    <row r="297" spans="3:25">
      <c r="C297" s="746"/>
      <c r="D297" s="746"/>
      <c r="E297" s="746"/>
      <c r="F297" s="746"/>
      <c r="G297" s="746"/>
      <c r="H297" s="746"/>
      <c r="I297" s="746"/>
      <c r="J297" s="746"/>
      <c r="K297" s="746"/>
      <c r="L297" s="746"/>
      <c r="M297" s="746"/>
      <c r="N297" s="746"/>
      <c r="O297" s="746"/>
      <c r="P297" s="746"/>
      <c r="Q297" s="746"/>
      <c r="R297" s="746"/>
      <c r="S297" s="746"/>
      <c r="T297" s="746"/>
      <c r="U297" s="746"/>
      <c r="V297" s="746"/>
      <c r="W297" s="746"/>
      <c r="X297" s="746"/>
      <c r="Y297" s="746"/>
    </row>
    <row r="298" spans="3:25">
      <c r="C298" s="746"/>
      <c r="D298" s="746"/>
      <c r="E298" s="746"/>
      <c r="F298" s="746"/>
      <c r="G298" s="746"/>
      <c r="H298" s="746"/>
      <c r="I298" s="746"/>
      <c r="J298" s="746"/>
      <c r="K298" s="746"/>
      <c r="L298" s="746"/>
      <c r="M298" s="746"/>
      <c r="N298" s="746"/>
      <c r="O298" s="746"/>
      <c r="P298" s="746"/>
      <c r="Q298" s="746"/>
      <c r="R298" s="746"/>
      <c r="S298" s="746"/>
      <c r="T298" s="746"/>
      <c r="U298" s="746"/>
      <c r="V298" s="746"/>
      <c r="W298" s="746"/>
      <c r="X298" s="746"/>
      <c r="Y298" s="746"/>
    </row>
    <row r="299" spans="3:25">
      <c r="C299" s="746"/>
      <c r="D299" s="746"/>
      <c r="E299" s="746"/>
      <c r="F299" s="746"/>
      <c r="G299" s="746"/>
      <c r="H299" s="746"/>
      <c r="I299" s="746"/>
      <c r="J299" s="746"/>
      <c r="K299" s="746"/>
      <c r="L299" s="746"/>
      <c r="M299" s="746"/>
      <c r="N299" s="746"/>
      <c r="O299" s="746"/>
      <c r="P299" s="746"/>
      <c r="Q299" s="746"/>
      <c r="R299" s="746"/>
      <c r="S299" s="746"/>
      <c r="T299" s="746"/>
      <c r="U299" s="746"/>
      <c r="V299" s="746"/>
      <c r="W299" s="746"/>
      <c r="X299" s="746"/>
      <c r="Y299" s="746"/>
    </row>
    <row r="300" spans="3:25">
      <c r="C300" s="746"/>
      <c r="D300" s="746"/>
      <c r="E300" s="746"/>
      <c r="F300" s="746"/>
      <c r="G300" s="746"/>
      <c r="H300" s="746"/>
      <c r="I300" s="746"/>
      <c r="J300" s="746"/>
      <c r="K300" s="746"/>
      <c r="L300" s="746"/>
      <c r="M300" s="746"/>
      <c r="N300" s="746"/>
      <c r="O300" s="746"/>
      <c r="P300" s="746"/>
      <c r="Q300" s="746"/>
      <c r="R300" s="746"/>
    </row>
    <row r="301" spans="3:25">
      <c r="C301" s="746"/>
      <c r="D301" s="746"/>
      <c r="E301" s="746"/>
      <c r="F301" s="746"/>
      <c r="G301" s="746"/>
      <c r="H301" s="746"/>
      <c r="I301" s="746"/>
      <c r="J301" s="746"/>
      <c r="K301" s="746"/>
      <c r="L301" s="746"/>
      <c r="M301" s="746"/>
      <c r="N301" s="746"/>
      <c r="O301" s="746"/>
      <c r="P301" s="746"/>
      <c r="Q301" s="746"/>
      <c r="R301" s="746"/>
    </row>
    <row r="302" spans="3:25">
      <c r="C302" s="746"/>
      <c r="D302" s="746"/>
      <c r="E302" s="746"/>
      <c r="F302" s="746"/>
      <c r="G302" s="746"/>
      <c r="H302" s="746"/>
      <c r="I302" s="746"/>
      <c r="J302" s="746"/>
      <c r="K302" s="746"/>
      <c r="L302" s="746"/>
      <c r="M302" s="746"/>
      <c r="N302" s="746"/>
      <c r="O302" s="746"/>
      <c r="P302" s="746"/>
      <c r="Q302" s="746"/>
      <c r="R302" s="746"/>
    </row>
    <row r="303" spans="3:25">
      <c r="C303" s="746"/>
      <c r="D303" s="746"/>
      <c r="E303" s="746"/>
      <c r="F303" s="746"/>
      <c r="G303" s="746"/>
      <c r="H303" s="746"/>
      <c r="I303" s="746"/>
      <c r="J303" s="746"/>
      <c r="K303" s="746"/>
      <c r="L303" s="746"/>
      <c r="M303" s="746"/>
      <c r="N303" s="746"/>
      <c r="O303" s="746"/>
      <c r="P303" s="746"/>
      <c r="Q303" s="746"/>
      <c r="R303" s="746"/>
    </row>
    <row r="304" spans="3:25">
      <c r="C304" s="746"/>
      <c r="D304" s="746"/>
      <c r="E304" s="746"/>
      <c r="F304" s="746"/>
      <c r="G304" s="746"/>
      <c r="H304" s="746"/>
      <c r="I304" s="746"/>
      <c r="J304" s="746"/>
      <c r="K304" s="746"/>
      <c r="L304" s="746"/>
      <c r="M304" s="746"/>
      <c r="N304" s="746"/>
      <c r="O304" s="746"/>
      <c r="P304" s="746"/>
      <c r="Q304" s="746"/>
      <c r="R304" s="746"/>
    </row>
    <row r="305" spans="3:18">
      <c r="C305" s="746"/>
      <c r="D305" s="746"/>
      <c r="E305" s="746"/>
      <c r="F305" s="746"/>
      <c r="G305" s="746"/>
      <c r="H305" s="746"/>
      <c r="I305" s="746"/>
      <c r="J305" s="746"/>
      <c r="K305" s="746"/>
      <c r="L305" s="746"/>
      <c r="M305" s="746"/>
      <c r="N305" s="746"/>
      <c r="O305" s="746"/>
      <c r="P305" s="746"/>
      <c r="Q305" s="746"/>
      <c r="R305" s="746"/>
    </row>
    <row r="306" spans="3:18">
      <c r="C306" s="746"/>
      <c r="D306" s="746"/>
      <c r="E306" s="746"/>
      <c r="F306" s="746"/>
      <c r="G306" s="746"/>
      <c r="H306" s="746"/>
      <c r="I306" s="746"/>
      <c r="J306" s="746"/>
      <c r="K306" s="746"/>
      <c r="L306" s="746"/>
      <c r="M306" s="746"/>
      <c r="N306" s="746"/>
      <c r="O306" s="746"/>
      <c r="P306" s="746"/>
      <c r="Q306" s="746"/>
      <c r="R306" s="746"/>
    </row>
    <row r="307" spans="3:18">
      <c r="C307" s="746"/>
      <c r="D307" s="746"/>
      <c r="E307" s="746"/>
      <c r="F307" s="746"/>
      <c r="G307" s="746"/>
      <c r="H307" s="746"/>
      <c r="I307" s="746"/>
      <c r="J307" s="746"/>
      <c r="K307" s="746"/>
      <c r="L307" s="746"/>
      <c r="M307" s="746"/>
      <c r="N307" s="746"/>
      <c r="O307" s="746"/>
      <c r="P307" s="746"/>
      <c r="Q307" s="746"/>
      <c r="R307" s="746"/>
    </row>
  </sheetData>
  <mergeCells count="10">
    <mergeCell ref="C105:R105"/>
    <mergeCell ref="C106:R106"/>
    <mergeCell ref="C107:R107"/>
    <mergeCell ref="C108:R108"/>
    <mergeCell ref="C99:R99"/>
    <mergeCell ref="C100:R100"/>
    <mergeCell ref="C101:R101"/>
    <mergeCell ref="C102:R102"/>
    <mergeCell ref="C103:R103"/>
    <mergeCell ref="C104:R10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A1:M79"/>
  <sheetViews>
    <sheetView showGridLines="0" topLeftCell="A37" workbookViewId="0">
      <selection activeCell="D63" sqref="D63"/>
    </sheetView>
  </sheetViews>
  <sheetFormatPr defaultRowHeight="15"/>
  <cols>
    <col min="1" max="1" width="16.5546875" style="558" customWidth="1"/>
    <col min="2" max="2" width="25.5546875" style="558" customWidth="1"/>
    <col min="3" max="3" width="12.88671875" style="558" customWidth="1"/>
    <col min="4" max="4" width="8.77734375" style="558" customWidth="1"/>
    <col min="5" max="5" width="9.44140625" style="558" bestFit="1" customWidth="1"/>
    <col min="6" max="11" width="8.5546875" style="558" customWidth="1"/>
    <col min="12" max="12" width="9" style="558" customWidth="1"/>
    <col min="13" max="13" width="7.109375" style="558" hidden="1" customWidth="1"/>
    <col min="14" max="16384" width="8.88671875" style="558"/>
  </cols>
  <sheetData>
    <row r="1" spans="1:13" s="619" customFormat="1" ht="18">
      <c r="A1" s="618" t="s">
        <v>928</v>
      </c>
    </row>
    <row r="2" spans="1:13">
      <c r="A2" s="620"/>
    </row>
    <row r="3" spans="1:13">
      <c r="A3" s="621" t="s">
        <v>929</v>
      </c>
      <c r="B3" s="622" t="s">
        <v>913</v>
      </c>
      <c r="C3" s="623"/>
      <c r="D3" s="623"/>
      <c r="E3" s="623"/>
    </row>
    <row r="4" spans="1:13">
      <c r="A4" s="620"/>
      <c r="B4" s="623"/>
      <c r="C4" s="623"/>
      <c r="D4" s="623"/>
      <c r="E4" s="623"/>
    </row>
    <row r="5" spans="1:13">
      <c r="A5" s="621" t="s">
        <v>930</v>
      </c>
      <c r="B5" s="624"/>
      <c r="C5" s="623"/>
      <c r="D5" s="623"/>
      <c r="E5" s="623"/>
      <c r="F5" s="623"/>
      <c r="G5" s="623"/>
      <c r="H5" s="623"/>
      <c r="I5" s="623"/>
      <c r="J5" s="623"/>
      <c r="K5" s="623"/>
      <c r="L5" s="623"/>
    </row>
    <row r="6" spans="1:13">
      <c r="A6" s="620"/>
      <c r="B6" s="623"/>
      <c r="C6" s="623"/>
      <c r="D6" s="623"/>
      <c r="E6" s="623"/>
      <c r="F6" s="623"/>
      <c r="G6" s="623"/>
      <c r="H6" s="623"/>
      <c r="I6" s="623"/>
      <c r="J6" s="623"/>
      <c r="K6" s="623"/>
      <c r="L6" s="623"/>
      <c r="M6" s="486" t="s">
        <v>931</v>
      </c>
    </row>
    <row r="7" spans="1:13">
      <c r="A7" s="625"/>
      <c r="B7" s="626" t="s">
        <v>932</v>
      </c>
      <c r="C7" s="627" t="s">
        <v>933</v>
      </c>
      <c r="D7" s="623"/>
      <c r="E7" s="623"/>
      <c r="F7" s="623"/>
      <c r="G7" s="623"/>
      <c r="H7" s="623"/>
      <c r="I7" s="623"/>
      <c r="J7" s="623"/>
      <c r="K7" s="623"/>
      <c r="L7" s="623"/>
      <c r="M7" s="628" t="s">
        <v>934</v>
      </c>
    </row>
    <row r="8" spans="1:13">
      <c r="A8" s="625"/>
      <c r="B8" s="626" t="s">
        <v>935</v>
      </c>
      <c r="C8" s="629" t="s">
        <v>50</v>
      </c>
      <c r="D8" s="623"/>
      <c r="E8" s="623"/>
      <c r="F8" s="623"/>
      <c r="G8" s="623"/>
      <c r="H8" s="623"/>
      <c r="I8" s="623"/>
      <c r="J8" s="623"/>
      <c r="K8" s="623"/>
      <c r="L8" s="623"/>
    </row>
    <row r="9" spans="1:13" ht="15" customHeight="1">
      <c r="A9" s="625"/>
      <c r="B9" s="626" t="s">
        <v>936</v>
      </c>
      <c r="C9" s="629" t="s">
        <v>931</v>
      </c>
      <c r="D9" s="623"/>
      <c r="E9" s="623"/>
      <c r="F9" s="623"/>
      <c r="G9" s="623"/>
      <c r="H9" s="623"/>
      <c r="I9" s="623"/>
      <c r="J9" s="623"/>
      <c r="K9" s="623"/>
      <c r="L9" s="623"/>
    </row>
    <row r="10" spans="1:13">
      <c r="A10" s="630" t="s">
        <v>407</v>
      </c>
      <c r="B10" s="631" t="str">
        <f xml:space="preserve"> "December " &amp; B3-1</f>
        <v>December 2013</v>
      </c>
      <c r="C10" s="651">
        <v>326679985.77367914</v>
      </c>
      <c r="D10" s="632"/>
      <c r="E10" s="632"/>
      <c r="F10" s="623"/>
      <c r="G10" s="623"/>
      <c r="H10" s="623"/>
      <c r="I10" s="623"/>
      <c r="J10" s="623"/>
      <c r="K10" s="623"/>
      <c r="L10" s="623"/>
    </row>
    <row r="11" spans="1:13">
      <c r="A11" s="633" t="s">
        <v>937</v>
      </c>
      <c r="B11" s="634" t="str">
        <f xml:space="preserve"> "January " &amp; B3</f>
        <v>January 2014</v>
      </c>
      <c r="C11" s="653">
        <v>340184077.12367916</v>
      </c>
      <c r="D11" s="623"/>
      <c r="E11" s="623"/>
      <c r="F11" s="623"/>
      <c r="G11" s="623"/>
      <c r="H11" s="623"/>
      <c r="I11" s="623"/>
      <c r="J11" s="623"/>
      <c r="K11" s="623"/>
      <c r="L11" s="623"/>
    </row>
    <row r="12" spans="1:13">
      <c r="A12" s="633"/>
      <c r="B12" s="635" t="s">
        <v>166</v>
      </c>
      <c r="C12" s="653">
        <v>355371568.80367917</v>
      </c>
      <c r="D12" s="623"/>
      <c r="E12" s="623"/>
      <c r="F12" s="623"/>
      <c r="G12" s="623"/>
      <c r="H12" s="623"/>
      <c r="I12" s="623"/>
      <c r="J12" s="623"/>
      <c r="K12" s="623"/>
      <c r="L12" s="623"/>
    </row>
    <row r="13" spans="1:13">
      <c r="A13" s="633"/>
      <c r="B13" s="635" t="s">
        <v>272</v>
      </c>
      <c r="C13" s="653">
        <v>370806709.4650265</v>
      </c>
      <c r="D13" s="623"/>
      <c r="E13" s="623"/>
      <c r="F13" s="623"/>
      <c r="G13" s="623"/>
      <c r="H13" s="623"/>
      <c r="I13" s="623"/>
      <c r="J13" s="623"/>
      <c r="K13" s="623"/>
      <c r="L13" s="623"/>
    </row>
    <row r="14" spans="1:13">
      <c r="A14" s="633"/>
      <c r="B14" s="635" t="s">
        <v>168</v>
      </c>
      <c r="C14" s="653">
        <v>363119949.02845943</v>
      </c>
      <c r="D14" s="623"/>
      <c r="E14" s="623"/>
      <c r="F14" s="623"/>
      <c r="G14" s="623"/>
      <c r="H14" s="623"/>
      <c r="I14" s="623"/>
      <c r="J14" s="623"/>
      <c r="K14" s="623"/>
      <c r="L14" s="623"/>
    </row>
    <row r="15" spans="1:13">
      <c r="A15" s="633"/>
      <c r="B15" s="635" t="s">
        <v>140</v>
      </c>
      <c r="C15" s="653">
        <v>375114583.16845942</v>
      </c>
      <c r="D15" s="623"/>
      <c r="E15" s="623"/>
      <c r="F15" s="623"/>
      <c r="G15" s="623"/>
      <c r="H15" s="623"/>
      <c r="I15" s="623"/>
      <c r="J15" s="623"/>
      <c r="K15" s="623"/>
      <c r="L15" s="623"/>
    </row>
    <row r="16" spans="1:13">
      <c r="A16" s="633"/>
      <c r="B16" s="635" t="s">
        <v>169</v>
      </c>
      <c r="C16" s="653">
        <v>386066115.11582732</v>
      </c>
      <c r="D16" s="623"/>
      <c r="E16" s="623"/>
      <c r="F16" s="623"/>
      <c r="G16" s="623"/>
      <c r="H16" s="623"/>
      <c r="I16" s="623"/>
      <c r="J16" s="623"/>
      <c r="K16" s="623"/>
      <c r="L16" s="623"/>
    </row>
    <row r="17" spans="1:12">
      <c r="A17" s="633"/>
      <c r="B17" s="635" t="s">
        <v>170</v>
      </c>
      <c r="C17" s="653">
        <v>397596284.66022509</v>
      </c>
      <c r="D17" s="623"/>
      <c r="E17" s="623"/>
      <c r="F17" s="623"/>
      <c r="G17" s="623"/>
      <c r="H17" s="623"/>
      <c r="I17" s="623"/>
      <c r="J17" s="623"/>
      <c r="K17" s="623"/>
      <c r="L17" s="623"/>
    </row>
    <row r="18" spans="1:12">
      <c r="A18" s="633"/>
      <c r="B18" s="635" t="s">
        <v>275</v>
      </c>
      <c r="C18" s="653">
        <v>405963480.93827575</v>
      </c>
      <c r="D18" s="623"/>
      <c r="E18" s="623"/>
      <c r="F18" s="623"/>
      <c r="G18" s="623"/>
      <c r="H18" s="623"/>
      <c r="I18" s="623"/>
      <c r="J18" s="623"/>
      <c r="K18" s="623"/>
      <c r="L18" s="623"/>
    </row>
    <row r="19" spans="1:12">
      <c r="A19" s="633"/>
      <c r="B19" s="635" t="s">
        <v>172</v>
      </c>
      <c r="C19" s="653">
        <v>413949848.87827575</v>
      </c>
      <c r="D19" s="623"/>
      <c r="E19" s="623"/>
      <c r="F19" s="623"/>
      <c r="G19" s="623"/>
      <c r="H19" s="623"/>
      <c r="I19" s="623"/>
      <c r="J19" s="623"/>
      <c r="K19" s="623"/>
      <c r="L19" s="623"/>
    </row>
    <row r="20" spans="1:12">
      <c r="A20" s="633"/>
      <c r="B20" s="635" t="s">
        <v>173</v>
      </c>
      <c r="C20" s="653">
        <v>418956870.02504629</v>
      </c>
      <c r="D20" s="623"/>
      <c r="E20" s="623"/>
      <c r="F20" s="623"/>
      <c r="G20" s="623"/>
      <c r="H20" s="623"/>
      <c r="I20" s="623"/>
      <c r="J20" s="623"/>
      <c r="K20" s="623"/>
      <c r="L20" s="623"/>
    </row>
    <row r="21" spans="1:12">
      <c r="A21" s="633"/>
      <c r="B21" s="635" t="s">
        <v>174</v>
      </c>
      <c r="C21" s="653">
        <v>426968612.14523649</v>
      </c>
      <c r="D21" s="623"/>
      <c r="E21" s="623"/>
      <c r="F21" s="623"/>
      <c r="G21" s="623"/>
      <c r="H21" s="623"/>
      <c r="I21" s="623"/>
      <c r="J21" s="623"/>
      <c r="K21" s="623"/>
      <c r="L21" s="623"/>
    </row>
    <row r="22" spans="1:12">
      <c r="A22" s="636"/>
      <c r="B22" s="637" t="str">
        <f xml:space="preserve"> "December " &amp; B3</f>
        <v>December 2014</v>
      </c>
      <c r="C22" s="653">
        <v>432730244.71488023</v>
      </c>
      <c r="D22" s="623"/>
      <c r="E22" s="623"/>
      <c r="F22" s="623"/>
      <c r="G22" s="623"/>
      <c r="H22" s="623"/>
      <c r="I22" s="623"/>
      <c r="J22" s="623"/>
      <c r="K22" s="623"/>
      <c r="L22" s="623"/>
    </row>
    <row r="23" spans="1:12">
      <c r="A23" s="638"/>
      <c r="B23" s="639" t="s">
        <v>147</v>
      </c>
      <c r="C23" s="640">
        <f>AVERAGE(C10:C22)</f>
        <v>385654486.91082692</v>
      </c>
      <c r="D23" s="623"/>
      <c r="E23" s="623"/>
      <c r="F23" s="623"/>
      <c r="G23" s="623"/>
      <c r="H23" s="623"/>
      <c r="I23" s="623"/>
      <c r="J23" s="623"/>
      <c r="K23" s="623"/>
      <c r="L23" s="623"/>
    </row>
    <row r="24" spans="1:12">
      <c r="A24" s="638"/>
      <c r="B24" s="639"/>
      <c r="C24" s="641"/>
      <c r="D24" s="623"/>
      <c r="E24" s="623"/>
      <c r="F24" s="623"/>
      <c r="G24" s="623"/>
      <c r="H24" s="623"/>
      <c r="I24" s="623"/>
      <c r="J24" s="623"/>
      <c r="K24" s="623"/>
      <c r="L24" s="623"/>
    </row>
    <row r="25" spans="1:12">
      <c r="A25" s="638"/>
      <c r="B25" s="639"/>
      <c r="C25" s="641"/>
      <c r="D25" s="623"/>
      <c r="E25" s="623"/>
      <c r="F25" s="623"/>
      <c r="G25" s="623"/>
      <c r="H25" s="623"/>
      <c r="I25" s="623"/>
      <c r="J25" s="623"/>
      <c r="K25" s="623"/>
      <c r="L25" s="623"/>
    </row>
    <row r="26" spans="1:12">
      <c r="A26" s="630" t="s">
        <v>33</v>
      </c>
      <c r="B26" s="631" t="str">
        <f>B10</f>
        <v>December 2013</v>
      </c>
      <c r="C26" s="651">
        <v>133323.8728587876</v>
      </c>
      <c r="D26" s="632"/>
      <c r="E26" s="623"/>
      <c r="F26" s="623"/>
      <c r="G26" s="623"/>
      <c r="H26" s="623"/>
      <c r="I26" s="623"/>
      <c r="J26" s="623"/>
      <c r="K26" s="623"/>
      <c r="L26" s="623"/>
    </row>
    <row r="27" spans="1:12">
      <c r="A27" s="633" t="s">
        <v>938</v>
      </c>
      <c r="B27" s="634" t="str">
        <f>B11</f>
        <v>January 2014</v>
      </c>
      <c r="C27" s="653">
        <v>150437.84771603454</v>
      </c>
      <c r="D27" s="623"/>
      <c r="E27" s="623"/>
      <c r="F27" s="623"/>
      <c r="G27" s="623"/>
      <c r="H27" s="623"/>
      <c r="I27" s="623"/>
      <c r="J27" s="623"/>
      <c r="K27" s="623"/>
      <c r="L27" s="623"/>
    </row>
    <row r="28" spans="1:12">
      <c r="A28" s="633" t="s">
        <v>939</v>
      </c>
      <c r="B28" s="642" t="s">
        <v>166</v>
      </c>
      <c r="C28" s="653">
        <v>167598.87903061332</v>
      </c>
      <c r="D28" s="623"/>
      <c r="E28" s="623"/>
      <c r="F28" s="623"/>
      <c r="G28" s="623"/>
      <c r="H28" s="623"/>
      <c r="I28" s="623"/>
      <c r="J28" s="623"/>
      <c r="K28" s="623"/>
      <c r="L28" s="623"/>
    </row>
    <row r="29" spans="1:12">
      <c r="A29" s="633"/>
      <c r="B29" s="642" t="s">
        <v>272</v>
      </c>
      <c r="C29" s="653">
        <v>204374.57908420847</v>
      </c>
      <c r="D29" s="623"/>
      <c r="E29" s="623"/>
      <c r="F29" s="623"/>
      <c r="G29" s="623"/>
      <c r="H29" s="623"/>
      <c r="I29" s="623"/>
      <c r="J29" s="623"/>
      <c r="K29" s="623"/>
      <c r="L29" s="623"/>
    </row>
    <row r="30" spans="1:12">
      <c r="A30" s="633"/>
      <c r="B30" s="642" t="s">
        <v>168</v>
      </c>
      <c r="C30" s="653">
        <v>430572.85284437874</v>
      </c>
      <c r="D30" s="623"/>
      <c r="E30" s="623"/>
      <c r="F30" s="623"/>
      <c r="G30" s="623"/>
      <c r="H30" s="623"/>
      <c r="I30" s="623"/>
      <c r="J30" s="623"/>
      <c r="K30" s="623"/>
      <c r="L30" s="623"/>
    </row>
    <row r="31" spans="1:12">
      <c r="A31" s="633"/>
      <c r="B31" s="642" t="s">
        <v>140</v>
      </c>
      <c r="C31" s="653">
        <v>846192.64840650465</v>
      </c>
      <c r="D31" s="623"/>
      <c r="E31" s="623"/>
      <c r="F31" s="623"/>
      <c r="G31" s="623"/>
      <c r="H31" s="623"/>
      <c r="I31" s="623"/>
      <c r="J31" s="623"/>
      <c r="K31" s="623"/>
      <c r="L31" s="623"/>
    </row>
    <row r="32" spans="1:12">
      <c r="A32" s="633"/>
      <c r="B32" s="642" t="s">
        <v>169</v>
      </c>
      <c r="C32" s="653">
        <v>1276753.3733269474</v>
      </c>
      <c r="D32" s="623"/>
      <c r="E32" s="623"/>
      <c r="F32" s="623"/>
      <c r="G32" s="623"/>
      <c r="H32" s="623"/>
      <c r="I32" s="623"/>
      <c r="J32" s="623"/>
      <c r="K32" s="623"/>
      <c r="L32" s="623"/>
    </row>
    <row r="33" spans="1:12">
      <c r="A33" s="633"/>
      <c r="B33" s="642" t="s">
        <v>170</v>
      </c>
      <c r="C33" s="653">
        <v>1731633.7958499379</v>
      </c>
      <c r="D33" s="623"/>
      <c r="E33" s="623"/>
      <c r="F33" s="623"/>
      <c r="G33" s="623"/>
      <c r="H33" s="623"/>
      <c r="I33" s="623"/>
      <c r="J33" s="623"/>
      <c r="K33" s="623"/>
      <c r="L33" s="623"/>
    </row>
    <row r="34" spans="1:12">
      <c r="A34" s="633"/>
      <c r="B34" s="642" t="s">
        <v>275</v>
      </c>
      <c r="C34" s="653">
        <v>2201588.6964261336</v>
      </c>
      <c r="D34" s="623"/>
      <c r="E34" s="623"/>
      <c r="F34" s="623"/>
      <c r="G34" s="623"/>
      <c r="H34" s="623"/>
      <c r="I34" s="623"/>
      <c r="J34" s="623"/>
      <c r="K34" s="623"/>
      <c r="L34" s="623"/>
    </row>
    <row r="35" spans="1:12">
      <c r="A35" s="633"/>
      <c r="B35" s="642" t="s">
        <v>172</v>
      </c>
      <c r="C35" s="653">
        <v>2679560.7016682802</v>
      </c>
      <c r="D35" s="623"/>
      <c r="E35" s="623"/>
      <c r="F35" s="623"/>
      <c r="G35" s="623"/>
      <c r="H35" s="623"/>
      <c r="I35" s="623"/>
      <c r="J35" s="623"/>
      <c r="K35" s="623"/>
      <c r="L35" s="623"/>
    </row>
    <row r="36" spans="1:12">
      <c r="A36" s="633"/>
      <c r="B36" s="642" t="s">
        <v>173</v>
      </c>
      <c r="C36" s="653">
        <v>3162329.921256992</v>
      </c>
      <c r="D36" s="623"/>
      <c r="E36" s="623"/>
      <c r="F36" s="623"/>
      <c r="G36" s="623"/>
      <c r="H36" s="623"/>
      <c r="I36" s="623"/>
      <c r="J36" s="623"/>
      <c r="K36" s="623"/>
      <c r="L36" s="623"/>
    </row>
    <row r="37" spans="1:12">
      <c r="A37" s="633"/>
      <c r="B37" s="642" t="s">
        <v>174</v>
      </c>
      <c r="C37" s="653">
        <v>3650985.6293928851</v>
      </c>
      <c r="D37" s="623"/>
      <c r="E37" s="623"/>
      <c r="F37" s="623"/>
      <c r="G37" s="623"/>
      <c r="H37" s="623"/>
      <c r="I37" s="623"/>
      <c r="J37" s="623"/>
      <c r="K37" s="623"/>
      <c r="L37" s="623"/>
    </row>
    <row r="38" spans="1:12">
      <c r="A38" s="636"/>
      <c r="B38" s="637" t="str">
        <f>+B22</f>
        <v>December 2014</v>
      </c>
      <c r="C38" s="653">
        <v>4153999.3231985159</v>
      </c>
      <c r="D38" s="623"/>
      <c r="E38" s="623"/>
      <c r="F38" s="623"/>
      <c r="G38" s="623"/>
      <c r="H38" s="623"/>
      <c r="I38" s="623"/>
      <c r="J38" s="623"/>
      <c r="K38" s="623"/>
      <c r="L38" s="623"/>
    </row>
    <row r="39" spans="1:12">
      <c r="A39" s="638"/>
      <c r="B39" s="639" t="s">
        <v>147</v>
      </c>
      <c r="C39" s="640">
        <f t="shared" ref="C39" si="0">AVERAGE(C26:C38)</f>
        <v>1599180.9323892477</v>
      </c>
      <c r="D39" s="623"/>
      <c r="E39" s="623"/>
      <c r="F39" s="623"/>
      <c r="G39" s="623"/>
      <c r="H39" s="623"/>
      <c r="I39" s="623"/>
      <c r="J39" s="623"/>
      <c r="K39" s="623"/>
      <c r="L39" s="623"/>
    </row>
    <row r="40" spans="1:12" s="473" customFormat="1">
      <c r="A40" s="643"/>
      <c r="B40" s="644"/>
      <c r="C40" s="645"/>
      <c r="D40" s="623"/>
      <c r="E40" s="623"/>
      <c r="F40" s="623"/>
      <c r="G40" s="623"/>
      <c r="H40" s="623"/>
      <c r="I40" s="623"/>
      <c r="J40" s="623"/>
      <c r="K40" s="623"/>
      <c r="L40" s="623"/>
    </row>
    <row r="41" spans="1:12">
      <c r="A41" s="638"/>
      <c r="B41" s="646"/>
      <c r="C41" s="647"/>
      <c r="D41" s="623"/>
      <c r="E41" s="623"/>
      <c r="F41" s="623"/>
      <c r="G41" s="623"/>
      <c r="H41" s="623"/>
      <c r="I41" s="623"/>
      <c r="J41" s="623"/>
      <c r="K41" s="623"/>
      <c r="L41" s="623"/>
    </row>
    <row r="42" spans="1:12">
      <c r="A42" s="638"/>
      <c r="B42" s="648"/>
      <c r="C42" s="649"/>
      <c r="D42" s="623"/>
      <c r="E42" s="623"/>
      <c r="F42" s="623"/>
      <c r="G42" s="623"/>
      <c r="H42" s="623"/>
      <c r="I42" s="623"/>
      <c r="J42" s="623"/>
      <c r="K42" s="623"/>
      <c r="L42" s="623"/>
    </row>
    <row r="43" spans="1:12">
      <c r="A43" s="630" t="s">
        <v>203</v>
      </c>
      <c r="B43" s="650" t="str">
        <f>B10</f>
        <v>December 2013</v>
      </c>
      <c r="C43" s="651">
        <f t="shared" ref="C43:C55" si="1">+C10-C26</f>
        <v>326546661.90082037</v>
      </c>
      <c r="D43" s="623"/>
      <c r="E43" s="623"/>
      <c r="F43" s="623"/>
      <c r="G43" s="623"/>
      <c r="H43" s="623"/>
      <c r="I43" s="623"/>
      <c r="J43" s="623"/>
      <c r="K43" s="623"/>
      <c r="L43" s="623"/>
    </row>
    <row r="44" spans="1:12">
      <c r="A44" s="633" t="s">
        <v>940</v>
      </c>
      <c r="B44" s="652" t="str">
        <f>B11</f>
        <v>January 2014</v>
      </c>
      <c r="C44" s="653">
        <f t="shared" si="1"/>
        <v>340033639.27596313</v>
      </c>
      <c r="D44" s="623"/>
      <c r="E44" s="623"/>
      <c r="F44" s="623"/>
      <c r="G44" s="623"/>
      <c r="H44" s="623"/>
      <c r="I44" s="623"/>
      <c r="J44" s="623"/>
      <c r="K44" s="623"/>
      <c r="L44" s="623"/>
    </row>
    <row r="45" spans="1:12">
      <c r="A45" s="633"/>
      <c r="B45" s="642" t="s">
        <v>166</v>
      </c>
      <c r="C45" s="653">
        <f t="shared" si="1"/>
        <v>355203969.92464858</v>
      </c>
      <c r="D45" s="623"/>
      <c r="E45" s="623"/>
      <c r="F45" s="623"/>
      <c r="G45" s="623"/>
      <c r="H45" s="623"/>
      <c r="I45" s="623"/>
      <c r="J45" s="623"/>
      <c r="K45" s="623"/>
      <c r="L45" s="623"/>
    </row>
    <row r="46" spans="1:12">
      <c r="A46" s="633"/>
      <c r="B46" s="642" t="s">
        <v>272</v>
      </c>
      <c r="C46" s="653">
        <f t="shared" si="1"/>
        <v>370602334.88594228</v>
      </c>
      <c r="D46" s="623"/>
      <c r="E46" s="623"/>
      <c r="F46" s="623"/>
      <c r="G46" s="623"/>
      <c r="H46" s="623"/>
      <c r="I46" s="623"/>
      <c r="J46" s="623"/>
      <c r="K46" s="623"/>
      <c r="L46" s="623"/>
    </row>
    <row r="47" spans="1:12">
      <c r="A47" s="633"/>
      <c r="B47" s="642" t="s">
        <v>168</v>
      </c>
      <c r="C47" s="653">
        <f t="shared" si="1"/>
        <v>362689376.17561507</v>
      </c>
      <c r="D47" s="623"/>
      <c r="E47" s="623"/>
      <c r="F47" s="623"/>
      <c r="G47" s="623"/>
      <c r="H47" s="623"/>
      <c r="I47" s="623"/>
      <c r="J47" s="623"/>
      <c r="K47" s="623"/>
      <c r="L47" s="623"/>
    </row>
    <row r="48" spans="1:12">
      <c r="A48" s="633"/>
      <c r="B48" s="642" t="s">
        <v>140</v>
      </c>
      <c r="C48" s="653">
        <f t="shared" si="1"/>
        <v>374268390.52005291</v>
      </c>
      <c r="D48" s="623"/>
      <c r="E48" s="623"/>
      <c r="F48" s="623"/>
      <c r="G48" s="623"/>
      <c r="H48" s="623"/>
      <c r="I48" s="623"/>
      <c r="J48" s="623"/>
      <c r="K48" s="623"/>
      <c r="L48" s="623"/>
    </row>
    <row r="49" spans="1:12">
      <c r="A49" s="633"/>
      <c r="B49" s="642" t="s">
        <v>169</v>
      </c>
      <c r="C49" s="653">
        <f t="shared" si="1"/>
        <v>384789361.74250036</v>
      </c>
      <c r="D49" s="623"/>
      <c r="E49" s="623"/>
      <c r="F49" s="623"/>
      <c r="G49" s="623"/>
      <c r="H49" s="623"/>
      <c r="I49" s="623"/>
      <c r="J49" s="623"/>
      <c r="K49" s="623"/>
      <c r="L49" s="623"/>
    </row>
    <row r="50" spans="1:12">
      <c r="A50" s="633"/>
      <c r="B50" s="642" t="s">
        <v>170</v>
      </c>
      <c r="C50" s="653">
        <f t="shared" si="1"/>
        <v>395864650.86437517</v>
      </c>
      <c r="D50" s="623"/>
      <c r="E50" s="623"/>
      <c r="F50" s="623"/>
      <c r="G50" s="623"/>
      <c r="H50" s="623"/>
      <c r="I50" s="623"/>
      <c r="J50" s="623"/>
      <c r="K50" s="623"/>
      <c r="L50" s="623"/>
    </row>
    <row r="51" spans="1:12">
      <c r="A51" s="633"/>
      <c r="B51" s="642" t="s">
        <v>275</v>
      </c>
      <c r="C51" s="653">
        <f t="shared" si="1"/>
        <v>403761892.2418496</v>
      </c>
      <c r="D51" s="623"/>
      <c r="E51" s="623"/>
      <c r="F51" s="623"/>
      <c r="G51" s="623"/>
      <c r="H51" s="623"/>
      <c r="I51" s="623"/>
      <c r="J51" s="623"/>
      <c r="K51" s="623"/>
      <c r="L51" s="623"/>
    </row>
    <row r="52" spans="1:12">
      <c r="A52" s="633"/>
      <c r="B52" s="642" t="s">
        <v>172</v>
      </c>
      <c r="C52" s="653">
        <f t="shared" si="1"/>
        <v>411270288.17660749</v>
      </c>
      <c r="D52" s="623"/>
      <c r="E52" s="623"/>
      <c r="F52" s="623"/>
      <c r="G52" s="623"/>
      <c r="H52" s="623"/>
      <c r="I52" s="623"/>
      <c r="J52" s="623"/>
      <c r="K52" s="623"/>
      <c r="L52" s="623"/>
    </row>
    <row r="53" spans="1:12">
      <c r="A53" s="633"/>
      <c r="B53" s="642" t="s">
        <v>173</v>
      </c>
      <c r="C53" s="653">
        <f t="shared" si="1"/>
        <v>415794540.10378927</v>
      </c>
      <c r="D53" s="623"/>
      <c r="E53" s="623"/>
      <c r="F53" s="623"/>
      <c r="G53" s="623"/>
      <c r="H53" s="623"/>
      <c r="I53" s="623"/>
      <c r="J53" s="623"/>
      <c r="K53" s="623"/>
      <c r="L53" s="623"/>
    </row>
    <row r="54" spans="1:12">
      <c r="A54" s="633"/>
      <c r="B54" s="642" t="s">
        <v>174</v>
      </c>
      <c r="C54" s="653">
        <f t="shared" si="1"/>
        <v>423317626.51584363</v>
      </c>
      <c r="D54" s="623"/>
      <c r="E54" s="623"/>
      <c r="F54" s="623"/>
      <c r="G54" s="623"/>
      <c r="H54" s="623"/>
      <c r="I54" s="623"/>
      <c r="J54" s="623"/>
      <c r="K54" s="623"/>
      <c r="L54" s="623"/>
    </row>
    <row r="55" spans="1:12">
      <c r="A55" s="636"/>
      <c r="B55" s="654" t="str">
        <f>+B38</f>
        <v>December 2014</v>
      </c>
      <c r="C55" s="653">
        <f t="shared" si="1"/>
        <v>428576245.39168173</v>
      </c>
      <c r="D55" s="623"/>
      <c r="E55" s="623"/>
      <c r="F55" s="623"/>
      <c r="G55" s="623"/>
      <c r="H55" s="623"/>
      <c r="I55" s="623"/>
      <c r="J55" s="623"/>
      <c r="K55" s="623"/>
      <c r="L55" s="623"/>
    </row>
    <row r="56" spans="1:12">
      <c r="A56" s="638"/>
      <c r="B56" s="639" t="s">
        <v>147</v>
      </c>
      <c r="C56" s="640">
        <f>AVERAGE(C43:C55)</f>
        <v>384055305.97843766</v>
      </c>
      <c r="D56" s="623"/>
      <c r="E56" s="623"/>
      <c r="F56" s="623"/>
      <c r="G56" s="623"/>
      <c r="H56" s="623"/>
      <c r="I56" s="623"/>
      <c r="J56" s="623"/>
      <c r="K56" s="623"/>
      <c r="L56" s="623"/>
    </row>
    <row r="57" spans="1:12">
      <c r="A57" s="638"/>
      <c r="B57" s="646"/>
      <c r="C57" s="655"/>
      <c r="D57" s="623"/>
      <c r="E57" s="623"/>
      <c r="F57" s="623"/>
      <c r="G57" s="623"/>
      <c r="H57" s="623"/>
      <c r="I57" s="623"/>
      <c r="J57" s="623"/>
      <c r="K57" s="623"/>
      <c r="L57" s="623"/>
    </row>
    <row r="58" spans="1:12">
      <c r="A58" s="638"/>
      <c r="B58" s="656"/>
      <c r="C58" s="657"/>
      <c r="D58" s="623"/>
      <c r="E58" s="623"/>
      <c r="F58" s="623"/>
      <c r="G58" s="623"/>
      <c r="H58" s="623"/>
      <c r="I58" s="623"/>
      <c r="J58" s="623"/>
      <c r="K58" s="623"/>
      <c r="L58" s="623"/>
    </row>
    <row r="59" spans="1:12">
      <c r="A59" s="658" t="s">
        <v>941</v>
      </c>
      <c r="B59" s="659" t="s">
        <v>942</v>
      </c>
      <c r="C59" s="869">
        <v>4020675.450339729</v>
      </c>
      <c r="D59" s="623"/>
      <c r="E59" s="623"/>
      <c r="F59" s="623"/>
      <c r="G59" s="623"/>
      <c r="H59" s="623"/>
      <c r="I59" s="623"/>
      <c r="J59" s="623"/>
      <c r="K59" s="623"/>
      <c r="L59" s="623"/>
    </row>
    <row r="60" spans="1:12">
      <c r="A60" s="636" t="s">
        <v>943</v>
      </c>
      <c r="B60" s="660" t="s">
        <v>944</v>
      </c>
      <c r="C60" s="653">
        <v>0</v>
      </c>
      <c r="D60" s="623"/>
      <c r="E60" s="623"/>
      <c r="F60" s="623"/>
      <c r="G60" s="623"/>
      <c r="H60" s="623"/>
      <c r="I60" s="623"/>
      <c r="J60" s="623"/>
      <c r="K60" s="623"/>
      <c r="L60" s="623"/>
    </row>
    <row r="61" spans="1:12">
      <c r="A61" s="620"/>
      <c r="B61" s="639" t="s">
        <v>945</v>
      </c>
      <c r="C61" s="640">
        <f>+C59+C60</f>
        <v>4020675.450339729</v>
      </c>
      <c r="D61" s="623"/>
      <c r="E61" s="623"/>
      <c r="F61" s="623"/>
      <c r="G61" s="623"/>
      <c r="H61" s="623"/>
      <c r="I61" s="623"/>
      <c r="J61" s="623"/>
      <c r="K61" s="623"/>
      <c r="L61" s="623"/>
    </row>
    <row r="62" spans="1:12">
      <c r="D62" s="623"/>
      <c r="E62" s="623"/>
      <c r="F62" s="623"/>
      <c r="G62" s="623"/>
      <c r="H62" s="623"/>
      <c r="I62" s="623"/>
      <c r="J62" s="623"/>
      <c r="K62" s="623"/>
      <c r="L62" s="623"/>
    </row>
    <row r="63" spans="1:12">
      <c r="D63" s="623"/>
      <c r="E63" s="623"/>
      <c r="F63" s="623"/>
      <c r="G63" s="623"/>
      <c r="H63" s="623"/>
      <c r="I63" s="623"/>
      <c r="J63" s="623"/>
      <c r="K63" s="623"/>
      <c r="L63" s="623"/>
    </row>
    <row r="64" spans="1:12">
      <c r="C64" s="863"/>
      <c r="D64" s="623"/>
      <c r="E64" s="623"/>
      <c r="F64" s="623"/>
      <c r="G64" s="623"/>
      <c r="H64" s="623"/>
      <c r="I64" s="623"/>
      <c r="J64" s="623"/>
      <c r="K64" s="623"/>
      <c r="L64" s="623"/>
    </row>
    <row r="65" spans="4:12">
      <c r="D65" s="623"/>
      <c r="E65" s="623"/>
      <c r="F65" s="623"/>
      <c r="G65" s="623"/>
      <c r="H65" s="623"/>
      <c r="I65" s="623"/>
      <c r="J65" s="623"/>
      <c r="K65" s="623"/>
      <c r="L65" s="623"/>
    </row>
    <row r="66" spans="4:12">
      <c r="D66" s="623"/>
      <c r="E66" s="623"/>
      <c r="F66" s="623"/>
      <c r="G66" s="623"/>
      <c r="H66" s="623"/>
      <c r="I66" s="623"/>
      <c r="J66" s="623"/>
      <c r="K66" s="623"/>
      <c r="L66" s="623"/>
    </row>
    <row r="67" spans="4:12">
      <c r="D67" s="623"/>
      <c r="E67" s="623"/>
      <c r="F67" s="623"/>
      <c r="G67" s="623"/>
      <c r="H67" s="623"/>
      <c r="I67" s="623"/>
      <c r="J67" s="623"/>
      <c r="K67" s="623"/>
      <c r="L67" s="623"/>
    </row>
    <row r="68" spans="4:12">
      <c r="D68" s="623"/>
      <c r="E68" s="623"/>
      <c r="F68" s="623"/>
      <c r="G68" s="623"/>
      <c r="H68" s="623"/>
      <c r="I68" s="623"/>
      <c r="J68" s="623"/>
      <c r="K68" s="623"/>
      <c r="L68" s="623"/>
    </row>
    <row r="69" spans="4:12">
      <c r="D69" s="623"/>
      <c r="E69" s="623"/>
      <c r="F69" s="623"/>
      <c r="G69" s="623"/>
      <c r="H69" s="623"/>
      <c r="I69" s="623"/>
      <c r="J69" s="623"/>
      <c r="K69" s="623"/>
      <c r="L69" s="623"/>
    </row>
    <row r="70" spans="4:12">
      <c r="D70" s="623"/>
      <c r="E70" s="623"/>
      <c r="F70" s="623"/>
      <c r="G70" s="623"/>
      <c r="H70" s="623"/>
      <c r="I70" s="623"/>
      <c r="J70" s="623"/>
      <c r="K70" s="623"/>
      <c r="L70" s="623"/>
    </row>
    <row r="71" spans="4:12">
      <c r="D71" s="623"/>
      <c r="E71" s="623"/>
      <c r="F71" s="623"/>
      <c r="G71" s="623"/>
      <c r="H71" s="623"/>
      <c r="I71" s="623"/>
      <c r="J71" s="623"/>
      <c r="K71" s="623"/>
      <c r="L71" s="623"/>
    </row>
    <row r="72" spans="4:12">
      <c r="D72" s="623"/>
      <c r="E72" s="623"/>
      <c r="F72" s="623"/>
      <c r="G72" s="623"/>
      <c r="H72" s="623"/>
      <c r="I72" s="623"/>
      <c r="J72" s="623"/>
      <c r="K72" s="623"/>
      <c r="L72" s="623"/>
    </row>
    <row r="73" spans="4:12">
      <c r="D73" s="623"/>
      <c r="E73" s="623"/>
      <c r="F73" s="623"/>
      <c r="G73" s="623"/>
      <c r="H73" s="623"/>
      <c r="I73" s="623"/>
      <c r="J73" s="623"/>
      <c r="K73" s="623"/>
      <c r="L73" s="623"/>
    </row>
    <row r="74" spans="4:12">
      <c r="D74" s="623"/>
      <c r="E74" s="623"/>
      <c r="F74" s="623"/>
      <c r="G74" s="623"/>
      <c r="H74" s="623"/>
      <c r="I74" s="623"/>
      <c r="J74" s="623"/>
      <c r="K74" s="623"/>
      <c r="L74" s="623"/>
    </row>
    <row r="75" spans="4:12">
      <c r="D75" s="623"/>
      <c r="E75" s="623"/>
      <c r="F75" s="623"/>
      <c r="G75" s="623"/>
      <c r="H75" s="623"/>
      <c r="I75" s="623"/>
      <c r="J75" s="623"/>
      <c r="K75" s="623"/>
      <c r="L75" s="623"/>
    </row>
    <row r="76" spans="4:12">
      <c r="D76" s="623"/>
      <c r="E76" s="623"/>
      <c r="F76" s="623"/>
      <c r="G76" s="623"/>
      <c r="H76" s="623"/>
      <c r="I76" s="623"/>
      <c r="J76" s="623"/>
      <c r="K76" s="623"/>
      <c r="L76" s="623"/>
    </row>
    <row r="77" spans="4:12">
      <c r="D77" s="623"/>
      <c r="E77" s="623"/>
      <c r="F77" s="623"/>
      <c r="G77" s="623"/>
      <c r="H77" s="623"/>
      <c r="I77" s="623"/>
      <c r="J77" s="623"/>
      <c r="K77" s="623"/>
      <c r="L77" s="623"/>
    </row>
    <row r="78" spans="4:12">
      <c r="D78" s="623"/>
      <c r="E78" s="623"/>
      <c r="F78" s="623"/>
      <c r="G78" s="623"/>
      <c r="H78" s="623"/>
      <c r="I78" s="623"/>
      <c r="J78" s="623"/>
      <c r="K78" s="623"/>
      <c r="L78" s="623"/>
    </row>
    <row r="79" spans="4:12">
      <c r="D79" s="623"/>
      <c r="E79" s="623"/>
      <c r="F79" s="623"/>
      <c r="G79" s="623"/>
      <c r="H79" s="623"/>
      <c r="I79" s="623"/>
      <c r="J79" s="623"/>
      <c r="K79" s="623"/>
      <c r="L79" s="623"/>
    </row>
  </sheetData>
  <dataValidations disablePrompts="1" count="1">
    <dataValidation type="list" allowBlank="1" showInputMessage="1" showErrorMessage="1" sqref="C9">
      <formula1>$M$6:$M$7</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M37"/>
  <sheetViews>
    <sheetView showGridLines="0" workbookViewId="0">
      <selection activeCell="F42" sqref="F42"/>
    </sheetView>
  </sheetViews>
  <sheetFormatPr defaultRowHeight="15"/>
  <cols>
    <col min="1" max="1" width="4.6640625" style="7" customWidth="1"/>
    <col min="2" max="2" width="42.5546875" style="89" customWidth="1"/>
    <col min="3" max="3" width="3" style="7" customWidth="1"/>
    <col min="4" max="4" width="12.88671875" style="7" bestFit="1" customWidth="1"/>
    <col min="5" max="5" width="1.88671875" style="7" customWidth="1"/>
    <col min="6" max="6" width="11.77734375" style="7" bestFit="1" customWidth="1"/>
    <col min="7" max="7" width="1.88671875" style="7" customWidth="1"/>
    <col min="8" max="8" width="12.33203125" style="7" bestFit="1" customWidth="1"/>
    <col min="9" max="9" width="3.44140625" style="7" customWidth="1"/>
    <col min="10" max="16384" width="8.88671875" style="7"/>
  </cols>
  <sheetData>
    <row r="1" spans="1:13" s="66" customFormat="1" ht="12.75">
      <c r="A1" s="86" t="s">
        <v>27</v>
      </c>
      <c r="C1" s="87"/>
      <c r="D1" s="87"/>
      <c r="E1" s="87"/>
      <c r="F1" s="87"/>
      <c r="G1" s="87"/>
      <c r="H1" s="87"/>
      <c r="I1" s="482" t="s">
        <v>789</v>
      </c>
      <c r="J1" s="87"/>
      <c r="K1" s="87"/>
    </row>
    <row r="2" spans="1:13" s="66" customFormat="1" ht="12.75">
      <c r="A2" s="184" t="s">
        <v>304</v>
      </c>
      <c r="C2" s="87"/>
      <c r="D2" s="87"/>
      <c r="E2" s="87"/>
      <c r="F2" s="87"/>
      <c r="G2" s="87"/>
      <c r="H2" s="87"/>
      <c r="I2" s="87"/>
      <c r="J2" s="87"/>
      <c r="K2" s="87"/>
      <c r="L2" s="87"/>
      <c r="M2" s="88"/>
    </row>
    <row r="3" spans="1:13" s="66" customFormat="1" ht="12.75">
      <c r="A3" s="487" t="s">
        <v>790</v>
      </c>
      <c r="C3" s="87"/>
      <c r="D3" s="87"/>
      <c r="E3" s="87" t="s">
        <v>124</v>
      </c>
      <c r="F3" s="87"/>
      <c r="G3" s="87"/>
      <c r="H3" s="87"/>
      <c r="I3" s="87"/>
      <c r="J3" s="87"/>
      <c r="K3" s="87"/>
      <c r="L3" s="87"/>
    </row>
    <row r="4" spans="1:13" s="66" customFormat="1" ht="12.75">
      <c r="A4" s="493" t="s">
        <v>269</v>
      </c>
    </row>
    <row r="5" spans="1:13" ht="12.75">
      <c r="B5" s="66"/>
    </row>
    <row r="7" spans="1:13" ht="12.75">
      <c r="B7" s="7"/>
      <c r="D7" s="489" t="s">
        <v>798</v>
      </c>
      <c r="F7" s="489" t="s">
        <v>799</v>
      </c>
    </row>
    <row r="10" spans="1:13" ht="13.5" thickBot="1">
      <c r="A10" s="10" t="s">
        <v>248</v>
      </c>
      <c r="B10" s="7"/>
      <c r="C10" s="11"/>
      <c r="D10" s="490">
        <v>315706117</v>
      </c>
      <c r="E10" s="10"/>
      <c r="F10" s="490">
        <v>327994111.33553702</v>
      </c>
      <c r="G10" s="10"/>
      <c r="H10" s="70">
        <f>D10-F10</f>
        <v>-12287994.335537016</v>
      </c>
    </row>
    <row r="11" spans="1:13" ht="13.5" thickTop="1">
      <c r="B11" s="7"/>
      <c r="H11" s="16"/>
    </row>
    <row r="12" spans="1:13" ht="12.75">
      <c r="A12" s="10" t="s">
        <v>249</v>
      </c>
      <c r="B12" s="7"/>
      <c r="C12" s="10"/>
      <c r="D12" s="491">
        <v>6871916.666666666</v>
      </c>
      <c r="E12" s="10"/>
      <c r="F12" s="491">
        <v>6938000</v>
      </c>
      <c r="G12" s="10"/>
      <c r="H12" s="223">
        <f>D12-F12</f>
        <v>-66083.333333333954</v>
      </c>
    </row>
    <row r="13" spans="1:13" ht="12.75">
      <c r="A13" s="13" t="s">
        <v>250</v>
      </c>
      <c r="B13" s="7"/>
      <c r="C13" s="10"/>
      <c r="D13" s="491">
        <v>453583.33333333331</v>
      </c>
      <c r="E13" s="10"/>
      <c r="F13" s="491">
        <v>459500</v>
      </c>
      <c r="G13" s="10"/>
      <c r="H13" s="223">
        <f>D13-F13</f>
        <v>-5916.6666666666861</v>
      </c>
    </row>
    <row r="14" spans="1:13" ht="12.75">
      <c r="A14" s="13" t="s">
        <v>251</v>
      </c>
      <c r="B14" s="7"/>
      <c r="C14" s="10"/>
      <c r="D14" s="13">
        <v>0</v>
      </c>
      <c r="E14" s="10"/>
      <c r="F14" s="13">
        <v>0</v>
      </c>
      <c r="G14" s="10"/>
      <c r="H14" s="224">
        <f>D14-F14</f>
        <v>0</v>
      </c>
    </row>
    <row r="15" spans="1:13" ht="12.75">
      <c r="A15" s="10" t="s">
        <v>252</v>
      </c>
      <c r="B15" s="7"/>
      <c r="C15" s="10"/>
      <c r="D15" s="14">
        <f>SUM(D12:D14)</f>
        <v>7325499.9999999991</v>
      </c>
      <c r="E15" s="10"/>
      <c r="F15" s="14">
        <f>SUM(F12:F14)</f>
        <v>7397500</v>
      </c>
      <c r="G15" s="10"/>
      <c r="H15" s="225">
        <f>D15-F15</f>
        <v>-72000.000000000931</v>
      </c>
    </row>
    <row r="16" spans="1:13">
      <c r="H16" s="203"/>
    </row>
    <row r="17" spans="1:8" ht="12.75">
      <c r="A17" s="10" t="s">
        <v>253</v>
      </c>
      <c r="B17" s="7"/>
      <c r="C17" s="10"/>
      <c r="D17" s="230">
        <f>ROUND(D10/D15,8)</f>
        <v>43.096869429999998</v>
      </c>
      <c r="E17" s="230"/>
      <c r="F17" s="230">
        <f>ROUND(F10/F15,8)</f>
        <v>44.33850778</v>
      </c>
      <c r="G17" s="204"/>
      <c r="H17" s="492">
        <f>D17-F17</f>
        <v>-1.2416383500000023</v>
      </c>
    </row>
    <row r="18" spans="1:8" ht="12.75">
      <c r="A18" s="10"/>
      <c r="B18" s="7"/>
      <c r="C18" s="10"/>
      <c r="E18" s="10"/>
      <c r="G18" s="10"/>
      <c r="H18" s="203"/>
    </row>
    <row r="19" spans="1:8">
      <c r="H19" s="203"/>
    </row>
    <row r="20" spans="1:8" ht="12.75">
      <c r="A20" s="10" t="s">
        <v>254</v>
      </c>
      <c r="B20" s="7"/>
      <c r="H20" s="205">
        <f>D15</f>
        <v>7325499.9999999991</v>
      </c>
    </row>
    <row r="21" spans="1:8" ht="12.75">
      <c r="A21" s="10" t="s">
        <v>255</v>
      </c>
      <c r="B21" s="7"/>
      <c r="H21" s="206">
        <f>F15</f>
        <v>7397500</v>
      </c>
    </row>
    <row r="22" spans="1:8" ht="12.75">
      <c r="A22" s="10" t="s">
        <v>256</v>
      </c>
      <c r="B22" s="7"/>
      <c r="H22" s="207">
        <f>H20-H21</f>
        <v>-72000.000000000931</v>
      </c>
    </row>
    <row r="23" spans="1:8">
      <c r="H23" s="16"/>
    </row>
    <row r="24" spans="1:8" ht="12.75">
      <c r="A24" s="7" t="s">
        <v>257</v>
      </c>
      <c r="B24" s="7"/>
      <c r="H24" s="231">
        <f>F17</f>
        <v>44.33850778</v>
      </c>
    </row>
    <row r="25" spans="1:8">
      <c r="H25" s="16"/>
    </row>
    <row r="26" spans="1:8" ht="13.5" thickBot="1">
      <c r="A26" s="10" t="s">
        <v>258</v>
      </c>
      <c r="B26" s="7"/>
      <c r="H26" s="208">
        <f>H22*H24</f>
        <v>-3192372.5601600413</v>
      </c>
    </row>
    <row r="27" spans="1:8" ht="13.5" thickTop="1">
      <c r="B27" s="7"/>
      <c r="H27" s="16"/>
    </row>
    <row r="28" spans="1:8" ht="12.75">
      <c r="A28" s="7" t="s">
        <v>259</v>
      </c>
      <c r="B28" s="7"/>
      <c r="H28" s="16">
        <f>H10-H26</f>
        <v>-9095621.7753769755</v>
      </c>
    </row>
    <row r="29" spans="1:8">
      <c r="H29" s="16"/>
    </row>
    <row r="30" spans="1:8" ht="12.75">
      <c r="B30" s="7"/>
      <c r="F30" s="17" t="s">
        <v>260</v>
      </c>
      <c r="H30" s="16">
        <f>H17*D15</f>
        <v>-9095621.7329250164</v>
      </c>
    </row>
    <row r="31" spans="1:8" ht="12.75">
      <c r="B31" s="7"/>
      <c r="F31" s="17"/>
      <c r="H31" s="16"/>
    </row>
    <row r="32" spans="1:8" ht="12.75">
      <c r="B32" s="7"/>
      <c r="F32" s="17" t="s">
        <v>261</v>
      </c>
      <c r="H32" s="16">
        <f>H28-H30</f>
        <v>-4.2451959103345871E-2</v>
      </c>
    </row>
    <row r="33" spans="1:8" ht="12.75">
      <c r="B33" s="7"/>
      <c r="H33" s="203"/>
    </row>
    <row r="34" spans="1:8" ht="13.5" customHeight="1"/>
    <row r="35" spans="1:8" ht="12.75">
      <c r="B35" s="7"/>
    </row>
    <row r="37" spans="1:8" ht="12.75">
      <c r="A37" s="7" t="s">
        <v>262</v>
      </c>
      <c r="B37" s="7"/>
    </row>
  </sheetData>
  <phoneticPr fontId="13" type="noConversion"/>
  <pageMargins left="0.75" right="0.75" top="1" bottom="1" header="0.5" footer="0.5"/>
  <pageSetup scale="79" orientation="portrait" r:id="rId1"/>
  <headerFooter alignWithMargins="0">
    <oddFooter>Page &amp;P of &amp;N</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51"/>
  <sheetViews>
    <sheetView showGridLines="0" workbookViewId="0">
      <selection activeCell="H45" sqref="H45"/>
    </sheetView>
  </sheetViews>
  <sheetFormatPr defaultRowHeight="12.75"/>
  <cols>
    <col min="1" max="1" width="5.6640625" style="7" customWidth="1"/>
    <col min="2" max="2" width="36.109375" style="7" customWidth="1"/>
    <col min="3" max="3" width="14" style="7" bestFit="1" customWidth="1"/>
    <col min="4" max="4" width="11.77734375" style="7" bestFit="1" customWidth="1"/>
    <col min="5" max="16384" width="8.88671875" style="7"/>
  </cols>
  <sheetData>
    <row r="1" spans="1:13" s="66" customFormat="1">
      <c r="A1" s="86" t="s">
        <v>27</v>
      </c>
      <c r="C1" s="87"/>
      <c r="D1" s="87"/>
      <c r="E1" s="482" t="s">
        <v>789</v>
      </c>
      <c r="F1" s="87"/>
      <c r="G1" s="87"/>
      <c r="H1" s="87"/>
      <c r="J1" s="87"/>
      <c r="K1" s="87"/>
    </row>
    <row r="2" spans="1:13" s="66" customFormat="1">
      <c r="A2" s="184" t="s">
        <v>305</v>
      </c>
      <c r="C2" s="87"/>
      <c r="D2" s="87"/>
      <c r="E2" s="87"/>
      <c r="F2" s="87"/>
      <c r="G2" s="87"/>
      <c r="H2" s="87"/>
      <c r="I2" s="87"/>
      <c r="J2" s="87"/>
      <c r="K2" s="87"/>
      <c r="L2" s="87"/>
      <c r="M2" s="88"/>
    </row>
    <row r="3" spans="1:13" s="66" customFormat="1">
      <c r="A3" s="487" t="s">
        <v>790</v>
      </c>
      <c r="C3" s="87"/>
      <c r="D3" s="87"/>
      <c r="E3" s="87" t="s">
        <v>124</v>
      </c>
      <c r="F3" s="87"/>
      <c r="G3" s="87"/>
      <c r="H3" s="87"/>
      <c r="I3" s="87"/>
      <c r="J3" s="87"/>
      <c r="K3" s="87"/>
      <c r="L3" s="87"/>
    </row>
    <row r="4" spans="1:13" s="66" customFormat="1">
      <c r="A4" s="493" t="s">
        <v>269</v>
      </c>
      <c r="C4" s="87"/>
    </row>
    <row r="5" spans="1:13">
      <c r="B5" s="66"/>
    </row>
    <row r="7" spans="1:13">
      <c r="B7" s="10" t="s">
        <v>263</v>
      </c>
      <c r="C7" s="16">
        <f>'WP True Up Calc in 2014 Formula'!H10</f>
        <v>-12287994.335537016</v>
      </c>
    </row>
    <row r="8" spans="1:13">
      <c r="B8" s="10" t="s">
        <v>264</v>
      </c>
      <c r="C8" s="16">
        <f>-'WP True Up Calc in 2014 Formula'!H26</f>
        <v>3192372.5601600413</v>
      </c>
    </row>
    <row r="9" spans="1:13">
      <c r="C9" s="16"/>
    </row>
    <row r="10" spans="1:13">
      <c r="B10" s="7" t="s">
        <v>259</v>
      </c>
      <c r="C10" s="16">
        <f>SUM(C7:C9)</f>
        <v>-9095621.7753769755</v>
      </c>
    </row>
    <row r="11" spans="1:13">
      <c r="C11" s="16"/>
    </row>
    <row r="12" spans="1:13">
      <c r="B12" s="494" t="s">
        <v>810</v>
      </c>
      <c r="C12" s="23">
        <f>C51</f>
        <v>3.2500000000000001E-2</v>
      </c>
    </row>
    <row r="14" spans="1:13" ht="13.5" thickBot="1">
      <c r="B14" s="435" t="s">
        <v>800</v>
      </c>
      <c r="C14" s="67">
        <f>D27</f>
        <v>-608304.10282067326</v>
      </c>
    </row>
    <row r="15" spans="1:13" ht="13.5" thickTop="1"/>
    <row r="17" spans="2:5">
      <c r="B17" s="7" t="s">
        <v>265</v>
      </c>
    </row>
    <row r="18" spans="2:5">
      <c r="C18" s="68" t="s">
        <v>266</v>
      </c>
      <c r="D18" s="68" t="s">
        <v>267</v>
      </c>
    </row>
    <row r="19" spans="2:5">
      <c r="B19" s="489" t="s">
        <v>804</v>
      </c>
      <c r="C19" s="12">
        <f>C10</f>
        <v>-9095621.7753769755</v>
      </c>
      <c r="D19" s="12">
        <f>C19*C12/4</f>
        <v>-73901.926924937929</v>
      </c>
    </row>
    <row r="20" spans="2:5">
      <c r="B20" s="489" t="s">
        <v>803</v>
      </c>
      <c r="C20" s="12">
        <f t="shared" ref="C20:C26" si="0">C19+D19</f>
        <v>-9169523.7023019139</v>
      </c>
      <c r="D20" s="12">
        <f>C20*C12/4</f>
        <v>-74502.380081203053</v>
      </c>
    </row>
    <row r="21" spans="2:5">
      <c r="B21" s="489" t="s">
        <v>802</v>
      </c>
      <c r="C21" s="12">
        <f t="shared" si="0"/>
        <v>-9244026.0823831167</v>
      </c>
      <c r="D21" s="12">
        <f>C21*C12/4</f>
        <v>-75107.711919362831</v>
      </c>
    </row>
    <row r="22" spans="2:5">
      <c r="B22" s="489" t="s">
        <v>801</v>
      </c>
      <c r="C22" s="12">
        <f t="shared" si="0"/>
        <v>-9319133.7943024803</v>
      </c>
      <c r="D22" s="12">
        <f>C22*C12/4</f>
        <v>-75717.962078707656</v>
      </c>
    </row>
    <row r="23" spans="2:5">
      <c r="B23" s="489" t="s">
        <v>805</v>
      </c>
      <c r="C23" s="12">
        <f t="shared" si="0"/>
        <v>-9394851.7563811876</v>
      </c>
      <c r="D23" s="12">
        <f>C23*C12/4</f>
        <v>-76333.170520597152</v>
      </c>
    </row>
    <row r="24" spans="2:5">
      <c r="B24" s="489" t="s">
        <v>806</v>
      </c>
      <c r="C24" s="12">
        <f t="shared" si="0"/>
        <v>-9471184.9269017857</v>
      </c>
      <c r="D24" s="12">
        <f>C24*C12/4</f>
        <v>-76953.377531077014</v>
      </c>
    </row>
    <row r="25" spans="2:5">
      <c r="B25" s="489" t="s">
        <v>807</v>
      </c>
      <c r="C25" s="12">
        <f t="shared" si="0"/>
        <v>-9548138.3044328634</v>
      </c>
      <c r="D25" s="12">
        <f>C25*C12/4</f>
        <v>-77578.623723517012</v>
      </c>
    </row>
    <row r="26" spans="2:5">
      <c r="B26" s="489" t="s">
        <v>808</v>
      </c>
      <c r="C26" s="12">
        <f t="shared" si="0"/>
        <v>-9625716.9281563796</v>
      </c>
      <c r="D26" s="12">
        <f>C26*C12/4</f>
        <v>-78208.950041270582</v>
      </c>
    </row>
    <row r="27" spans="2:5">
      <c r="B27" s="7" t="s">
        <v>268</v>
      </c>
      <c r="C27" s="69"/>
      <c r="D27" s="15">
        <f>SUM(D19:D26)</f>
        <v>-608304.10282067326</v>
      </c>
    </row>
    <row r="29" spans="2:5" ht="8.25" customHeight="1"/>
    <row r="30" spans="2:5">
      <c r="B30" s="495" t="s">
        <v>811</v>
      </c>
      <c r="C30" s="496"/>
      <c r="D30" s="497"/>
      <c r="E30" s="497"/>
    </row>
    <row r="31" spans="2:5">
      <c r="B31" s="498">
        <v>40909</v>
      </c>
      <c r="C31" s="499">
        <v>3.2500000000000001E-2</v>
      </c>
      <c r="D31" s="497"/>
      <c r="E31" s="497"/>
    </row>
    <row r="32" spans="2:5">
      <c r="B32" s="498">
        <v>40940</v>
      </c>
      <c r="C32" s="499">
        <v>3.2500000000000001E-2</v>
      </c>
      <c r="D32" s="497"/>
      <c r="E32" s="497"/>
    </row>
    <row r="33" spans="2:5">
      <c r="B33" s="498">
        <v>40969</v>
      </c>
      <c r="C33" s="499">
        <v>3.2500000000000001E-2</v>
      </c>
      <c r="D33" s="500"/>
      <c r="E33" s="497"/>
    </row>
    <row r="34" spans="2:5">
      <c r="B34" s="498">
        <v>41000</v>
      </c>
      <c r="C34" s="499">
        <v>3.2500000000000001E-2</v>
      </c>
      <c r="D34" s="497"/>
      <c r="E34" s="497"/>
    </row>
    <row r="35" spans="2:5">
      <c r="B35" s="498">
        <v>41030</v>
      </c>
      <c r="C35" s="499">
        <v>3.2500000000000001E-2</v>
      </c>
      <c r="D35" s="497"/>
      <c r="E35" s="497"/>
    </row>
    <row r="36" spans="2:5">
      <c r="B36" s="498">
        <v>41061</v>
      </c>
      <c r="C36" s="499">
        <v>3.2500000000000001E-2</v>
      </c>
      <c r="D36" s="500"/>
      <c r="E36" s="497"/>
    </row>
    <row r="37" spans="2:5">
      <c r="B37" s="498">
        <v>41091</v>
      </c>
      <c r="C37" s="499">
        <v>3.2500000000000001E-2</v>
      </c>
      <c r="D37" s="497"/>
      <c r="E37" s="497"/>
    </row>
    <row r="38" spans="2:5">
      <c r="B38" s="498">
        <v>41122</v>
      </c>
      <c r="C38" s="499">
        <v>3.2500000000000001E-2</v>
      </c>
      <c r="D38" s="497"/>
      <c r="E38" s="497"/>
    </row>
    <row r="39" spans="2:5">
      <c r="B39" s="498">
        <v>41153</v>
      </c>
      <c r="C39" s="499">
        <v>3.2500000000000001E-2</v>
      </c>
      <c r="D39" s="500"/>
      <c r="E39" s="497"/>
    </row>
    <row r="40" spans="2:5">
      <c r="B40" s="498">
        <v>41183</v>
      </c>
      <c r="C40" s="499">
        <v>3.2500000000000001E-2</v>
      </c>
      <c r="D40" s="497"/>
      <c r="E40" s="497"/>
    </row>
    <row r="41" spans="2:5">
      <c r="B41" s="498">
        <v>41214</v>
      </c>
      <c r="C41" s="499">
        <v>3.2500000000000001E-2</v>
      </c>
      <c r="D41" s="497"/>
      <c r="E41" s="497"/>
    </row>
    <row r="42" spans="2:5">
      <c r="B42" s="498">
        <v>41244</v>
      </c>
      <c r="C42" s="499">
        <v>3.2500000000000001E-2</v>
      </c>
      <c r="D42" s="500"/>
      <c r="E42" s="497"/>
    </row>
    <row r="43" spans="2:5">
      <c r="B43" s="498">
        <v>41275</v>
      </c>
      <c r="C43" s="499">
        <v>3.2500000000000001E-2</v>
      </c>
      <c r="D43" s="497"/>
      <c r="E43" s="497"/>
    </row>
    <row r="44" spans="2:5">
      <c r="B44" s="498">
        <v>41306</v>
      </c>
      <c r="C44" s="499">
        <v>3.2500000000000001E-2</v>
      </c>
      <c r="D44" s="497"/>
      <c r="E44" s="497"/>
    </row>
    <row r="45" spans="2:5">
      <c r="B45" s="498">
        <v>41334</v>
      </c>
      <c r="C45" s="499">
        <v>3.2500000000000001E-2</v>
      </c>
      <c r="D45" s="500"/>
      <c r="E45" s="497"/>
    </row>
    <row r="46" spans="2:5">
      <c r="B46" s="498">
        <v>41365</v>
      </c>
      <c r="C46" s="499">
        <v>3.2500000000000001E-2</v>
      </c>
      <c r="D46" s="497"/>
      <c r="E46" s="497"/>
    </row>
    <row r="47" spans="2:5">
      <c r="B47" s="498">
        <v>41395</v>
      </c>
      <c r="C47" s="499">
        <v>3.2500000000000001E-2</v>
      </c>
      <c r="D47" s="497"/>
      <c r="E47" s="497"/>
    </row>
    <row r="48" spans="2:5">
      <c r="B48" s="498">
        <v>41426</v>
      </c>
      <c r="C48" s="499">
        <v>3.2500000000000001E-2</v>
      </c>
      <c r="D48" s="500"/>
      <c r="E48" s="497"/>
    </row>
    <row r="49" spans="2:5">
      <c r="B49" s="498">
        <v>41456</v>
      </c>
      <c r="C49" s="499">
        <v>3.2500000000000001E-2</v>
      </c>
      <c r="D49" s="497"/>
      <c r="E49" s="497"/>
    </row>
    <row r="50" spans="2:5">
      <c r="B50" s="501"/>
      <c r="C50" s="502"/>
    </row>
    <row r="51" spans="2:5">
      <c r="C51" s="502">
        <f>ROUND(AVERAGE(C31:C49),4)</f>
        <v>3.2500000000000001E-2</v>
      </c>
      <c r="D51" s="497" t="s">
        <v>812</v>
      </c>
    </row>
  </sheetData>
  <phoneticPr fontId="13" type="noConversion"/>
  <pageMargins left="0.5" right="0.5" top="1" bottom="1" header="0.5" footer="0.5"/>
  <pageSetup orientation="portrait" r:id="rId1"/>
  <headerFooter alignWithMargins="0">
    <oddFooter>Page &amp;P of &amp;N</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L42"/>
  <sheetViews>
    <sheetView showGridLines="0" zoomScaleNormal="75" workbookViewId="0">
      <selection activeCell="J47" sqref="J47"/>
    </sheetView>
  </sheetViews>
  <sheetFormatPr defaultColWidth="14.44140625" defaultRowHeight="12.75"/>
  <cols>
    <col min="1" max="1" width="4.77734375" style="90" customWidth="1"/>
    <col min="2" max="2" width="2.77734375" style="66" customWidth="1"/>
    <col min="3" max="3" width="30.5546875" style="66" customWidth="1"/>
    <col min="4" max="4" width="9.88671875" style="66" bestFit="1" customWidth="1"/>
    <col min="5" max="5" width="0.88671875" style="66" customWidth="1"/>
    <col min="6" max="6" width="10.77734375" style="66" customWidth="1"/>
    <col min="7" max="7" width="0.88671875" style="66" customWidth="1"/>
    <col min="8" max="8" width="10.77734375" style="66" customWidth="1"/>
    <col min="9" max="9" width="0.88671875" style="66" customWidth="1"/>
    <col min="10" max="10" width="13.77734375" style="66" customWidth="1"/>
    <col min="11" max="11" width="0.6640625" style="66" customWidth="1"/>
    <col min="12" max="12" width="14.44140625" style="66" bestFit="1" customWidth="1"/>
    <col min="13" max="16384" width="14.44140625" style="66"/>
  </cols>
  <sheetData>
    <row r="1" spans="1:12">
      <c r="A1" s="86" t="s">
        <v>27</v>
      </c>
      <c r="B1" s="87"/>
      <c r="C1" s="87"/>
      <c r="D1" s="87"/>
      <c r="E1" s="87"/>
      <c r="F1" s="87"/>
      <c r="G1" s="87"/>
      <c r="H1" s="87"/>
      <c r="I1" s="87"/>
      <c r="J1" s="87"/>
      <c r="K1" s="87"/>
      <c r="L1" s="482" t="s">
        <v>789</v>
      </c>
    </row>
    <row r="2" spans="1:12">
      <c r="A2" s="86" t="s">
        <v>213</v>
      </c>
      <c r="B2" s="87"/>
      <c r="C2" s="87"/>
      <c r="D2" s="87"/>
      <c r="E2" s="87"/>
      <c r="F2" s="87"/>
      <c r="G2" s="87"/>
      <c r="H2" s="87"/>
      <c r="I2" s="87"/>
      <c r="J2" s="87"/>
      <c r="K2" s="87"/>
      <c r="L2" s="88"/>
    </row>
    <row r="3" spans="1:12">
      <c r="A3" s="487" t="s">
        <v>790</v>
      </c>
      <c r="B3" s="87"/>
      <c r="C3" s="87"/>
      <c r="D3" s="87" t="s">
        <v>124</v>
      </c>
      <c r="E3" s="87"/>
      <c r="F3" s="87"/>
      <c r="G3" s="87"/>
      <c r="H3" s="87"/>
      <c r="I3" s="87"/>
      <c r="J3" s="87"/>
      <c r="K3" s="87"/>
    </row>
    <row r="4" spans="1:12">
      <c r="A4" s="503" t="s">
        <v>269</v>
      </c>
    </row>
    <row r="5" spans="1:12">
      <c r="B5" s="91"/>
    </row>
    <row r="6" spans="1:12">
      <c r="B6" s="91"/>
    </row>
    <row r="7" spans="1:12">
      <c r="A7" s="53"/>
      <c r="B7" s="53"/>
      <c r="C7" s="53"/>
      <c r="J7" s="65" t="s">
        <v>214</v>
      </c>
      <c r="K7" s="92"/>
    </row>
    <row r="8" spans="1:12">
      <c r="D8" s="53"/>
      <c r="E8" s="53"/>
      <c r="F8" s="65"/>
      <c r="G8" s="53"/>
      <c r="H8" s="65"/>
      <c r="I8" s="53"/>
      <c r="J8" s="92" t="s">
        <v>216</v>
      </c>
      <c r="K8" s="92"/>
      <c r="L8" s="93"/>
    </row>
    <row r="9" spans="1:12">
      <c r="A9" s="90" t="s">
        <v>165</v>
      </c>
      <c r="D9" s="92" t="s">
        <v>215</v>
      </c>
      <c r="E9" s="94"/>
      <c r="F9" s="92" t="s">
        <v>235</v>
      </c>
      <c r="G9" s="94"/>
      <c r="H9" s="92" t="s">
        <v>142</v>
      </c>
      <c r="I9" s="94"/>
      <c r="J9" s="92" t="s">
        <v>217</v>
      </c>
      <c r="L9" s="93"/>
    </row>
    <row r="10" spans="1:12">
      <c r="A10" s="95" t="s">
        <v>141</v>
      </c>
      <c r="D10" s="96" t="s">
        <v>236</v>
      </c>
      <c r="E10" s="94"/>
      <c r="F10" s="96" t="s">
        <v>237</v>
      </c>
      <c r="G10" s="94"/>
      <c r="H10" s="96" t="s">
        <v>238</v>
      </c>
      <c r="I10" s="94"/>
      <c r="J10" s="97" t="s">
        <v>239</v>
      </c>
      <c r="K10" s="93"/>
      <c r="L10" s="98" t="s">
        <v>218</v>
      </c>
    </row>
    <row r="11" spans="1:12">
      <c r="A11" s="99" t="s">
        <v>145</v>
      </c>
      <c r="B11" s="100" t="s">
        <v>28</v>
      </c>
      <c r="C11" s="101"/>
      <c r="D11" s="102"/>
      <c r="F11" s="102"/>
      <c r="H11" s="102"/>
      <c r="J11" s="102"/>
      <c r="L11" s="102"/>
    </row>
    <row r="12" spans="1:12">
      <c r="A12" s="103">
        <f t="shared" ref="A12:A25" si="0">+A11+1</f>
        <v>2</v>
      </c>
      <c r="C12" s="488" t="s">
        <v>791</v>
      </c>
      <c r="D12" s="38">
        <v>6553000</v>
      </c>
      <c r="E12" s="38"/>
      <c r="F12" s="38">
        <v>72000</v>
      </c>
      <c r="G12" s="38"/>
      <c r="H12" s="38">
        <f>D12+F12</f>
        <v>6625000</v>
      </c>
      <c r="I12" s="38"/>
      <c r="J12" s="38">
        <v>495000</v>
      </c>
      <c r="K12" s="38"/>
      <c r="L12" s="18">
        <f>H12+J12</f>
        <v>7120000</v>
      </c>
    </row>
    <row r="13" spans="1:12">
      <c r="A13" s="103">
        <f t="shared" si="0"/>
        <v>3</v>
      </c>
      <c r="C13" s="104" t="s">
        <v>166</v>
      </c>
      <c r="D13" s="38">
        <v>6174000</v>
      </c>
      <c r="E13" s="38"/>
      <c r="F13" s="38">
        <v>73000</v>
      </c>
      <c r="G13" s="38"/>
      <c r="H13" s="38">
        <f t="shared" ref="H13:H23" si="1">D13+F13</f>
        <v>6247000</v>
      </c>
      <c r="I13" s="38"/>
      <c r="J13" s="38">
        <v>464000</v>
      </c>
      <c r="K13" s="38"/>
      <c r="L13" s="18">
        <f t="shared" ref="L13:L23" si="2">H13+J13</f>
        <v>6711000</v>
      </c>
    </row>
    <row r="14" spans="1:12">
      <c r="A14" s="103">
        <f t="shared" si="0"/>
        <v>4</v>
      </c>
      <c r="C14" s="104" t="s">
        <v>167</v>
      </c>
      <c r="D14" s="38">
        <v>5938000</v>
      </c>
      <c r="E14" s="38"/>
      <c r="F14" s="38">
        <v>64000</v>
      </c>
      <c r="G14" s="38"/>
      <c r="H14" s="38">
        <f t="shared" si="1"/>
        <v>6002000</v>
      </c>
      <c r="I14" s="38"/>
      <c r="J14" s="38">
        <v>454000</v>
      </c>
      <c r="K14" s="38"/>
      <c r="L14" s="18">
        <f t="shared" si="2"/>
        <v>6456000</v>
      </c>
    </row>
    <row r="15" spans="1:12">
      <c r="A15" s="103">
        <f t="shared" si="0"/>
        <v>5</v>
      </c>
      <c r="C15" s="104" t="s">
        <v>168</v>
      </c>
      <c r="D15" s="38">
        <v>5392000</v>
      </c>
      <c r="E15" s="38"/>
      <c r="F15" s="38">
        <v>49000</v>
      </c>
      <c r="G15" s="38"/>
      <c r="H15" s="38">
        <f t="shared" si="1"/>
        <v>5441000</v>
      </c>
      <c r="I15" s="38"/>
      <c r="J15" s="38">
        <v>415000</v>
      </c>
      <c r="K15" s="38"/>
      <c r="L15" s="18">
        <f t="shared" si="2"/>
        <v>5856000</v>
      </c>
    </row>
    <row r="16" spans="1:12">
      <c r="A16" s="103">
        <f t="shared" si="0"/>
        <v>6</v>
      </c>
      <c r="C16" s="104" t="s">
        <v>140</v>
      </c>
      <c r="D16" s="38">
        <v>6836000</v>
      </c>
      <c r="E16" s="38"/>
      <c r="F16" s="38">
        <v>54000</v>
      </c>
      <c r="G16" s="38"/>
      <c r="H16" s="38">
        <f t="shared" si="1"/>
        <v>6890000</v>
      </c>
      <c r="I16" s="38"/>
      <c r="J16" s="38">
        <v>452000</v>
      </c>
      <c r="K16" s="38"/>
      <c r="L16" s="18">
        <f t="shared" si="2"/>
        <v>7342000</v>
      </c>
    </row>
    <row r="17" spans="1:12">
      <c r="A17" s="103">
        <f t="shared" si="0"/>
        <v>7</v>
      </c>
      <c r="C17" s="104" t="s">
        <v>169</v>
      </c>
      <c r="D17" s="38">
        <v>6972000</v>
      </c>
      <c r="E17" s="38"/>
      <c r="F17" s="38">
        <v>52000</v>
      </c>
      <c r="G17" s="38"/>
      <c r="H17" s="38">
        <f t="shared" si="1"/>
        <v>7024000</v>
      </c>
      <c r="I17" s="38"/>
      <c r="J17" s="38">
        <v>542000</v>
      </c>
      <c r="K17" s="38"/>
      <c r="L17" s="18">
        <f t="shared" si="2"/>
        <v>7566000</v>
      </c>
    </row>
    <row r="18" spans="1:12">
      <c r="A18" s="103">
        <f t="shared" si="0"/>
        <v>8</v>
      </c>
      <c r="C18" s="104" t="s">
        <v>170</v>
      </c>
      <c r="D18" s="38">
        <v>8354000</v>
      </c>
      <c r="E18" s="38"/>
      <c r="F18" s="38">
        <v>69000</v>
      </c>
      <c r="G18" s="38"/>
      <c r="H18" s="38">
        <f t="shared" si="1"/>
        <v>8423000</v>
      </c>
      <c r="I18" s="38"/>
      <c r="J18" s="38">
        <v>620000</v>
      </c>
      <c r="K18" s="38"/>
      <c r="L18" s="18">
        <f t="shared" si="2"/>
        <v>9043000</v>
      </c>
    </row>
    <row r="19" spans="1:12">
      <c r="A19" s="103">
        <f t="shared" si="0"/>
        <v>9</v>
      </c>
      <c r="C19" s="104" t="s">
        <v>171</v>
      </c>
      <c r="D19" s="38">
        <v>7451000</v>
      </c>
      <c r="E19" s="38"/>
      <c r="F19" s="38">
        <v>78000</v>
      </c>
      <c r="G19" s="38"/>
      <c r="H19" s="38">
        <f t="shared" si="1"/>
        <v>7529000</v>
      </c>
      <c r="I19" s="38"/>
      <c r="J19" s="66">
        <v>571000</v>
      </c>
      <c r="K19" s="38"/>
      <c r="L19" s="18">
        <f t="shared" si="2"/>
        <v>8100000</v>
      </c>
    </row>
    <row r="20" spans="1:12">
      <c r="A20" s="103">
        <f t="shared" si="0"/>
        <v>10</v>
      </c>
      <c r="C20" s="104" t="s">
        <v>172</v>
      </c>
      <c r="D20" s="38">
        <v>7092000</v>
      </c>
      <c r="E20" s="38"/>
      <c r="F20" s="38">
        <v>48000</v>
      </c>
      <c r="G20" s="38"/>
      <c r="H20" s="38">
        <f t="shared" si="1"/>
        <v>7140000</v>
      </c>
      <c r="I20" s="38"/>
      <c r="J20" s="38">
        <v>531000</v>
      </c>
      <c r="K20" s="38"/>
      <c r="L20" s="18">
        <f t="shared" si="2"/>
        <v>7671000</v>
      </c>
    </row>
    <row r="21" spans="1:12">
      <c r="A21" s="103">
        <f t="shared" si="0"/>
        <v>11</v>
      </c>
      <c r="C21" s="104" t="s">
        <v>173</v>
      </c>
      <c r="D21" s="38">
        <v>5308000</v>
      </c>
      <c r="E21" s="38"/>
      <c r="F21" s="38">
        <v>58000</v>
      </c>
      <c r="G21" s="38"/>
      <c r="H21" s="38">
        <f t="shared" si="1"/>
        <v>5366000</v>
      </c>
      <c r="I21" s="38"/>
      <c r="J21" s="38">
        <v>462000</v>
      </c>
      <c r="K21" s="38"/>
      <c r="L21" s="18">
        <f t="shared" si="2"/>
        <v>5828000</v>
      </c>
    </row>
    <row r="22" spans="1:12">
      <c r="A22" s="103">
        <f t="shared" si="0"/>
        <v>12</v>
      </c>
      <c r="C22" s="104" t="s">
        <v>174</v>
      </c>
      <c r="D22" s="38">
        <v>6012000</v>
      </c>
      <c r="E22" s="38"/>
      <c r="F22" s="38">
        <v>73000</v>
      </c>
      <c r="G22" s="38"/>
      <c r="H22" s="38">
        <f t="shared" si="1"/>
        <v>6085000</v>
      </c>
      <c r="I22" s="38"/>
      <c r="J22" s="38">
        <v>539000</v>
      </c>
      <c r="K22" s="38"/>
      <c r="L22" s="18">
        <f t="shared" si="2"/>
        <v>6624000</v>
      </c>
    </row>
    <row r="23" spans="1:12">
      <c r="A23" s="103">
        <f t="shared" si="0"/>
        <v>13</v>
      </c>
      <c r="C23" s="488" t="s">
        <v>792</v>
      </c>
      <c r="D23" s="38">
        <v>6201000</v>
      </c>
      <c r="E23" s="38"/>
      <c r="F23" s="38">
        <v>71000</v>
      </c>
      <c r="G23" s="38"/>
      <c r="H23" s="38">
        <f t="shared" si="1"/>
        <v>6272000</v>
      </c>
      <c r="I23" s="38"/>
      <c r="J23" s="38">
        <v>547000</v>
      </c>
      <c r="K23" s="38"/>
      <c r="L23" s="18">
        <f t="shared" si="2"/>
        <v>6819000</v>
      </c>
    </row>
    <row r="24" spans="1:12">
      <c r="A24" s="103">
        <f t="shared" si="0"/>
        <v>14</v>
      </c>
      <c r="C24" s="104"/>
      <c r="D24" s="34"/>
      <c r="E24" s="18"/>
      <c r="F24" s="34"/>
      <c r="G24" s="18"/>
      <c r="H24" s="34"/>
      <c r="J24" s="34"/>
      <c r="K24" s="105"/>
      <c r="L24" s="34"/>
    </row>
    <row r="25" spans="1:12" ht="13.5" thickBot="1">
      <c r="A25" s="103">
        <f t="shared" si="0"/>
        <v>15</v>
      </c>
      <c r="C25" s="106" t="s">
        <v>219</v>
      </c>
      <c r="D25" s="107">
        <f>SUM(D12:D23)/12</f>
        <v>6523583.333333333</v>
      </c>
      <c r="E25" s="18"/>
      <c r="F25" s="107">
        <f>SUM(F12:F23)/12</f>
        <v>63416.666666666664</v>
      </c>
      <c r="G25" s="18"/>
      <c r="H25" s="107">
        <f>D25+F25</f>
        <v>6587000</v>
      </c>
      <c r="J25" s="107">
        <f>SUM(J12:J23)/12</f>
        <v>507666.66666666669</v>
      </c>
      <c r="K25" s="108"/>
      <c r="L25" s="107">
        <f>SUM(L12:L23)/12</f>
        <v>7094666.666666667</v>
      </c>
    </row>
    <row r="26" spans="1:12" ht="13.5" thickTop="1"/>
    <row r="29" spans="1:12">
      <c r="D29" s="109"/>
    </row>
    <row r="30" spans="1:12">
      <c r="D30" s="109"/>
      <c r="F30" s="110"/>
    </row>
    <row r="31" spans="1:12">
      <c r="D31" s="109"/>
      <c r="F31" s="110"/>
    </row>
    <row r="32" spans="1:12">
      <c r="D32" s="109"/>
      <c r="F32" s="110"/>
    </row>
    <row r="33" spans="4:6">
      <c r="D33" s="109"/>
      <c r="F33" s="110"/>
    </row>
    <row r="34" spans="4:6" ht="13.5" customHeight="1">
      <c r="D34" s="109"/>
      <c r="F34" s="110"/>
    </row>
    <row r="35" spans="4:6">
      <c r="D35" s="109"/>
      <c r="F35" s="110"/>
    </row>
    <row r="36" spans="4:6">
      <c r="D36" s="109"/>
      <c r="F36" s="110"/>
    </row>
    <row r="37" spans="4:6">
      <c r="D37" s="109"/>
      <c r="F37" s="110"/>
    </row>
    <row r="38" spans="4:6">
      <c r="D38" s="109"/>
      <c r="F38" s="110"/>
    </row>
    <row r="39" spans="4:6">
      <c r="D39" s="109"/>
      <c r="F39" s="110"/>
    </row>
    <row r="40" spans="4:6">
      <c r="D40" s="109"/>
      <c r="F40" s="110"/>
    </row>
    <row r="41" spans="4:6">
      <c r="D41" s="109"/>
      <c r="F41" s="110"/>
    </row>
    <row r="42" spans="4:6">
      <c r="D42" s="109"/>
      <c r="F42" s="110"/>
    </row>
  </sheetData>
  <phoneticPr fontId="10" type="noConversion"/>
  <printOptions horizontalCentered="1"/>
  <pageMargins left="0.75" right="0.25" top="0.75" bottom="0.4" header="0" footer="0.25"/>
  <pageSetup scale="79"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pageSetUpPr fitToPage="1"/>
  </sheetPr>
  <dimension ref="A1:M37"/>
  <sheetViews>
    <sheetView showGridLines="0" workbookViewId="0">
      <selection activeCell="A4" sqref="A4"/>
    </sheetView>
  </sheetViews>
  <sheetFormatPr defaultRowHeight="15"/>
  <cols>
    <col min="1" max="1" width="4.6640625" style="7" customWidth="1"/>
    <col min="2" max="2" width="42.5546875" style="89" customWidth="1"/>
    <col min="3" max="3" width="3" style="7" customWidth="1"/>
    <col min="4" max="4" width="12.88671875" style="7" bestFit="1" customWidth="1"/>
    <col min="5" max="5" width="1.88671875" style="7" customWidth="1"/>
    <col min="6" max="6" width="11.77734375" style="7" bestFit="1" customWidth="1"/>
    <col min="7" max="7" width="1.88671875" style="7" customWidth="1"/>
    <col min="8" max="8" width="12.33203125" style="7" bestFit="1" customWidth="1"/>
    <col min="9" max="9" width="3.44140625" style="7" customWidth="1"/>
    <col min="10" max="11" width="8.88671875" style="7"/>
    <col min="12" max="12" width="10" style="7" bestFit="1" customWidth="1"/>
    <col min="13" max="13" width="8.88671875" style="7"/>
    <col min="14" max="14" width="9.21875" style="7" bestFit="1" customWidth="1"/>
    <col min="15" max="16384" width="8.88671875" style="7"/>
  </cols>
  <sheetData>
    <row r="1" spans="1:13" s="66" customFormat="1" ht="12.75">
      <c r="A1" s="86" t="s">
        <v>27</v>
      </c>
      <c r="C1" s="87"/>
      <c r="D1" s="87"/>
      <c r="E1" s="87"/>
      <c r="F1" s="87"/>
      <c r="G1" s="87"/>
      <c r="H1" s="87"/>
      <c r="I1" s="482" t="s">
        <v>789</v>
      </c>
      <c r="J1" s="87"/>
      <c r="K1" s="87"/>
    </row>
    <row r="2" spans="1:13" s="66" customFormat="1" ht="12.75">
      <c r="A2" s="184" t="s">
        <v>1138</v>
      </c>
      <c r="C2" s="87"/>
      <c r="D2" s="87"/>
      <c r="E2" s="87"/>
      <c r="F2" s="87"/>
      <c r="G2" s="87"/>
      <c r="H2" s="87"/>
      <c r="I2" s="87"/>
      <c r="J2" s="87"/>
      <c r="K2" s="87"/>
      <c r="L2" s="87"/>
      <c r="M2" s="88"/>
    </row>
    <row r="3" spans="1:13" s="66" customFormat="1" ht="12.75">
      <c r="A3" s="487" t="s">
        <v>790</v>
      </c>
      <c r="C3" s="87"/>
      <c r="D3" s="87"/>
      <c r="E3" s="87" t="s">
        <v>124</v>
      </c>
      <c r="F3" s="87"/>
      <c r="G3" s="87"/>
      <c r="H3" s="87"/>
      <c r="I3" s="87"/>
      <c r="J3" s="87"/>
      <c r="K3" s="87"/>
      <c r="L3" s="87"/>
    </row>
    <row r="4" spans="1:13" s="66" customFormat="1" ht="12.75">
      <c r="A4" s="493" t="s">
        <v>269</v>
      </c>
    </row>
    <row r="5" spans="1:13" ht="12.75">
      <c r="B5" s="66"/>
    </row>
    <row r="7" spans="1:13" ht="12.75">
      <c r="B7" s="7"/>
      <c r="D7" s="489" t="s">
        <v>894</v>
      </c>
      <c r="F7" s="489" t="s">
        <v>895</v>
      </c>
    </row>
    <row r="10" spans="1:13" ht="13.5" thickBot="1">
      <c r="A10" s="10" t="s">
        <v>248</v>
      </c>
      <c r="B10" s="7"/>
      <c r="C10" s="11"/>
      <c r="D10" s="490">
        <f>'2014 Attachment O Rev 1'!I26</f>
        <v>303449804.89863759</v>
      </c>
      <c r="E10" s="10"/>
      <c r="F10" s="490">
        <v>322307927.50539649</v>
      </c>
      <c r="G10" s="10"/>
      <c r="H10" s="70">
        <f>D10-F10</f>
        <v>-18858122.606758893</v>
      </c>
    </row>
    <row r="11" spans="1:13" ht="13.5" thickTop="1">
      <c r="B11" s="7"/>
      <c r="H11" s="16"/>
    </row>
    <row r="12" spans="1:13" ht="12.75">
      <c r="A12" s="10" t="s">
        <v>249</v>
      </c>
      <c r="B12" s="7"/>
      <c r="C12" s="10"/>
      <c r="D12" s="491">
        <f>'2014 Attachment O Rev 1'!I29</f>
        <v>6587000</v>
      </c>
      <c r="E12" s="10"/>
      <c r="F12" s="491">
        <v>6856833.333333333</v>
      </c>
      <c r="G12" s="10"/>
      <c r="H12" s="223">
        <f>D12-F12</f>
        <v>-269833.33333333302</v>
      </c>
    </row>
    <row r="13" spans="1:13" ht="12.75">
      <c r="A13" s="13" t="s">
        <v>250</v>
      </c>
      <c r="B13" s="7"/>
      <c r="C13" s="10"/>
      <c r="D13" s="491">
        <f>'2014 Attachment O Rev 1'!I31</f>
        <v>507666.66666666669</v>
      </c>
      <c r="E13" s="10"/>
      <c r="F13" s="491">
        <v>464083.33333333331</v>
      </c>
      <c r="G13" s="10"/>
      <c r="H13" s="223">
        <f>D13-F13</f>
        <v>43583.333333333372</v>
      </c>
    </row>
    <row r="14" spans="1:13" ht="12.75">
      <c r="A14" s="13" t="s">
        <v>251</v>
      </c>
      <c r="B14" s="7"/>
      <c r="C14" s="10"/>
      <c r="D14" s="13">
        <v>0</v>
      </c>
      <c r="E14" s="10"/>
      <c r="F14" s="13">
        <v>0</v>
      </c>
      <c r="G14" s="10"/>
      <c r="H14" s="224">
        <f>D14-F14</f>
        <v>0</v>
      </c>
    </row>
    <row r="15" spans="1:13" ht="12.75">
      <c r="A15" s="10" t="s">
        <v>252</v>
      </c>
      <c r="B15" s="7"/>
      <c r="C15" s="10"/>
      <c r="D15" s="14">
        <f>SUM(D12:D14)</f>
        <v>7094666.666666667</v>
      </c>
      <c r="E15" s="10"/>
      <c r="F15" s="14">
        <f>SUM(F12:F14)</f>
        <v>7320916.666666666</v>
      </c>
      <c r="G15" s="10"/>
      <c r="H15" s="225">
        <f>D15-F15</f>
        <v>-226249.99999999907</v>
      </c>
    </row>
    <row r="16" spans="1:13">
      <c r="H16" s="203"/>
    </row>
    <row r="17" spans="1:8" ht="12.75">
      <c r="A17" s="10" t="s">
        <v>253</v>
      </c>
      <c r="B17" s="7"/>
      <c r="C17" s="10"/>
      <c r="D17" s="230">
        <f>ROUND(D10/D15,8)</f>
        <v>42.771538</v>
      </c>
      <c r="E17" s="230"/>
      <c r="F17" s="230">
        <f>ROUND(F10/F15,8)</f>
        <v>44.025624409999999</v>
      </c>
      <c r="G17" s="204"/>
      <c r="H17" s="611">
        <f>D17-F17</f>
        <v>-1.2540864099999993</v>
      </c>
    </row>
    <row r="18" spans="1:8" ht="12.75">
      <c r="A18" s="10"/>
      <c r="B18" s="7"/>
      <c r="C18" s="10"/>
      <c r="E18" s="10"/>
      <c r="G18" s="10"/>
      <c r="H18" s="203"/>
    </row>
    <row r="19" spans="1:8">
      <c r="H19" s="203"/>
    </row>
    <row r="20" spans="1:8" ht="12.75">
      <c r="A20" s="10" t="s">
        <v>254</v>
      </c>
      <c r="B20" s="7"/>
      <c r="H20" s="205">
        <f>D15</f>
        <v>7094666.666666667</v>
      </c>
    </row>
    <row r="21" spans="1:8" ht="12.75">
      <c r="A21" s="10" t="s">
        <v>255</v>
      </c>
      <c r="B21" s="7"/>
      <c r="H21" s="206">
        <f>F15</f>
        <v>7320916.666666666</v>
      </c>
    </row>
    <row r="22" spans="1:8" ht="12.75">
      <c r="A22" s="10" t="s">
        <v>256</v>
      </c>
      <c r="B22" s="7"/>
      <c r="H22" s="207">
        <f>H20-H21</f>
        <v>-226249.99999999907</v>
      </c>
    </row>
    <row r="23" spans="1:8">
      <c r="H23" s="16"/>
    </row>
    <row r="24" spans="1:8" ht="12.75">
      <c r="A24" s="7" t="s">
        <v>257</v>
      </c>
      <c r="B24" s="7"/>
      <c r="H24" s="231">
        <f>F17</f>
        <v>44.025624409999999</v>
      </c>
    </row>
    <row r="25" spans="1:8">
      <c r="H25" s="16"/>
    </row>
    <row r="26" spans="1:8" ht="13.5" thickBot="1">
      <c r="A26" s="10" t="s">
        <v>258</v>
      </c>
      <c r="B26" s="7"/>
      <c r="H26" s="208">
        <f>H22*H24</f>
        <v>-9960797.5227624588</v>
      </c>
    </row>
    <row r="27" spans="1:8" ht="13.5" thickTop="1">
      <c r="B27" s="7"/>
      <c r="H27" s="16"/>
    </row>
    <row r="28" spans="1:8" ht="12.75">
      <c r="A28" s="7" t="s">
        <v>259</v>
      </c>
      <c r="B28" s="7"/>
      <c r="H28" s="16">
        <f>H10-H26</f>
        <v>-8897325.0839964338</v>
      </c>
    </row>
    <row r="29" spans="1:8">
      <c r="H29" s="16"/>
    </row>
    <row r="30" spans="1:8" ht="12.75">
      <c r="B30" s="7"/>
      <c r="F30" s="17" t="s">
        <v>260</v>
      </c>
      <c r="H30" s="16">
        <f>H17*D15</f>
        <v>-8897325.0501466617</v>
      </c>
    </row>
    <row r="31" spans="1:8" ht="12.75">
      <c r="B31" s="7"/>
      <c r="F31" s="17"/>
      <c r="H31" s="16"/>
    </row>
    <row r="32" spans="1:8" ht="12.75">
      <c r="B32" s="7"/>
      <c r="F32" s="17" t="s">
        <v>261</v>
      </c>
      <c r="H32" s="16">
        <f>H28-H30</f>
        <v>-3.3849772065877914E-2</v>
      </c>
    </row>
    <row r="33" spans="1:8" ht="12.75">
      <c r="B33" s="7"/>
      <c r="H33" s="203"/>
    </row>
    <row r="34" spans="1:8" ht="13.5" customHeight="1"/>
    <row r="35" spans="1:8" ht="12.75">
      <c r="B35" s="7"/>
    </row>
    <row r="37" spans="1:8" ht="12.75">
      <c r="A37" s="7" t="s">
        <v>262</v>
      </c>
      <c r="B37" s="7"/>
    </row>
  </sheetData>
  <pageMargins left="0.75" right="0.75" top="1" bottom="1" header="0.5" footer="0.5"/>
  <pageSetup scale="79" orientation="portrait" r:id="rId1"/>
  <headerFooter alignWithMargins="0">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0"/>
  <sheetViews>
    <sheetView showGridLines="0" workbookViewId="0">
      <selection activeCell="C9" sqref="C9"/>
    </sheetView>
  </sheetViews>
  <sheetFormatPr defaultColWidth="7.109375" defaultRowHeight="15"/>
  <cols>
    <col min="1" max="1" width="16.33203125" style="239" customWidth="1"/>
    <col min="2" max="2" width="1.6640625" style="238" bestFit="1" customWidth="1"/>
    <col min="3" max="3" width="7.5546875" style="237" bestFit="1" customWidth="1"/>
    <col min="4" max="6" width="7.109375" style="238"/>
    <col min="7" max="7" width="8.6640625" style="238" customWidth="1"/>
    <col min="8" max="16384" width="7.109375" style="238"/>
  </cols>
  <sheetData>
    <row r="1" spans="1:8">
      <c r="A1" s="266" t="s">
        <v>352</v>
      </c>
    </row>
    <row r="2" spans="1:8">
      <c r="A2" s="237"/>
    </row>
    <row r="3" spans="1:8">
      <c r="A3" s="265" t="s">
        <v>348</v>
      </c>
      <c r="C3" s="240">
        <v>0.35</v>
      </c>
      <c r="E3" s="238" t="s">
        <v>337</v>
      </c>
    </row>
    <row r="4" spans="1:8">
      <c r="A4" s="239" t="s">
        <v>338</v>
      </c>
      <c r="B4" s="238" t="s">
        <v>339</v>
      </c>
      <c r="C4" s="240">
        <v>0.40814400000000001</v>
      </c>
      <c r="E4" s="241" t="s">
        <v>831</v>
      </c>
    </row>
    <row r="5" spans="1:8">
      <c r="A5" s="239" t="s">
        <v>340</v>
      </c>
      <c r="B5" s="238" t="s">
        <v>339</v>
      </c>
      <c r="C5" s="240">
        <f>C4</f>
        <v>0.40814400000000001</v>
      </c>
      <c r="E5" s="242">
        <f>(1-0.0894523)*0.35+0.0894523</f>
        <v>0.40814399499999993</v>
      </c>
    </row>
    <row r="6" spans="1:8">
      <c r="A6" s="243" t="s">
        <v>341</v>
      </c>
      <c r="B6" s="238" t="s">
        <v>339</v>
      </c>
      <c r="C6" s="244" t="s">
        <v>829</v>
      </c>
    </row>
    <row r="7" spans="1:8">
      <c r="A7" s="243" t="s">
        <v>342</v>
      </c>
      <c r="B7" s="238" t="s">
        <v>339</v>
      </c>
      <c r="C7" s="240">
        <f>0.408144-0.35</f>
        <v>5.8144000000000029E-2</v>
      </c>
    </row>
    <row r="8" spans="1:8">
      <c r="A8" s="239" t="s">
        <v>343</v>
      </c>
      <c r="B8" s="238" t="s">
        <v>339</v>
      </c>
      <c r="C8" s="244" t="s">
        <v>830</v>
      </c>
    </row>
    <row r="9" spans="1:8">
      <c r="A9" s="245" t="s">
        <v>344</v>
      </c>
      <c r="B9" s="246" t="s">
        <v>339</v>
      </c>
      <c r="C9" s="264">
        <f>C7/0.65</f>
        <v>8.9452307692307734E-2</v>
      </c>
      <c r="D9" s="246" t="s">
        <v>345</v>
      </c>
    </row>
    <row r="10" spans="1:8">
      <c r="D10" s="247" t="s">
        <v>346</v>
      </c>
    </row>
    <row r="12" spans="1:8" ht="15.75" thickBot="1">
      <c r="C12" s="240"/>
      <c r="D12" s="248"/>
      <c r="E12" s="249"/>
      <c r="F12" s="249"/>
      <c r="G12" s="249"/>
      <c r="H12" s="250"/>
    </row>
    <row r="13" spans="1:8">
      <c r="A13" s="243"/>
      <c r="C13" s="244"/>
      <c r="D13" s="251"/>
      <c r="E13" s="252"/>
      <c r="F13" s="253" t="s">
        <v>347</v>
      </c>
      <c r="G13" s="254"/>
      <c r="H13" s="255"/>
    </row>
    <row r="14" spans="1:8" ht="15.75" thickBot="1">
      <c r="D14" s="256"/>
      <c r="E14" s="258" t="s">
        <v>115</v>
      </c>
      <c r="F14" s="259"/>
      <c r="G14" s="260">
        <v>0.40814399999999995</v>
      </c>
      <c r="H14" s="257"/>
    </row>
    <row r="15" spans="1:8" ht="16.5" thickTop="1" thickBot="1">
      <c r="D15" s="261"/>
      <c r="E15" s="262"/>
      <c r="F15" s="262"/>
      <c r="G15" s="262"/>
      <c r="H15" s="263"/>
    </row>
    <row r="30" spans="4:4">
      <c r="D30" s="477"/>
    </row>
  </sheetData>
  <phoneticPr fontId="13"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372"/>
  <sheetViews>
    <sheetView showGridLines="0" topLeftCell="B1" zoomScale="80" zoomScaleNormal="80" workbookViewId="0">
      <selection activeCell="B1" sqref="B1"/>
    </sheetView>
  </sheetViews>
  <sheetFormatPr defaultRowHeight="15.75"/>
  <cols>
    <col min="1" max="1" width="4.6640625" style="267" customWidth="1"/>
    <col min="2" max="2" width="42.6640625" style="267" customWidth="1"/>
    <col min="3" max="3" width="35" style="267" customWidth="1"/>
    <col min="4" max="4" width="13.5546875" style="267" customWidth="1"/>
    <col min="5" max="5" width="4.109375" style="267" customWidth="1"/>
    <col min="6" max="6" width="3.6640625" style="267" customWidth="1"/>
    <col min="7" max="7" width="11.33203125" style="267" customWidth="1"/>
    <col min="8" max="8" width="3.44140625" style="267" customWidth="1"/>
    <col min="9" max="9" width="13" style="267" customWidth="1"/>
    <col min="10" max="10" width="1.77734375" style="267" customWidth="1"/>
    <col min="11" max="11" width="7" style="274" customWidth="1"/>
    <col min="12" max="12" width="13.44140625" style="267" customWidth="1"/>
    <col min="13" max="13" width="13.109375" style="267" customWidth="1"/>
    <col min="14" max="14" width="15" style="267" customWidth="1"/>
    <col min="15" max="15" width="42.109375" style="267" customWidth="1"/>
    <col min="16" max="16" width="12" style="267" customWidth="1"/>
    <col min="17" max="17" width="13.44140625" style="267" bestFit="1" customWidth="1"/>
    <col min="18" max="18" width="12.6640625" style="267" customWidth="1"/>
    <col min="19" max="19" width="9.109375" style="267" bestFit="1" customWidth="1"/>
    <col min="20" max="20" width="5.21875" style="267" customWidth="1"/>
    <col min="21" max="256" width="8.88671875" style="267"/>
    <col min="257" max="257" width="4.6640625" style="267" customWidth="1"/>
    <col min="258" max="258" width="42.6640625" style="267" customWidth="1"/>
    <col min="259" max="259" width="35" style="267" customWidth="1"/>
    <col min="260" max="260" width="13.5546875" style="267" customWidth="1"/>
    <col min="261" max="261" width="4.109375" style="267" customWidth="1"/>
    <col min="262" max="262" width="3.6640625" style="267" customWidth="1"/>
    <col min="263" max="263" width="11.33203125" style="267" customWidth="1"/>
    <col min="264" max="264" width="3.44140625" style="267" customWidth="1"/>
    <col min="265" max="265" width="13" style="267" customWidth="1"/>
    <col min="266" max="266" width="1.77734375" style="267" customWidth="1"/>
    <col min="267" max="267" width="7" style="267" customWidth="1"/>
    <col min="268" max="268" width="13.44140625" style="267" customWidth="1"/>
    <col min="269" max="269" width="13.109375" style="267" customWidth="1"/>
    <col min="270" max="270" width="15" style="267" customWidth="1"/>
    <col min="271" max="271" width="42.109375" style="267" customWidth="1"/>
    <col min="272" max="272" width="12" style="267" customWidth="1"/>
    <col min="273" max="273" width="13.44140625" style="267" bestFit="1" customWidth="1"/>
    <col min="274" max="274" width="12.6640625" style="267" customWidth="1"/>
    <col min="275" max="275" width="9.109375" style="267" bestFit="1" customWidth="1"/>
    <col min="276" max="276" width="5.21875" style="267" customWidth="1"/>
    <col min="277" max="512" width="8.88671875" style="267"/>
    <col min="513" max="513" width="4.6640625" style="267" customWidth="1"/>
    <col min="514" max="514" width="42.6640625" style="267" customWidth="1"/>
    <col min="515" max="515" width="35" style="267" customWidth="1"/>
    <col min="516" max="516" width="13.5546875" style="267" customWidth="1"/>
    <col min="517" max="517" width="4.109375" style="267" customWidth="1"/>
    <col min="518" max="518" width="3.6640625" style="267" customWidth="1"/>
    <col min="519" max="519" width="11.33203125" style="267" customWidth="1"/>
    <col min="520" max="520" width="3.44140625" style="267" customWidth="1"/>
    <col min="521" max="521" width="13" style="267" customWidth="1"/>
    <col min="522" max="522" width="1.77734375" style="267" customWidth="1"/>
    <col min="523" max="523" width="7" style="267" customWidth="1"/>
    <col min="524" max="524" width="13.44140625" style="267" customWidth="1"/>
    <col min="525" max="525" width="13.109375" style="267" customWidth="1"/>
    <col min="526" max="526" width="15" style="267" customWidth="1"/>
    <col min="527" max="527" width="42.109375" style="267" customWidth="1"/>
    <col min="528" max="528" width="12" style="267" customWidth="1"/>
    <col min="529" max="529" width="13.44140625" style="267" bestFit="1" customWidth="1"/>
    <col min="530" max="530" width="12.6640625" style="267" customWidth="1"/>
    <col min="531" max="531" width="9.109375" style="267" bestFit="1" customWidth="1"/>
    <col min="532" max="532" width="5.21875" style="267" customWidth="1"/>
    <col min="533" max="768" width="8.88671875" style="267"/>
    <col min="769" max="769" width="4.6640625" style="267" customWidth="1"/>
    <col min="770" max="770" width="42.6640625" style="267" customWidth="1"/>
    <col min="771" max="771" width="35" style="267" customWidth="1"/>
    <col min="772" max="772" width="13.5546875" style="267" customWidth="1"/>
    <col min="773" max="773" width="4.109375" style="267" customWidth="1"/>
    <col min="774" max="774" width="3.6640625" style="267" customWidth="1"/>
    <col min="775" max="775" width="11.33203125" style="267" customWidth="1"/>
    <col min="776" max="776" width="3.44140625" style="267" customWidth="1"/>
    <col min="777" max="777" width="13" style="267" customWidth="1"/>
    <col min="778" max="778" width="1.77734375" style="267" customWidth="1"/>
    <col min="779" max="779" width="7" style="267" customWidth="1"/>
    <col min="780" max="780" width="13.44140625" style="267" customWidth="1"/>
    <col min="781" max="781" width="13.109375" style="267" customWidth="1"/>
    <col min="782" max="782" width="15" style="267" customWidth="1"/>
    <col min="783" max="783" width="42.109375" style="267" customWidth="1"/>
    <col min="784" max="784" width="12" style="267" customWidth="1"/>
    <col min="785" max="785" width="13.44140625" style="267" bestFit="1" customWidth="1"/>
    <col min="786" max="786" width="12.6640625" style="267" customWidth="1"/>
    <col min="787" max="787" width="9.109375" style="267" bestFit="1" customWidth="1"/>
    <col min="788" max="788" width="5.21875" style="267" customWidth="1"/>
    <col min="789" max="1024" width="8.88671875" style="267"/>
    <col min="1025" max="1025" width="4.6640625" style="267" customWidth="1"/>
    <col min="1026" max="1026" width="42.6640625" style="267" customWidth="1"/>
    <col min="1027" max="1027" width="35" style="267" customWidth="1"/>
    <col min="1028" max="1028" width="13.5546875" style="267" customWidth="1"/>
    <col min="1029" max="1029" width="4.109375" style="267" customWidth="1"/>
    <col min="1030" max="1030" width="3.6640625" style="267" customWidth="1"/>
    <col min="1031" max="1031" width="11.33203125" style="267" customWidth="1"/>
    <col min="1032" max="1032" width="3.44140625" style="267" customWidth="1"/>
    <col min="1033" max="1033" width="13" style="267" customWidth="1"/>
    <col min="1034" max="1034" width="1.77734375" style="267" customWidth="1"/>
    <col min="1035" max="1035" width="7" style="267" customWidth="1"/>
    <col min="1036" max="1036" width="13.44140625" style="267" customWidth="1"/>
    <col min="1037" max="1037" width="13.109375" style="267" customWidth="1"/>
    <col min="1038" max="1038" width="15" style="267" customWidth="1"/>
    <col min="1039" max="1039" width="42.109375" style="267" customWidth="1"/>
    <col min="1040" max="1040" width="12" style="267" customWidth="1"/>
    <col min="1041" max="1041" width="13.44140625" style="267" bestFit="1" customWidth="1"/>
    <col min="1042" max="1042" width="12.6640625" style="267" customWidth="1"/>
    <col min="1043" max="1043" width="9.109375" style="267" bestFit="1" customWidth="1"/>
    <col min="1044" max="1044" width="5.21875" style="267" customWidth="1"/>
    <col min="1045" max="1280" width="8.88671875" style="267"/>
    <col min="1281" max="1281" width="4.6640625" style="267" customWidth="1"/>
    <col min="1282" max="1282" width="42.6640625" style="267" customWidth="1"/>
    <col min="1283" max="1283" width="35" style="267" customWidth="1"/>
    <col min="1284" max="1284" width="13.5546875" style="267" customWidth="1"/>
    <col min="1285" max="1285" width="4.109375" style="267" customWidth="1"/>
    <col min="1286" max="1286" width="3.6640625" style="267" customWidth="1"/>
    <col min="1287" max="1287" width="11.33203125" style="267" customWidth="1"/>
    <col min="1288" max="1288" width="3.44140625" style="267" customWidth="1"/>
    <col min="1289" max="1289" width="13" style="267" customWidth="1"/>
    <col min="1290" max="1290" width="1.77734375" style="267" customWidth="1"/>
    <col min="1291" max="1291" width="7" style="267" customWidth="1"/>
    <col min="1292" max="1292" width="13.44140625" style="267" customWidth="1"/>
    <col min="1293" max="1293" width="13.109375" style="267" customWidth="1"/>
    <col min="1294" max="1294" width="15" style="267" customWidth="1"/>
    <col min="1295" max="1295" width="42.109375" style="267" customWidth="1"/>
    <col min="1296" max="1296" width="12" style="267" customWidth="1"/>
    <col min="1297" max="1297" width="13.44140625" style="267" bestFit="1" customWidth="1"/>
    <col min="1298" max="1298" width="12.6640625" style="267" customWidth="1"/>
    <col min="1299" max="1299" width="9.109375" style="267" bestFit="1" customWidth="1"/>
    <col min="1300" max="1300" width="5.21875" style="267" customWidth="1"/>
    <col min="1301" max="1536" width="8.88671875" style="267"/>
    <col min="1537" max="1537" width="4.6640625" style="267" customWidth="1"/>
    <col min="1538" max="1538" width="42.6640625" style="267" customWidth="1"/>
    <col min="1539" max="1539" width="35" style="267" customWidth="1"/>
    <col min="1540" max="1540" width="13.5546875" style="267" customWidth="1"/>
    <col min="1541" max="1541" width="4.109375" style="267" customWidth="1"/>
    <col min="1542" max="1542" width="3.6640625" style="267" customWidth="1"/>
    <col min="1543" max="1543" width="11.33203125" style="267" customWidth="1"/>
    <col min="1544" max="1544" width="3.44140625" style="267" customWidth="1"/>
    <col min="1545" max="1545" width="13" style="267" customWidth="1"/>
    <col min="1546" max="1546" width="1.77734375" style="267" customWidth="1"/>
    <col min="1547" max="1547" width="7" style="267" customWidth="1"/>
    <col min="1548" max="1548" width="13.44140625" style="267" customWidth="1"/>
    <col min="1549" max="1549" width="13.109375" style="267" customWidth="1"/>
    <col min="1550" max="1550" width="15" style="267" customWidth="1"/>
    <col min="1551" max="1551" width="42.109375" style="267" customWidth="1"/>
    <col min="1552" max="1552" width="12" style="267" customWidth="1"/>
    <col min="1553" max="1553" width="13.44140625" style="267" bestFit="1" customWidth="1"/>
    <col min="1554" max="1554" width="12.6640625" style="267" customWidth="1"/>
    <col min="1555" max="1555" width="9.109375" style="267" bestFit="1" customWidth="1"/>
    <col min="1556" max="1556" width="5.21875" style="267" customWidth="1"/>
    <col min="1557" max="1792" width="8.88671875" style="267"/>
    <col min="1793" max="1793" width="4.6640625" style="267" customWidth="1"/>
    <col min="1794" max="1794" width="42.6640625" style="267" customWidth="1"/>
    <col min="1795" max="1795" width="35" style="267" customWidth="1"/>
    <col min="1796" max="1796" width="13.5546875" style="267" customWidth="1"/>
    <col min="1797" max="1797" width="4.109375" style="267" customWidth="1"/>
    <col min="1798" max="1798" width="3.6640625" style="267" customWidth="1"/>
    <col min="1799" max="1799" width="11.33203125" style="267" customWidth="1"/>
    <col min="1800" max="1800" width="3.44140625" style="267" customWidth="1"/>
    <col min="1801" max="1801" width="13" style="267" customWidth="1"/>
    <col min="1802" max="1802" width="1.77734375" style="267" customWidth="1"/>
    <col min="1803" max="1803" width="7" style="267" customWidth="1"/>
    <col min="1804" max="1804" width="13.44140625" style="267" customWidth="1"/>
    <col min="1805" max="1805" width="13.109375" style="267" customWidth="1"/>
    <col min="1806" max="1806" width="15" style="267" customWidth="1"/>
    <col min="1807" max="1807" width="42.109375" style="267" customWidth="1"/>
    <col min="1808" max="1808" width="12" style="267" customWidth="1"/>
    <col min="1809" max="1809" width="13.44140625" style="267" bestFit="1" customWidth="1"/>
    <col min="1810" max="1810" width="12.6640625" style="267" customWidth="1"/>
    <col min="1811" max="1811" width="9.109375" style="267" bestFit="1" customWidth="1"/>
    <col min="1812" max="1812" width="5.21875" style="267" customWidth="1"/>
    <col min="1813" max="2048" width="8.88671875" style="267"/>
    <col min="2049" max="2049" width="4.6640625" style="267" customWidth="1"/>
    <col min="2050" max="2050" width="42.6640625" style="267" customWidth="1"/>
    <col min="2051" max="2051" width="35" style="267" customWidth="1"/>
    <col min="2052" max="2052" width="13.5546875" style="267" customWidth="1"/>
    <col min="2053" max="2053" width="4.109375" style="267" customWidth="1"/>
    <col min="2054" max="2054" width="3.6640625" style="267" customWidth="1"/>
    <col min="2055" max="2055" width="11.33203125" style="267" customWidth="1"/>
    <col min="2056" max="2056" width="3.44140625" style="267" customWidth="1"/>
    <col min="2057" max="2057" width="13" style="267" customWidth="1"/>
    <col min="2058" max="2058" width="1.77734375" style="267" customWidth="1"/>
    <col min="2059" max="2059" width="7" style="267" customWidth="1"/>
    <col min="2060" max="2060" width="13.44140625" style="267" customWidth="1"/>
    <col min="2061" max="2061" width="13.109375" style="267" customWidth="1"/>
    <col min="2062" max="2062" width="15" style="267" customWidth="1"/>
    <col min="2063" max="2063" width="42.109375" style="267" customWidth="1"/>
    <col min="2064" max="2064" width="12" style="267" customWidth="1"/>
    <col min="2065" max="2065" width="13.44140625" style="267" bestFit="1" customWidth="1"/>
    <col min="2066" max="2066" width="12.6640625" style="267" customWidth="1"/>
    <col min="2067" max="2067" width="9.109375" style="267" bestFit="1" customWidth="1"/>
    <col min="2068" max="2068" width="5.21875" style="267" customWidth="1"/>
    <col min="2069" max="2304" width="8.88671875" style="267"/>
    <col min="2305" max="2305" width="4.6640625" style="267" customWidth="1"/>
    <col min="2306" max="2306" width="42.6640625" style="267" customWidth="1"/>
    <col min="2307" max="2307" width="35" style="267" customWidth="1"/>
    <col min="2308" max="2308" width="13.5546875" style="267" customWidth="1"/>
    <col min="2309" max="2309" width="4.109375" style="267" customWidth="1"/>
    <col min="2310" max="2310" width="3.6640625" style="267" customWidth="1"/>
    <col min="2311" max="2311" width="11.33203125" style="267" customWidth="1"/>
    <col min="2312" max="2312" width="3.44140625" style="267" customWidth="1"/>
    <col min="2313" max="2313" width="13" style="267" customWidth="1"/>
    <col min="2314" max="2314" width="1.77734375" style="267" customWidth="1"/>
    <col min="2315" max="2315" width="7" style="267" customWidth="1"/>
    <col min="2316" max="2316" width="13.44140625" style="267" customWidth="1"/>
    <col min="2317" max="2317" width="13.109375" style="267" customWidth="1"/>
    <col min="2318" max="2318" width="15" style="267" customWidth="1"/>
    <col min="2319" max="2319" width="42.109375" style="267" customWidth="1"/>
    <col min="2320" max="2320" width="12" style="267" customWidth="1"/>
    <col min="2321" max="2321" width="13.44140625" style="267" bestFit="1" customWidth="1"/>
    <col min="2322" max="2322" width="12.6640625" style="267" customWidth="1"/>
    <col min="2323" max="2323" width="9.109375" style="267" bestFit="1" customWidth="1"/>
    <col min="2324" max="2324" width="5.21875" style="267" customWidth="1"/>
    <col min="2325" max="2560" width="8.88671875" style="267"/>
    <col min="2561" max="2561" width="4.6640625" style="267" customWidth="1"/>
    <col min="2562" max="2562" width="42.6640625" style="267" customWidth="1"/>
    <col min="2563" max="2563" width="35" style="267" customWidth="1"/>
    <col min="2564" max="2564" width="13.5546875" style="267" customWidth="1"/>
    <col min="2565" max="2565" width="4.109375" style="267" customWidth="1"/>
    <col min="2566" max="2566" width="3.6640625" style="267" customWidth="1"/>
    <col min="2567" max="2567" width="11.33203125" style="267" customWidth="1"/>
    <col min="2568" max="2568" width="3.44140625" style="267" customWidth="1"/>
    <col min="2569" max="2569" width="13" style="267" customWidth="1"/>
    <col min="2570" max="2570" width="1.77734375" style="267" customWidth="1"/>
    <col min="2571" max="2571" width="7" style="267" customWidth="1"/>
    <col min="2572" max="2572" width="13.44140625" style="267" customWidth="1"/>
    <col min="2573" max="2573" width="13.109375" style="267" customWidth="1"/>
    <col min="2574" max="2574" width="15" style="267" customWidth="1"/>
    <col min="2575" max="2575" width="42.109375" style="267" customWidth="1"/>
    <col min="2576" max="2576" width="12" style="267" customWidth="1"/>
    <col min="2577" max="2577" width="13.44140625" style="267" bestFit="1" customWidth="1"/>
    <col min="2578" max="2578" width="12.6640625" style="267" customWidth="1"/>
    <col min="2579" max="2579" width="9.109375" style="267" bestFit="1" customWidth="1"/>
    <col min="2580" max="2580" width="5.21875" style="267" customWidth="1"/>
    <col min="2581" max="2816" width="8.88671875" style="267"/>
    <col min="2817" max="2817" width="4.6640625" style="267" customWidth="1"/>
    <col min="2818" max="2818" width="42.6640625" style="267" customWidth="1"/>
    <col min="2819" max="2819" width="35" style="267" customWidth="1"/>
    <col min="2820" max="2820" width="13.5546875" style="267" customWidth="1"/>
    <col min="2821" max="2821" width="4.109375" style="267" customWidth="1"/>
    <col min="2822" max="2822" width="3.6640625" style="267" customWidth="1"/>
    <col min="2823" max="2823" width="11.33203125" style="267" customWidth="1"/>
    <col min="2824" max="2824" width="3.44140625" style="267" customWidth="1"/>
    <col min="2825" max="2825" width="13" style="267" customWidth="1"/>
    <col min="2826" max="2826" width="1.77734375" style="267" customWidth="1"/>
    <col min="2827" max="2827" width="7" style="267" customWidth="1"/>
    <col min="2828" max="2828" width="13.44140625" style="267" customWidth="1"/>
    <col min="2829" max="2829" width="13.109375" style="267" customWidth="1"/>
    <col min="2830" max="2830" width="15" style="267" customWidth="1"/>
    <col min="2831" max="2831" width="42.109375" style="267" customWidth="1"/>
    <col min="2832" max="2832" width="12" style="267" customWidth="1"/>
    <col min="2833" max="2833" width="13.44140625" style="267" bestFit="1" customWidth="1"/>
    <col min="2834" max="2834" width="12.6640625" style="267" customWidth="1"/>
    <col min="2835" max="2835" width="9.109375" style="267" bestFit="1" customWidth="1"/>
    <col min="2836" max="2836" width="5.21875" style="267" customWidth="1"/>
    <col min="2837" max="3072" width="8.88671875" style="267"/>
    <col min="3073" max="3073" width="4.6640625" style="267" customWidth="1"/>
    <col min="3074" max="3074" width="42.6640625" style="267" customWidth="1"/>
    <col min="3075" max="3075" width="35" style="267" customWidth="1"/>
    <col min="3076" max="3076" width="13.5546875" style="267" customWidth="1"/>
    <col min="3077" max="3077" width="4.109375" style="267" customWidth="1"/>
    <col min="3078" max="3078" width="3.6640625" style="267" customWidth="1"/>
    <col min="3079" max="3079" width="11.33203125" style="267" customWidth="1"/>
    <col min="3080" max="3080" width="3.44140625" style="267" customWidth="1"/>
    <col min="3081" max="3081" width="13" style="267" customWidth="1"/>
    <col min="3082" max="3082" width="1.77734375" style="267" customWidth="1"/>
    <col min="3083" max="3083" width="7" style="267" customWidth="1"/>
    <col min="3084" max="3084" width="13.44140625" style="267" customWidth="1"/>
    <col min="3085" max="3085" width="13.109375" style="267" customWidth="1"/>
    <col min="3086" max="3086" width="15" style="267" customWidth="1"/>
    <col min="3087" max="3087" width="42.109375" style="267" customWidth="1"/>
    <col min="3088" max="3088" width="12" style="267" customWidth="1"/>
    <col min="3089" max="3089" width="13.44140625" style="267" bestFit="1" customWidth="1"/>
    <col min="3090" max="3090" width="12.6640625" style="267" customWidth="1"/>
    <col min="3091" max="3091" width="9.109375" style="267" bestFit="1" customWidth="1"/>
    <col min="3092" max="3092" width="5.21875" style="267" customWidth="1"/>
    <col min="3093" max="3328" width="8.88671875" style="267"/>
    <col min="3329" max="3329" width="4.6640625" style="267" customWidth="1"/>
    <col min="3330" max="3330" width="42.6640625" style="267" customWidth="1"/>
    <col min="3331" max="3331" width="35" style="267" customWidth="1"/>
    <col min="3332" max="3332" width="13.5546875" style="267" customWidth="1"/>
    <col min="3333" max="3333" width="4.109375" style="267" customWidth="1"/>
    <col min="3334" max="3334" width="3.6640625" style="267" customWidth="1"/>
    <col min="3335" max="3335" width="11.33203125" style="267" customWidth="1"/>
    <col min="3336" max="3336" width="3.44140625" style="267" customWidth="1"/>
    <col min="3337" max="3337" width="13" style="267" customWidth="1"/>
    <col min="3338" max="3338" width="1.77734375" style="267" customWidth="1"/>
    <col min="3339" max="3339" width="7" style="267" customWidth="1"/>
    <col min="3340" max="3340" width="13.44140625" style="267" customWidth="1"/>
    <col min="3341" max="3341" width="13.109375" style="267" customWidth="1"/>
    <col min="3342" max="3342" width="15" style="267" customWidth="1"/>
    <col min="3343" max="3343" width="42.109375" style="267" customWidth="1"/>
    <col min="3344" max="3344" width="12" style="267" customWidth="1"/>
    <col min="3345" max="3345" width="13.44140625" style="267" bestFit="1" customWidth="1"/>
    <col min="3346" max="3346" width="12.6640625" style="267" customWidth="1"/>
    <col min="3347" max="3347" width="9.109375" style="267" bestFit="1" customWidth="1"/>
    <col min="3348" max="3348" width="5.21875" style="267" customWidth="1"/>
    <col min="3349" max="3584" width="8.88671875" style="267"/>
    <col min="3585" max="3585" width="4.6640625" style="267" customWidth="1"/>
    <col min="3586" max="3586" width="42.6640625" style="267" customWidth="1"/>
    <col min="3587" max="3587" width="35" style="267" customWidth="1"/>
    <col min="3588" max="3588" width="13.5546875" style="267" customWidth="1"/>
    <col min="3589" max="3589" width="4.109375" style="267" customWidth="1"/>
    <col min="3590" max="3590" width="3.6640625" style="267" customWidth="1"/>
    <col min="3591" max="3591" width="11.33203125" style="267" customWidth="1"/>
    <col min="3592" max="3592" width="3.44140625" style="267" customWidth="1"/>
    <col min="3593" max="3593" width="13" style="267" customWidth="1"/>
    <col min="3594" max="3594" width="1.77734375" style="267" customWidth="1"/>
    <col min="3595" max="3595" width="7" style="267" customWidth="1"/>
    <col min="3596" max="3596" width="13.44140625" style="267" customWidth="1"/>
    <col min="3597" max="3597" width="13.109375" style="267" customWidth="1"/>
    <col min="3598" max="3598" width="15" style="267" customWidth="1"/>
    <col min="3599" max="3599" width="42.109375" style="267" customWidth="1"/>
    <col min="3600" max="3600" width="12" style="267" customWidth="1"/>
    <col min="3601" max="3601" width="13.44140625" style="267" bestFit="1" customWidth="1"/>
    <col min="3602" max="3602" width="12.6640625" style="267" customWidth="1"/>
    <col min="3603" max="3603" width="9.109375" style="267" bestFit="1" customWidth="1"/>
    <col min="3604" max="3604" width="5.21875" style="267" customWidth="1"/>
    <col min="3605" max="3840" width="8.88671875" style="267"/>
    <col min="3841" max="3841" width="4.6640625" style="267" customWidth="1"/>
    <col min="3842" max="3842" width="42.6640625" style="267" customWidth="1"/>
    <col min="3843" max="3843" width="35" style="267" customWidth="1"/>
    <col min="3844" max="3844" width="13.5546875" style="267" customWidth="1"/>
    <col min="3845" max="3845" width="4.109375" style="267" customWidth="1"/>
    <col min="3846" max="3846" width="3.6640625" style="267" customWidth="1"/>
    <col min="3847" max="3847" width="11.33203125" style="267" customWidth="1"/>
    <col min="3848" max="3848" width="3.44140625" style="267" customWidth="1"/>
    <col min="3849" max="3849" width="13" style="267" customWidth="1"/>
    <col min="3850" max="3850" width="1.77734375" style="267" customWidth="1"/>
    <col min="3851" max="3851" width="7" style="267" customWidth="1"/>
    <col min="3852" max="3852" width="13.44140625" style="267" customWidth="1"/>
    <col min="3853" max="3853" width="13.109375" style="267" customWidth="1"/>
    <col min="3854" max="3854" width="15" style="267" customWidth="1"/>
    <col min="3855" max="3855" width="42.109375" style="267" customWidth="1"/>
    <col min="3856" max="3856" width="12" style="267" customWidth="1"/>
    <col min="3857" max="3857" width="13.44140625" style="267" bestFit="1" customWidth="1"/>
    <col min="3858" max="3858" width="12.6640625" style="267" customWidth="1"/>
    <col min="3859" max="3859" width="9.109375" style="267" bestFit="1" customWidth="1"/>
    <col min="3860" max="3860" width="5.21875" style="267" customWidth="1"/>
    <col min="3861" max="4096" width="8.88671875" style="267"/>
    <col min="4097" max="4097" width="4.6640625" style="267" customWidth="1"/>
    <col min="4098" max="4098" width="42.6640625" style="267" customWidth="1"/>
    <col min="4099" max="4099" width="35" style="267" customWidth="1"/>
    <col min="4100" max="4100" width="13.5546875" style="267" customWidth="1"/>
    <col min="4101" max="4101" width="4.109375" style="267" customWidth="1"/>
    <col min="4102" max="4102" width="3.6640625" style="267" customWidth="1"/>
    <col min="4103" max="4103" width="11.33203125" style="267" customWidth="1"/>
    <col min="4104" max="4104" width="3.44140625" style="267" customWidth="1"/>
    <col min="4105" max="4105" width="13" style="267" customWidth="1"/>
    <col min="4106" max="4106" width="1.77734375" style="267" customWidth="1"/>
    <col min="4107" max="4107" width="7" style="267" customWidth="1"/>
    <col min="4108" max="4108" width="13.44140625" style="267" customWidth="1"/>
    <col min="4109" max="4109" width="13.109375" style="267" customWidth="1"/>
    <col min="4110" max="4110" width="15" style="267" customWidth="1"/>
    <col min="4111" max="4111" width="42.109375" style="267" customWidth="1"/>
    <col min="4112" max="4112" width="12" style="267" customWidth="1"/>
    <col min="4113" max="4113" width="13.44140625" style="267" bestFit="1" customWidth="1"/>
    <col min="4114" max="4114" width="12.6640625" style="267" customWidth="1"/>
    <col min="4115" max="4115" width="9.109375" style="267" bestFit="1" customWidth="1"/>
    <col min="4116" max="4116" width="5.21875" style="267" customWidth="1"/>
    <col min="4117" max="4352" width="8.88671875" style="267"/>
    <col min="4353" max="4353" width="4.6640625" style="267" customWidth="1"/>
    <col min="4354" max="4354" width="42.6640625" style="267" customWidth="1"/>
    <col min="4355" max="4355" width="35" style="267" customWidth="1"/>
    <col min="4356" max="4356" width="13.5546875" style="267" customWidth="1"/>
    <col min="4357" max="4357" width="4.109375" style="267" customWidth="1"/>
    <col min="4358" max="4358" width="3.6640625" style="267" customWidth="1"/>
    <col min="4359" max="4359" width="11.33203125" style="267" customWidth="1"/>
    <col min="4360" max="4360" width="3.44140625" style="267" customWidth="1"/>
    <col min="4361" max="4361" width="13" style="267" customWidth="1"/>
    <col min="4362" max="4362" width="1.77734375" style="267" customWidth="1"/>
    <col min="4363" max="4363" width="7" style="267" customWidth="1"/>
    <col min="4364" max="4364" width="13.44140625" style="267" customWidth="1"/>
    <col min="4365" max="4365" width="13.109375" style="267" customWidth="1"/>
    <col min="4366" max="4366" width="15" style="267" customWidth="1"/>
    <col min="4367" max="4367" width="42.109375" style="267" customWidth="1"/>
    <col min="4368" max="4368" width="12" style="267" customWidth="1"/>
    <col min="4369" max="4369" width="13.44140625" style="267" bestFit="1" customWidth="1"/>
    <col min="4370" max="4370" width="12.6640625" style="267" customWidth="1"/>
    <col min="4371" max="4371" width="9.109375" style="267" bestFit="1" customWidth="1"/>
    <col min="4372" max="4372" width="5.21875" style="267" customWidth="1"/>
    <col min="4373" max="4608" width="8.88671875" style="267"/>
    <col min="4609" max="4609" width="4.6640625" style="267" customWidth="1"/>
    <col min="4610" max="4610" width="42.6640625" style="267" customWidth="1"/>
    <col min="4611" max="4611" width="35" style="267" customWidth="1"/>
    <col min="4612" max="4612" width="13.5546875" style="267" customWidth="1"/>
    <col min="4613" max="4613" width="4.109375" style="267" customWidth="1"/>
    <col min="4614" max="4614" width="3.6640625" style="267" customWidth="1"/>
    <col min="4615" max="4615" width="11.33203125" style="267" customWidth="1"/>
    <col min="4616" max="4616" width="3.44140625" style="267" customWidth="1"/>
    <col min="4617" max="4617" width="13" style="267" customWidth="1"/>
    <col min="4618" max="4618" width="1.77734375" style="267" customWidth="1"/>
    <col min="4619" max="4619" width="7" style="267" customWidth="1"/>
    <col min="4620" max="4620" width="13.44140625" style="267" customWidth="1"/>
    <col min="4621" max="4621" width="13.109375" style="267" customWidth="1"/>
    <col min="4622" max="4622" width="15" style="267" customWidth="1"/>
    <col min="4623" max="4623" width="42.109375" style="267" customWidth="1"/>
    <col min="4624" max="4624" width="12" style="267" customWidth="1"/>
    <col min="4625" max="4625" width="13.44140625" style="267" bestFit="1" customWidth="1"/>
    <col min="4626" max="4626" width="12.6640625" style="267" customWidth="1"/>
    <col min="4627" max="4627" width="9.109375" style="267" bestFit="1" customWidth="1"/>
    <col min="4628" max="4628" width="5.21875" style="267" customWidth="1"/>
    <col min="4629" max="4864" width="8.88671875" style="267"/>
    <col min="4865" max="4865" width="4.6640625" style="267" customWidth="1"/>
    <col min="4866" max="4866" width="42.6640625" style="267" customWidth="1"/>
    <col min="4867" max="4867" width="35" style="267" customWidth="1"/>
    <col min="4868" max="4868" width="13.5546875" style="267" customWidth="1"/>
    <col min="4869" max="4869" width="4.109375" style="267" customWidth="1"/>
    <col min="4870" max="4870" width="3.6640625" style="267" customWidth="1"/>
    <col min="4871" max="4871" width="11.33203125" style="267" customWidth="1"/>
    <col min="4872" max="4872" width="3.44140625" style="267" customWidth="1"/>
    <col min="4873" max="4873" width="13" style="267" customWidth="1"/>
    <col min="4874" max="4874" width="1.77734375" style="267" customWidth="1"/>
    <col min="4875" max="4875" width="7" style="267" customWidth="1"/>
    <col min="4876" max="4876" width="13.44140625" style="267" customWidth="1"/>
    <col min="4877" max="4877" width="13.109375" style="267" customWidth="1"/>
    <col min="4878" max="4878" width="15" style="267" customWidth="1"/>
    <col min="4879" max="4879" width="42.109375" style="267" customWidth="1"/>
    <col min="4880" max="4880" width="12" style="267" customWidth="1"/>
    <col min="4881" max="4881" width="13.44140625" style="267" bestFit="1" customWidth="1"/>
    <col min="4882" max="4882" width="12.6640625" style="267" customWidth="1"/>
    <col min="4883" max="4883" width="9.109375" style="267" bestFit="1" customWidth="1"/>
    <col min="4884" max="4884" width="5.21875" style="267" customWidth="1"/>
    <col min="4885" max="5120" width="8.88671875" style="267"/>
    <col min="5121" max="5121" width="4.6640625" style="267" customWidth="1"/>
    <col min="5122" max="5122" width="42.6640625" style="267" customWidth="1"/>
    <col min="5123" max="5123" width="35" style="267" customWidth="1"/>
    <col min="5124" max="5124" width="13.5546875" style="267" customWidth="1"/>
    <col min="5125" max="5125" width="4.109375" style="267" customWidth="1"/>
    <col min="5126" max="5126" width="3.6640625" style="267" customWidth="1"/>
    <col min="5127" max="5127" width="11.33203125" style="267" customWidth="1"/>
    <col min="5128" max="5128" width="3.44140625" style="267" customWidth="1"/>
    <col min="5129" max="5129" width="13" style="267" customWidth="1"/>
    <col min="5130" max="5130" width="1.77734375" style="267" customWidth="1"/>
    <col min="5131" max="5131" width="7" style="267" customWidth="1"/>
    <col min="5132" max="5132" width="13.44140625" style="267" customWidth="1"/>
    <col min="5133" max="5133" width="13.109375" style="267" customWidth="1"/>
    <col min="5134" max="5134" width="15" style="267" customWidth="1"/>
    <col min="5135" max="5135" width="42.109375" style="267" customWidth="1"/>
    <col min="5136" max="5136" width="12" style="267" customWidth="1"/>
    <col min="5137" max="5137" width="13.44140625" style="267" bestFit="1" customWidth="1"/>
    <col min="5138" max="5138" width="12.6640625" style="267" customWidth="1"/>
    <col min="5139" max="5139" width="9.109375" style="267" bestFit="1" customWidth="1"/>
    <col min="5140" max="5140" width="5.21875" style="267" customWidth="1"/>
    <col min="5141" max="5376" width="8.88671875" style="267"/>
    <col min="5377" max="5377" width="4.6640625" style="267" customWidth="1"/>
    <col min="5378" max="5378" width="42.6640625" style="267" customWidth="1"/>
    <col min="5379" max="5379" width="35" style="267" customWidth="1"/>
    <col min="5380" max="5380" width="13.5546875" style="267" customWidth="1"/>
    <col min="5381" max="5381" width="4.109375" style="267" customWidth="1"/>
    <col min="5382" max="5382" width="3.6640625" style="267" customWidth="1"/>
    <col min="5383" max="5383" width="11.33203125" style="267" customWidth="1"/>
    <col min="5384" max="5384" width="3.44140625" style="267" customWidth="1"/>
    <col min="5385" max="5385" width="13" style="267" customWidth="1"/>
    <col min="5386" max="5386" width="1.77734375" style="267" customWidth="1"/>
    <col min="5387" max="5387" width="7" style="267" customWidth="1"/>
    <col min="5388" max="5388" width="13.44140625" style="267" customWidth="1"/>
    <col min="5389" max="5389" width="13.109375" style="267" customWidth="1"/>
    <col min="5390" max="5390" width="15" style="267" customWidth="1"/>
    <col min="5391" max="5391" width="42.109375" style="267" customWidth="1"/>
    <col min="5392" max="5392" width="12" style="267" customWidth="1"/>
    <col min="5393" max="5393" width="13.44140625" style="267" bestFit="1" customWidth="1"/>
    <col min="5394" max="5394" width="12.6640625" style="267" customWidth="1"/>
    <col min="5395" max="5395" width="9.109375" style="267" bestFit="1" customWidth="1"/>
    <col min="5396" max="5396" width="5.21875" style="267" customWidth="1"/>
    <col min="5397" max="5632" width="8.88671875" style="267"/>
    <col min="5633" max="5633" width="4.6640625" style="267" customWidth="1"/>
    <col min="5634" max="5634" width="42.6640625" style="267" customWidth="1"/>
    <col min="5635" max="5635" width="35" style="267" customWidth="1"/>
    <col min="5636" max="5636" width="13.5546875" style="267" customWidth="1"/>
    <col min="5637" max="5637" width="4.109375" style="267" customWidth="1"/>
    <col min="5638" max="5638" width="3.6640625" style="267" customWidth="1"/>
    <col min="5639" max="5639" width="11.33203125" style="267" customWidth="1"/>
    <col min="5640" max="5640" width="3.44140625" style="267" customWidth="1"/>
    <col min="5641" max="5641" width="13" style="267" customWidth="1"/>
    <col min="5642" max="5642" width="1.77734375" style="267" customWidth="1"/>
    <col min="5643" max="5643" width="7" style="267" customWidth="1"/>
    <col min="5644" max="5644" width="13.44140625" style="267" customWidth="1"/>
    <col min="5645" max="5645" width="13.109375" style="267" customWidth="1"/>
    <col min="5646" max="5646" width="15" style="267" customWidth="1"/>
    <col min="5647" max="5647" width="42.109375" style="267" customWidth="1"/>
    <col min="5648" max="5648" width="12" style="267" customWidth="1"/>
    <col min="5649" max="5649" width="13.44140625" style="267" bestFit="1" customWidth="1"/>
    <col min="5650" max="5650" width="12.6640625" style="267" customWidth="1"/>
    <col min="5651" max="5651" width="9.109375" style="267" bestFit="1" customWidth="1"/>
    <col min="5652" max="5652" width="5.21875" style="267" customWidth="1"/>
    <col min="5653" max="5888" width="8.88671875" style="267"/>
    <col min="5889" max="5889" width="4.6640625" style="267" customWidth="1"/>
    <col min="5890" max="5890" width="42.6640625" style="267" customWidth="1"/>
    <col min="5891" max="5891" width="35" style="267" customWidth="1"/>
    <col min="5892" max="5892" width="13.5546875" style="267" customWidth="1"/>
    <col min="5893" max="5893" width="4.109375" style="267" customWidth="1"/>
    <col min="5894" max="5894" width="3.6640625" style="267" customWidth="1"/>
    <col min="5895" max="5895" width="11.33203125" style="267" customWidth="1"/>
    <col min="5896" max="5896" width="3.44140625" style="267" customWidth="1"/>
    <col min="5897" max="5897" width="13" style="267" customWidth="1"/>
    <col min="5898" max="5898" width="1.77734375" style="267" customWidth="1"/>
    <col min="5899" max="5899" width="7" style="267" customWidth="1"/>
    <col min="5900" max="5900" width="13.44140625" style="267" customWidth="1"/>
    <col min="5901" max="5901" width="13.109375" style="267" customWidth="1"/>
    <col min="5902" max="5902" width="15" style="267" customWidth="1"/>
    <col min="5903" max="5903" width="42.109375" style="267" customWidth="1"/>
    <col min="5904" max="5904" width="12" style="267" customWidth="1"/>
    <col min="5905" max="5905" width="13.44140625" style="267" bestFit="1" customWidth="1"/>
    <col min="5906" max="5906" width="12.6640625" style="267" customWidth="1"/>
    <col min="5907" max="5907" width="9.109375" style="267" bestFit="1" customWidth="1"/>
    <col min="5908" max="5908" width="5.21875" style="267" customWidth="1"/>
    <col min="5909" max="6144" width="8.88671875" style="267"/>
    <col min="6145" max="6145" width="4.6640625" style="267" customWidth="1"/>
    <col min="6146" max="6146" width="42.6640625" style="267" customWidth="1"/>
    <col min="6147" max="6147" width="35" style="267" customWidth="1"/>
    <col min="6148" max="6148" width="13.5546875" style="267" customWidth="1"/>
    <col min="6149" max="6149" width="4.109375" style="267" customWidth="1"/>
    <col min="6150" max="6150" width="3.6640625" style="267" customWidth="1"/>
    <col min="6151" max="6151" width="11.33203125" style="267" customWidth="1"/>
    <col min="6152" max="6152" width="3.44140625" style="267" customWidth="1"/>
    <col min="6153" max="6153" width="13" style="267" customWidth="1"/>
    <col min="6154" max="6154" width="1.77734375" style="267" customWidth="1"/>
    <col min="6155" max="6155" width="7" style="267" customWidth="1"/>
    <col min="6156" max="6156" width="13.44140625" style="267" customWidth="1"/>
    <col min="6157" max="6157" width="13.109375" style="267" customWidth="1"/>
    <col min="6158" max="6158" width="15" style="267" customWidth="1"/>
    <col min="6159" max="6159" width="42.109375" style="267" customWidth="1"/>
    <col min="6160" max="6160" width="12" style="267" customWidth="1"/>
    <col min="6161" max="6161" width="13.44140625" style="267" bestFit="1" customWidth="1"/>
    <col min="6162" max="6162" width="12.6640625" style="267" customWidth="1"/>
    <col min="6163" max="6163" width="9.109375" style="267" bestFit="1" customWidth="1"/>
    <col min="6164" max="6164" width="5.21875" style="267" customWidth="1"/>
    <col min="6165" max="6400" width="8.88671875" style="267"/>
    <col min="6401" max="6401" width="4.6640625" style="267" customWidth="1"/>
    <col min="6402" max="6402" width="42.6640625" style="267" customWidth="1"/>
    <col min="6403" max="6403" width="35" style="267" customWidth="1"/>
    <col min="6404" max="6404" width="13.5546875" style="267" customWidth="1"/>
    <col min="6405" max="6405" width="4.109375" style="267" customWidth="1"/>
    <col min="6406" max="6406" width="3.6640625" style="267" customWidth="1"/>
    <col min="6407" max="6407" width="11.33203125" style="267" customWidth="1"/>
    <col min="6408" max="6408" width="3.44140625" style="267" customWidth="1"/>
    <col min="6409" max="6409" width="13" style="267" customWidth="1"/>
    <col min="6410" max="6410" width="1.77734375" style="267" customWidth="1"/>
    <col min="6411" max="6411" width="7" style="267" customWidth="1"/>
    <col min="6412" max="6412" width="13.44140625" style="267" customWidth="1"/>
    <col min="6413" max="6413" width="13.109375" style="267" customWidth="1"/>
    <col min="6414" max="6414" width="15" style="267" customWidth="1"/>
    <col min="6415" max="6415" width="42.109375" style="267" customWidth="1"/>
    <col min="6416" max="6416" width="12" style="267" customWidth="1"/>
    <col min="6417" max="6417" width="13.44140625" style="267" bestFit="1" customWidth="1"/>
    <col min="6418" max="6418" width="12.6640625" style="267" customWidth="1"/>
    <col min="6419" max="6419" width="9.109375" style="267" bestFit="1" customWidth="1"/>
    <col min="6420" max="6420" width="5.21875" style="267" customWidth="1"/>
    <col min="6421" max="6656" width="8.88671875" style="267"/>
    <col min="6657" max="6657" width="4.6640625" style="267" customWidth="1"/>
    <col min="6658" max="6658" width="42.6640625" style="267" customWidth="1"/>
    <col min="6659" max="6659" width="35" style="267" customWidth="1"/>
    <col min="6660" max="6660" width="13.5546875" style="267" customWidth="1"/>
    <col min="6661" max="6661" width="4.109375" style="267" customWidth="1"/>
    <col min="6662" max="6662" width="3.6640625" style="267" customWidth="1"/>
    <col min="6663" max="6663" width="11.33203125" style="267" customWidth="1"/>
    <col min="6664" max="6664" width="3.44140625" style="267" customWidth="1"/>
    <col min="6665" max="6665" width="13" style="267" customWidth="1"/>
    <col min="6666" max="6666" width="1.77734375" style="267" customWidth="1"/>
    <col min="6667" max="6667" width="7" style="267" customWidth="1"/>
    <col min="6668" max="6668" width="13.44140625" style="267" customWidth="1"/>
    <col min="6669" max="6669" width="13.109375" style="267" customWidth="1"/>
    <col min="6670" max="6670" width="15" style="267" customWidth="1"/>
    <col min="6671" max="6671" width="42.109375" style="267" customWidth="1"/>
    <col min="6672" max="6672" width="12" style="267" customWidth="1"/>
    <col min="6673" max="6673" width="13.44140625" style="267" bestFit="1" customWidth="1"/>
    <col min="6674" max="6674" width="12.6640625" style="267" customWidth="1"/>
    <col min="6675" max="6675" width="9.109375" style="267" bestFit="1" customWidth="1"/>
    <col min="6676" max="6676" width="5.21875" style="267" customWidth="1"/>
    <col min="6677" max="6912" width="8.88671875" style="267"/>
    <col min="6913" max="6913" width="4.6640625" style="267" customWidth="1"/>
    <col min="6914" max="6914" width="42.6640625" style="267" customWidth="1"/>
    <col min="6915" max="6915" width="35" style="267" customWidth="1"/>
    <col min="6916" max="6916" width="13.5546875" style="267" customWidth="1"/>
    <col min="6917" max="6917" width="4.109375" style="267" customWidth="1"/>
    <col min="6918" max="6918" width="3.6640625" style="267" customWidth="1"/>
    <col min="6919" max="6919" width="11.33203125" style="267" customWidth="1"/>
    <col min="6920" max="6920" width="3.44140625" style="267" customWidth="1"/>
    <col min="6921" max="6921" width="13" style="267" customWidth="1"/>
    <col min="6922" max="6922" width="1.77734375" style="267" customWidth="1"/>
    <col min="6923" max="6923" width="7" style="267" customWidth="1"/>
    <col min="6924" max="6924" width="13.44140625" style="267" customWidth="1"/>
    <col min="6925" max="6925" width="13.109375" style="267" customWidth="1"/>
    <col min="6926" max="6926" width="15" style="267" customWidth="1"/>
    <col min="6927" max="6927" width="42.109375" style="267" customWidth="1"/>
    <col min="6928" max="6928" width="12" style="267" customWidth="1"/>
    <col min="6929" max="6929" width="13.44140625" style="267" bestFit="1" customWidth="1"/>
    <col min="6930" max="6930" width="12.6640625" style="267" customWidth="1"/>
    <col min="6931" max="6931" width="9.109375" style="267" bestFit="1" customWidth="1"/>
    <col min="6932" max="6932" width="5.21875" style="267" customWidth="1"/>
    <col min="6933" max="7168" width="8.88671875" style="267"/>
    <col min="7169" max="7169" width="4.6640625" style="267" customWidth="1"/>
    <col min="7170" max="7170" width="42.6640625" style="267" customWidth="1"/>
    <col min="7171" max="7171" width="35" style="267" customWidth="1"/>
    <col min="7172" max="7172" width="13.5546875" style="267" customWidth="1"/>
    <col min="7173" max="7173" width="4.109375" style="267" customWidth="1"/>
    <col min="7174" max="7174" width="3.6640625" style="267" customWidth="1"/>
    <col min="7175" max="7175" width="11.33203125" style="267" customWidth="1"/>
    <col min="7176" max="7176" width="3.44140625" style="267" customWidth="1"/>
    <col min="7177" max="7177" width="13" style="267" customWidth="1"/>
    <col min="7178" max="7178" width="1.77734375" style="267" customWidth="1"/>
    <col min="7179" max="7179" width="7" style="267" customWidth="1"/>
    <col min="7180" max="7180" width="13.44140625" style="267" customWidth="1"/>
    <col min="7181" max="7181" width="13.109375" style="267" customWidth="1"/>
    <col min="7182" max="7182" width="15" style="267" customWidth="1"/>
    <col min="7183" max="7183" width="42.109375" style="267" customWidth="1"/>
    <col min="7184" max="7184" width="12" style="267" customWidth="1"/>
    <col min="7185" max="7185" width="13.44140625" style="267" bestFit="1" customWidth="1"/>
    <col min="7186" max="7186" width="12.6640625" style="267" customWidth="1"/>
    <col min="7187" max="7187" width="9.109375" style="267" bestFit="1" customWidth="1"/>
    <col min="7188" max="7188" width="5.21875" style="267" customWidth="1"/>
    <col min="7189" max="7424" width="8.88671875" style="267"/>
    <col min="7425" max="7425" width="4.6640625" style="267" customWidth="1"/>
    <col min="7426" max="7426" width="42.6640625" style="267" customWidth="1"/>
    <col min="7427" max="7427" width="35" style="267" customWidth="1"/>
    <col min="7428" max="7428" width="13.5546875" style="267" customWidth="1"/>
    <col min="7429" max="7429" width="4.109375" style="267" customWidth="1"/>
    <col min="7430" max="7430" width="3.6640625" style="267" customWidth="1"/>
    <col min="7431" max="7431" width="11.33203125" style="267" customWidth="1"/>
    <col min="7432" max="7432" width="3.44140625" style="267" customWidth="1"/>
    <col min="7433" max="7433" width="13" style="267" customWidth="1"/>
    <col min="7434" max="7434" width="1.77734375" style="267" customWidth="1"/>
    <col min="7435" max="7435" width="7" style="267" customWidth="1"/>
    <col min="7436" max="7436" width="13.44140625" style="267" customWidth="1"/>
    <col min="7437" max="7437" width="13.109375" style="267" customWidth="1"/>
    <col min="7438" max="7438" width="15" style="267" customWidth="1"/>
    <col min="7439" max="7439" width="42.109375" style="267" customWidth="1"/>
    <col min="7440" max="7440" width="12" style="267" customWidth="1"/>
    <col min="7441" max="7441" width="13.44140625" style="267" bestFit="1" customWidth="1"/>
    <col min="7442" max="7442" width="12.6640625" style="267" customWidth="1"/>
    <col min="7443" max="7443" width="9.109375" style="267" bestFit="1" customWidth="1"/>
    <col min="7444" max="7444" width="5.21875" style="267" customWidth="1"/>
    <col min="7445" max="7680" width="8.88671875" style="267"/>
    <col min="7681" max="7681" width="4.6640625" style="267" customWidth="1"/>
    <col min="7682" max="7682" width="42.6640625" style="267" customWidth="1"/>
    <col min="7683" max="7683" width="35" style="267" customWidth="1"/>
    <col min="7684" max="7684" width="13.5546875" style="267" customWidth="1"/>
    <col min="7685" max="7685" width="4.109375" style="267" customWidth="1"/>
    <col min="7686" max="7686" width="3.6640625" style="267" customWidth="1"/>
    <col min="7687" max="7687" width="11.33203125" style="267" customWidth="1"/>
    <col min="7688" max="7688" width="3.44140625" style="267" customWidth="1"/>
    <col min="7689" max="7689" width="13" style="267" customWidth="1"/>
    <col min="7690" max="7690" width="1.77734375" style="267" customWidth="1"/>
    <col min="7691" max="7691" width="7" style="267" customWidth="1"/>
    <col min="7692" max="7692" width="13.44140625" style="267" customWidth="1"/>
    <col min="7693" max="7693" width="13.109375" style="267" customWidth="1"/>
    <col min="7694" max="7694" width="15" style="267" customWidth="1"/>
    <col min="7695" max="7695" width="42.109375" style="267" customWidth="1"/>
    <col min="7696" max="7696" width="12" style="267" customWidth="1"/>
    <col min="7697" max="7697" width="13.44140625" style="267" bestFit="1" customWidth="1"/>
    <col min="7698" max="7698" width="12.6640625" style="267" customWidth="1"/>
    <col min="7699" max="7699" width="9.109375" style="267" bestFit="1" customWidth="1"/>
    <col min="7700" max="7700" width="5.21875" style="267" customWidth="1"/>
    <col min="7701" max="7936" width="8.88671875" style="267"/>
    <col min="7937" max="7937" width="4.6640625" style="267" customWidth="1"/>
    <col min="7938" max="7938" width="42.6640625" style="267" customWidth="1"/>
    <col min="7939" max="7939" width="35" style="267" customWidth="1"/>
    <col min="7940" max="7940" width="13.5546875" style="267" customWidth="1"/>
    <col min="7941" max="7941" width="4.109375" style="267" customWidth="1"/>
    <col min="7942" max="7942" width="3.6640625" style="267" customWidth="1"/>
    <col min="7943" max="7943" width="11.33203125" style="267" customWidth="1"/>
    <col min="7944" max="7944" width="3.44140625" style="267" customWidth="1"/>
    <col min="7945" max="7945" width="13" style="267" customWidth="1"/>
    <col min="7946" max="7946" width="1.77734375" style="267" customWidth="1"/>
    <col min="7947" max="7947" width="7" style="267" customWidth="1"/>
    <col min="7948" max="7948" width="13.44140625" style="267" customWidth="1"/>
    <col min="7949" max="7949" width="13.109375" style="267" customWidth="1"/>
    <col min="7950" max="7950" width="15" style="267" customWidth="1"/>
    <col min="7951" max="7951" width="42.109375" style="267" customWidth="1"/>
    <col min="7952" max="7952" width="12" style="267" customWidth="1"/>
    <col min="7953" max="7953" width="13.44140625" style="267" bestFit="1" customWidth="1"/>
    <col min="7954" max="7954" width="12.6640625" style="267" customWidth="1"/>
    <col min="7955" max="7955" width="9.109375" style="267" bestFit="1" customWidth="1"/>
    <col min="7956" max="7956" width="5.21875" style="267" customWidth="1"/>
    <col min="7957" max="8192" width="8.88671875" style="267"/>
    <col min="8193" max="8193" width="4.6640625" style="267" customWidth="1"/>
    <col min="8194" max="8194" width="42.6640625" style="267" customWidth="1"/>
    <col min="8195" max="8195" width="35" style="267" customWidth="1"/>
    <col min="8196" max="8196" width="13.5546875" style="267" customWidth="1"/>
    <col min="8197" max="8197" width="4.109375" style="267" customWidth="1"/>
    <col min="8198" max="8198" width="3.6640625" style="267" customWidth="1"/>
    <col min="8199" max="8199" width="11.33203125" style="267" customWidth="1"/>
    <col min="8200" max="8200" width="3.44140625" style="267" customWidth="1"/>
    <col min="8201" max="8201" width="13" style="267" customWidth="1"/>
    <col min="8202" max="8202" width="1.77734375" style="267" customWidth="1"/>
    <col min="8203" max="8203" width="7" style="267" customWidth="1"/>
    <col min="8204" max="8204" width="13.44140625" style="267" customWidth="1"/>
    <col min="8205" max="8205" width="13.109375" style="267" customWidth="1"/>
    <col min="8206" max="8206" width="15" style="267" customWidth="1"/>
    <col min="8207" max="8207" width="42.109375" style="267" customWidth="1"/>
    <col min="8208" max="8208" width="12" style="267" customWidth="1"/>
    <col min="8209" max="8209" width="13.44140625" style="267" bestFit="1" customWidth="1"/>
    <col min="8210" max="8210" width="12.6640625" style="267" customWidth="1"/>
    <col min="8211" max="8211" width="9.109375" style="267" bestFit="1" customWidth="1"/>
    <col min="8212" max="8212" width="5.21875" style="267" customWidth="1"/>
    <col min="8213" max="8448" width="8.88671875" style="267"/>
    <col min="8449" max="8449" width="4.6640625" style="267" customWidth="1"/>
    <col min="8450" max="8450" width="42.6640625" style="267" customWidth="1"/>
    <col min="8451" max="8451" width="35" style="267" customWidth="1"/>
    <col min="8452" max="8452" width="13.5546875" style="267" customWidth="1"/>
    <col min="8453" max="8453" width="4.109375" style="267" customWidth="1"/>
    <col min="8454" max="8454" width="3.6640625" style="267" customWidth="1"/>
    <col min="8455" max="8455" width="11.33203125" style="267" customWidth="1"/>
    <col min="8456" max="8456" width="3.44140625" style="267" customWidth="1"/>
    <col min="8457" max="8457" width="13" style="267" customWidth="1"/>
    <col min="8458" max="8458" width="1.77734375" style="267" customWidth="1"/>
    <col min="8459" max="8459" width="7" style="267" customWidth="1"/>
    <col min="8460" max="8460" width="13.44140625" style="267" customWidth="1"/>
    <col min="8461" max="8461" width="13.109375" style="267" customWidth="1"/>
    <col min="8462" max="8462" width="15" style="267" customWidth="1"/>
    <col min="8463" max="8463" width="42.109375" style="267" customWidth="1"/>
    <col min="8464" max="8464" width="12" style="267" customWidth="1"/>
    <col min="8465" max="8465" width="13.44140625" style="267" bestFit="1" customWidth="1"/>
    <col min="8466" max="8466" width="12.6640625" style="267" customWidth="1"/>
    <col min="8467" max="8467" width="9.109375" style="267" bestFit="1" customWidth="1"/>
    <col min="8468" max="8468" width="5.21875" style="267" customWidth="1"/>
    <col min="8469" max="8704" width="8.88671875" style="267"/>
    <col min="8705" max="8705" width="4.6640625" style="267" customWidth="1"/>
    <col min="8706" max="8706" width="42.6640625" style="267" customWidth="1"/>
    <col min="8707" max="8707" width="35" style="267" customWidth="1"/>
    <col min="8708" max="8708" width="13.5546875" style="267" customWidth="1"/>
    <col min="8709" max="8709" width="4.109375" style="267" customWidth="1"/>
    <col min="8710" max="8710" width="3.6640625" style="267" customWidth="1"/>
    <col min="8711" max="8711" width="11.33203125" style="267" customWidth="1"/>
    <col min="8712" max="8712" width="3.44140625" style="267" customWidth="1"/>
    <col min="8713" max="8713" width="13" style="267" customWidth="1"/>
    <col min="8714" max="8714" width="1.77734375" style="267" customWidth="1"/>
    <col min="8715" max="8715" width="7" style="267" customWidth="1"/>
    <col min="8716" max="8716" width="13.44140625" style="267" customWidth="1"/>
    <col min="8717" max="8717" width="13.109375" style="267" customWidth="1"/>
    <col min="8718" max="8718" width="15" style="267" customWidth="1"/>
    <col min="8719" max="8719" width="42.109375" style="267" customWidth="1"/>
    <col min="8720" max="8720" width="12" style="267" customWidth="1"/>
    <col min="8721" max="8721" width="13.44140625" style="267" bestFit="1" customWidth="1"/>
    <col min="8722" max="8722" width="12.6640625" style="267" customWidth="1"/>
    <col min="8723" max="8723" width="9.109375" style="267" bestFit="1" customWidth="1"/>
    <col min="8724" max="8724" width="5.21875" style="267" customWidth="1"/>
    <col min="8725" max="8960" width="8.88671875" style="267"/>
    <col min="8961" max="8961" width="4.6640625" style="267" customWidth="1"/>
    <col min="8962" max="8962" width="42.6640625" style="267" customWidth="1"/>
    <col min="8963" max="8963" width="35" style="267" customWidth="1"/>
    <col min="8964" max="8964" width="13.5546875" style="267" customWidth="1"/>
    <col min="8965" max="8965" width="4.109375" style="267" customWidth="1"/>
    <col min="8966" max="8966" width="3.6640625" style="267" customWidth="1"/>
    <col min="8967" max="8967" width="11.33203125" style="267" customWidth="1"/>
    <col min="8968" max="8968" width="3.44140625" style="267" customWidth="1"/>
    <col min="8969" max="8969" width="13" style="267" customWidth="1"/>
    <col min="8970" max="8970" width="1.77734375" style="267" customWidth="1"/>
    <col min="8971" max="8971" width="7" style="267" customWidth="1"/>
    <col min="8972" max="8972" width="13.44140625" style="267" customWidth="1"/>
    <col min="8973" max="8973" width="13.109375" style="267" customWidth="1"/>
    <col min="8974" max="8974" width="15" style="267" customWidth="1"/>
    <col min="8975" max="8975" width="42.109375" style="267" customWidth="1"/>
    <col min="8976" max="8976" width="12" style="267" customWidth="1"/>
    <col min="8977" max="8977" width="13.44140625" style="267" bestFit="1" customWidth="1"/>
    <col min="8978" max="8978" width="12.6640625" style="267" customWidth="1"/>
    <col min="8979" max="8979" width="9.109375" style="267" bestFit="1" customWidth="1"/>
    <col min="8980" max="8980" width="5.21875" style="267" customWidth="1"/>
    <col min="8981" max="9216" width="8.88671875" style="267"/>
    <col min="9217" max="9217" width="4.6640625" style="267" customWidth="1"/>
    <col min="9218" max="9218" width="42.6640625" style="267" customWidth="1"/>
    <col min="9219" max="9219" width="35" style="267" customWidth="1"/>
    <col min="9220" max="9220" width="13.5546875" style="267" customWidth="1"/>
    <col min="9221" max="9221" width="4.109375" style="267" customWidth="1"/>
    <col min="9222" max="9222" width="3.6640625" style="267" customWidth="1"/>
    <col min="9223" max="9223" width="11.33203125" style="267" customWidth="1"/>
    <col min="9224" max="9224" width="3.44140625" style="267" customWidth="1"/>
    <col min="9225" max="9225" width="13" style="267" customWidth="1"/>
    <col min="9226" max="9226" width="1.77734375" style="267" customWidth="1"/>
    <col min="9227" max="9227" width="7" style="267" customWidth="1"/>
    <col min="9228" max="9228" width="13.44140625" style="267" customWidth="1"/>
    <col min="9229" max="9229" width="13.109375" style="267" customWidth="1"/>
    <col min="9230" max="9230" width="15" style="267" customWidth="1"/>
    <col min="9231" max="9231" width="42.109375" style="267" customWidth="1"/>
    <col min="9232" max="9232" width="12" style="267" customWidth="1"/>
    <col min="9233" max="9233" width="13.44140625" style="267" bestFit="1" customWidth="1"/>
    <col min="9234" max="9234" width="12.6640625" style="267" customWidth="1"/>
    <col min="9235" max="9235" width="9.109375" style="267" bestFit="1" customWidth="1"/>
    <col min="9236" max="9236" width="5.21875" style="267" customWidth="1"/>
    <col min="9237" max="9472" width="8.88671875" style="267"/>
    <col min="9473" max="9473" width="4.6640625" style="267" customWidth="1"/>
    <col min="9474" max="9474" width="42.6640625" style="267" customWidth="1"/>
    <col min="9475" max="9475" width="35" style="267" customWidth="1"/>
    <col min="9476" max="9476" width="13.5546875" style="267" customWidth="1"/>
    <col min="9477" max="9477" width="4.109375" style="267" customWidth="1"/>
    <col min="9478" max="9478" width="3.6640625" style="267" customWidth="1"/>
    <col min="9479" max="9479" width="11.33203125" style="267" customWidth="1"/>
    <col min="9480" max="9480" width="3.44140625" style="267" customWidth="1"/>
    <col min="9481" max="9481" width="13" style="267" customWidth="1"/>
    <col min="9482" max="9482" width="1.77734375" style="267" customWidth="1"/>
    <col min="9483" max="9483" width="7" style="267" customWidth="1"/>
    <col min="9484" max="9484" width="13.44140625" style="267" customWidth="1"/>
    <col min="9485" max="9485" width="13.109375" style="267" customWidth="1"/>
    <col min="9486" max="9486" width="15" style="267" customWidth="1"/>
    <col min="9487" max="9487" width="42.109375" style="267" customWidth="1"/>
    <col min="9488" max="9488" width="12" style="267" customWidth="1"/>
    <col min="9489" max="9489" width="13.44140625" style="267" bestFit="1" customWidth="1"/>
    <col min="9490" max="9490" width="12.6640625" style="267" customWidth="1"/>
    <col min="9491" max="9491" width="9.109375" style="267" bestFit="1" customWidth="1"/>
    <col min="9492" max="9492" width="5.21875" style="267" customWidth="1"/>
    <col min="9493" max="9728" width="8.88671875" style="267"/>
    <col min="9729" max="9729" width="4.6640625" style="267" customWidth="1"/>
    <col min="9730" max="9730" width="42.6640625" style="267" customWidth="1"/>
    <col min="9731" max="9731" width="35" style="267" customWidth="1"/>
    <col min="9732" max="9732" width="13.5546875" style="267" customWidth="1"/>
    <col min="9733" max="9733" width="4.109375" style="267" customWidth="1"/>
    <col min="9734" max="9734" width="3.6640625" style="267" customWidth="1"/>
    <col min="9735" max="9735" width="11.33203125" style="267" customWidth="1"/>
    <col min="9736" max="9736" width="3.44140625" style="267" customWidth="1"/>
    <col min="9737" max="9737" width="13" style="267" customWidth="1"/>
    <col min="9738" max="9738" width="1.77734375" style="267" customWidth="1"/>
    <col min="9739" max="9739" width="7" style="267" customWidth="1"/>
    <col min="9740" max="9740" width="13.44140625" style="267" customWidth="1"/>
    <col min="9741" max="9741" width="13.109375" style="267" customWidth="1"/>
    <col min="9742" max="9742" width="15" style="267" customWidth="1"/>
    <col min="9743" max="9743" width="42.109375" style="267" customWidth="1"/>
    <col min="9744" max="9744" width="12" style="267" customWidth="1"/>
    <col min="9745" max="9745" width="13.44140625" style="267" bestFit="1" customWidth="1"/>
    <col min="9746" max="9746" width="12.6640625" style="267" customWidth="1"/>
    <col min="9747" max="9747" width="9.109375" style="267" bestFit="1" customWidth="1"/>
    <col min="9748" max="9748" width="5.21875" style="267" customWidth="1"/>
    <col min="9749" max="9984" width="8.88671875" style="267"/>
    <col min="9985" max="9985" width="4.6640625" style="267" customWidth="1"/>
    <col min="9986" max="9986" width="42.6640625" style="267" customWidth="1"/>
    <col min="9987" max="9987" width="35" style="267" customWidth="1"/>
    <col min="9988" max="9988" width="13.5546875" style="267" customWidth="1"/>
    <col min="9989" max="9989" width="4.109375" style="267" customWidth="1"/>
    <col min="9990" max="9990" width="3.6640625" style="267" customWidth="1"/>
    <col min="9991" max="9991" width="11.33203125" style="267" customWidth="1"/>
    <col min="9992" max="9992" width="3.44140625" style="267" customWidth="1"/>
    <col min="9993" max="9993" width="13" style="267" customWidth="1"/>
    <col min="9994" max="9994" width="1.77734375" style="267" customWidth="1"/>
    <col min="9995" max="9995" width="7" style="267" customWidth="1"/>
    <col min="9996" max="9996" width="13.44140625" style="267" customWidth="1"/>
    <col min="9997" max="9997" width="13.109375" style="267" customWidth="1"/>
    <col min="9998" max="9998" width="15" style="267" customWidth="1"/>
    <col min="9999" max="9999" width="42.109375" style="267" customWidth="1"/>
    <col min="10000" max="10000" width="12" style="267" customWidth="1"/>
    <col min="10001" max="10001" width="13.44140625" style="267" bestFit="1" customWidth="1"/>
    <col min="10002" max="10002" width="12.6640625" style="267" customWidth="1"/>
    <col min="10003" max="10003" width="9.109375" style="267" bestFit="1" customWidth="1"/>
    <col min="10004" max="10004" width="5.21875" style="267" customWidth="1"/>
    <col min="10005" max="10240" width="8.88671875" style="267"/>
    <col min="10241" max="10241" width="4.6640625" style="267" customWidth="1"/>
    <col min="10242" max="10242" width="42.6640625" style="267" customWidth="1"/>
    <col min="10243" max="10243" width="35" style="267" customWidth="1"/>
    <col min="10244" max="10244" width="13.5546875" style="267" customWidth="1"/>
    <col min="10245" max="10245" width="4.109375" style="267" customWidth="1"/>
    <col min="10246" max="10246" width="3.6640625" style="267" customWidth="1"/>
    <col min="10247" max="10247" width="11.33203125" style="267" customWidth="1"/>
    <col min="10248" max="10248" width="3.44140625" style="267" customWidth="1"/>
    <col min="10249" max="10249" width="13" style="267" customWidth="1"/>
    <col min="10250" max="10250" width="1.77734375" style="267" customWidth="1"/>
    <col min="10251" max="10251" width="7" style="267" customWidth="1"/>
    <col min="10252" max="10252" width="13.44140625" style="267" customWidth="1"/>
    <col min="10253" max="10253" width="13.109375" style="267" customWidth="1"/>
    <col min="10254" max="10254" width="15" style="267" customWidth="1"/>
    <col min="10255" max="10255" width="42.109375" style="267" customWidth="1"/>
    <col min="10256" max="10256" width="12" style="267" customWidth="1"/>
    <col min="10257" max="10257" width="13.44140625" style="267" bestFit="1" customWidth="1"/>
    <col min="10258" max="10258" width="12.6640625" style="267" customWidth="1"/>
    <col min="10259" max="10259" width="9.109375" style="267" bestFit="1" customWidth="1"/>
    <col min="10260" max="10260" width="5.21875" style="267" customWidth="1"/>
    <col min="10261" max="10496" width="8.88671875" style="267"/>
    <col min="10497" max="10497" width="4.6640625" style="267" customWidth="1"/>
    <col min="10498" max="10498" width="42.6640625" style="267" customWidth="1"/>
    <col min="10499" max="10499" width="35" style="267" customWidth="1"/>
    <col min="10500" max="10500" width="13.5546875" style="267" customWidth="1"/>
    <col min="10501" max="10501" width="4.109375" style="267" customWidth="1"/>
    <col min="10502" max="10502" width="3.6640625" style="267" customWidth="1"/>
    <col min="10503" max="10503" width="11.33203125" style="267" customWidth="1"/>
    <col min="10504" max="10504" width="3.44140625" style="267" customWidth="1"/>
    <col min="10505" max="10505" width="13" style="267" customWidth="1"/>
    <col min="10506" max="10506" width="1.77734375" style="267" customWidth="1"/>
    <col min="10507" max="10507" width="7" style="267" customWidth="1"/>
    <col min="10508" max="10508" width="13.44140625" style="267" customWidth="1"/>
    <col min="10509" max="10509" width="13.109375" style="267" customWidth="1"/>
    <col min="10510" max="10510" width="15" style="267" customWidth="1"/>
    <col min="10511" max="10511" width="42.109375" style="267" customWidth="1"/>
    <col min="10512" max="10512" width="12" style="267" customWidth="1"/>
    <col min="10513" max="10513" width="13.44140625" style="267" bestFit="1" customWidth="1"/>
    <col min="10514" max="10514" width="12.6640625" style="267" customWidth="1"/>
    <col min="10515" max="10515" width="9.109375" style="267" bestFit="1" customWidth="1"/>
    <col min="10516" max="10516" width="5.21875" style="267" customWidth="1"/>
    <col min="10517" max="10752" width="8.88671875" style="267"/>
    <col min="10753" max="10753" width="4.6640625" style="267" customWidth="1"/>
    <col min="10754" max="10754" width="42.6640625" style="267" customWidth="1"/>
    <col min="10755" max="10755" width="35" style="267" customWidth="1"/>
    <col min="10756" max="10756" width="13.5546875" style="267" customWidth="1"/>
    <col min="10757" max="10757" width="4.109375" style="267" customWidth="1"/>
    <col min="10758" max="10758" width="3.6640625" style="267" customWidth="1"/>
    <col min="10759" max="10759" width="11.33203125" style="267" customWidth="1"/>
    <col min="10760" max="10760" width="3.44140625" style="267" customWidth="1"/>
    <col min="10761" max="10761" width="13" style="267" customWidth="1"/>
    <col min="10762" max="10762" width="1.77734375" style="267" customWidth="1"/>
    <col min="10763" max="10763" width="7" style="267" customWidth="1"/>
    <col min="10764" max="10764" width="13.44140625" style="267" customWidth="1"/>
    <col min="10765" max="10765" width="13.109375" style="267" customWidth="1"/>
    <col min="10766" max="10766" width="15" style="267" customWidth="1"/>
    <col min="10767" max="10767" width="42.109375" style="267" customWidth="1"/>
    <col min="10768" max="10768" width="12" style="267" customWidth="1"/>
    <col min="10769" max="10769" width="13.44140625" style="267" bestFit="1" customWidth="1"/>
    <col min="10770" max="10770" width="12.6640625" style="267" customWidth="1"/>
    <col min="10771" max="10771" width="9.109375" style="267" bestFit="1" customWidth="1"/>
    <col min="10772" max="10772" width="5.21875" style="267" customWidth="1"/>
    <col min="10773" max="11008" width="8.88671875" style="267"/>
    <col min="11009" max="11009" width="4.6640625" style="267" customWidth="1"/>
    <col min="11010" max="11010" width="42.6640625" style="267" customWidth="1"/>
    <col min="11011" max="11011" width="35" style="267" customWidth="1"/>
    <col min="11012" max="11012" width="13.5546875" style="267" customWidth="1"/>
    <col min="11013" max="11013" width="4.109375" style="267" customWidth="1"/>
    <col min="11014" max="11014" width="3.6640625" style="267" customWidth="1"/>
    <col min="11015" max="11015" width="11.33203125" style="267" customWidth="1"/>
    <col min="11016" max="11016" width="3.44140625" style="267" customWidth="1"/>
    <col min="11017" max="11017" width="13" style="267" customWidth="1"/>
    <col min="11018" max="11018" width="1.77734375" style="267" customWidth="1"/>
    <col min="11019" max="11019" width="7" style="267" customWidth="1"/>
    <col min="11020" max="11020" width="13.44140625" style="267" customWidth="1"/>
    <col min="11021" max="11021" width="13.109375" style="267" customWidth="1"/>
    <col min="11022" max="11022" width="15" style="267" customWidth="1"/>
    <col min="11023" max="11023" width="42.109375" style="267" customWidth="1"/>
    <col min="11024" max="11024" width="12" style="267" customWidth="1"/>
    <col min="11025" max="11025" width="13.44140625" style="267" bestFit="1" customWidth="1"/>
    <col min="11026" max="11026" width="12.6640625" style="267" customWidth="1"/>
    <col min="11027" max="11027" width="9.109375" style="267" bestFit="1" customWidth="1"/>
    <col min="11028" max="11028" width="5.21875" style="267" customWidth="1"/>
    <col min="11029" max="11264" width="8.88671875" style="267"/>
    <col min="11265" max="11265" width="4.6640625" style="267" customWidth="1"/>
    <col min="11266" max="11266" width="42.6640625" style="267" customWidth="1"/>
    <col min="11267" max="11267" width="35" style="267" customWidth="1"/>
    <col min="11268" max="11268" width="13.5546875" style="267" customWidth="1"/>
    <col min="11269" max="11269" width="4.109375" style="267" customWidth="1"/>
    <col min="11270" max="11270" width="3.6640625" style="267" customWidth="1"/>
    <col min="11271" max="11271" width="11.33203125" style="267" customWidth="1"/>
    <col min="11272" max="11272" width="3.44140625" style="267" customWidth="1"/>
    <col min="11273" max="11273" width="13" style="267" customWidth="1"/>
    <col min="11274" max="11274" width="1.77734375" style="267" customWidth="1"/>
    <col min="11275" max="11275" width="7" style="267" customWidth="1"/>
    <col min="11276" max="11276" width="13.44140625" style="267" customWidth="1"/>
    <col min="11277" max="11277" width="13.109375" style="267" customWidth="1"/>
    <col min="11278" max="11278" width="15" style="267" customWidth="1"/>
    <col min="11279" max="11279" width="42.109375" style="267" customWidth="1"/>
    <col min="11280" max="11280" width="12" style="267" customWidth="1"/>
    <col min="11281" max="11281" width="13.44140625" style="267" bestFit="1" customWidth="1"/>
    <col min="11282" max="11282" width="12.6640625" style="267" customWidth="1"/>
    <col min="11283" max="11283" width="9.109375" style="267" bestFit="1" customWidth="1"/>
    <col min="11284" max="11284" width="5.21875" style="267" customWidth="1"/>
    <col min="11285" max="11520" width="8.88671875" style="267"/>
    <col min="11521" max="11521" width="4.6640625" style="267" customWidth="1"/>
    <col min="11522" max="11522" width="42.6640625" style="267" customWidth="1"/>
    <col min="11523" max="11523" width="35" style="267" customWidth="1"/>
    <col min="11524" max="11524" width="13.5546875" style="267" customWidth="1"/>
    <col min="11525" max="11525" width="4.109375" style="267" customWidth="1"/>
    <col min="11526" max="11526" width="3.6640625" style="267" customWidth="1"/>
    <col min="11527" max="11527" width="11.33203125" style="267" customWidth="1"/>
    <col min="11528" max="11528" width="3.44140625" style="267" customWidth="1"/>
    <col min="11529" max="11529" width="13" style="267" customWidth="1"/>
    <col min="11530" max="11530" width="1.77734375" style="267" customWidth="1"/>
    <col min="11531" max="11531" width="7" style="267" customWidth="1"/>
    <col min="11532" max="11532" width="13.44140625" style="267" customWidth="1"/>
    <col min="11533" max="11533" width="13.109375" style="267" customWidth="1"/>
    <col min="11534" max="11534" width="15" style="267" customWidth="1"/>
    <col min="11535" max="11535" width="42.109375" style="267" customWidth="1"/>
    <col min="11536" max="11536" width="12" style="267" customWidth="1"/>
    <col min="11537" max="11537" width="13.44140625" style="267" bestFit="1" customWidth="1"/>
    <col min="11538" max="11538" width="12.6640625" style="267" customWidth="1"/>
    <col min="11539" max="11539" width="9.109375" style="267" bestFit="1" customWidth="1"/>
    <col min="11540" max="11540" width="5.21875" style="267" customWidth="1"/>
    <col min="11541" max="11776" width="8.88671875" style="267"/>
    <col min="11777" max="11777" width="4.6640625" style="267" customWidth="1"/>
    <col min="11778" max="11778" width="42.6640625" style="267" customWidth="1"/>
    <col min="11779" max="11779" width="35" style="267" customWidth="1"/>
    <col min="11780" max="11780" width="13.5546875" style="267" customWidth="1"/>
    <col min="11781" max="11781" width="4.109375" style="267" customWidth="1"/>
    <col min="11782" max="11782" width="3.6640625" style="267" customWidth="1"/>
    <col min="11783" max="11783" width="11.33203125" style="267" customWidth="1"/>
    <col min="11784" max="11784" width="3.44140625" style="267" customWidth="1"/>
    <col min="11785" max="11785" width="13" style="267" customWidth="1"/>
    <col min="11786" max="11786" width="1.77734375" style="267" customWidth="1"/>
    <col min="11787" max="11787" width="7" style="267" customWidth="1"/>
    <col min="11788" max="11788" width="13.44140625" style="267" customWidth="1"/>
    <col min="11789" max="11789" width="13.109375" style="267" customWidth="1"/>
    <col min="11790" max="11790" width="15" style="267" customWidth="1"/>
    <col min="11791" max="11791" width="42.109375" style="267" customWidth="1"/>
    <col min="11792" max="11792" width="12" style="267" customWidth="1"/>
    <col min="11793" max="11793" width="13.44140625" style="267" bestFit="1" customWidth="1"/>
    <col min="11794" max="11794" width="12.6640625" style="267" customWidth="1"/>
    <col min="11795" max="11795" width="9.109375" style="267" bestFit="1" customWidth="1"/>
    <col min="11796" max="11796" width="5.21875" style="267" customWidth="1"/>
    <col min="11797" max="12032" width="8.88671875" style="267"/>
    <col min="12033" max="12033" width="4.6640625" style="267" customWidth="1"/>
    <col min="12034" max="12034" width="42.6640625" style="267" customWidth="1"/>
    <col min="12035" max="12035" width="35" style="267" customWidth="1"/>
    <col min="12036" max="12036" width="13.5546875" style="267" customWidth="1"/>
    <col min="12037" max="12037" width="4.109375" style="267" customWidth="1"/>
    <col min="12038" max="12038" width="3.6640625" style="267" customWidth="1"/>
    <col min="12039" max="12039" width="11.33203125" style="267" customWidth="1"/>
    <col min="12040" max="12040" width="3.44140625" style="267" customWidth="1"/>
    <col min="12041" max="12041" width="13" style="267" customWidth="1"/>
    <col min="12042" max="12042" width="1.77734375" style="267" customWidth="1"/>
    <col min="12043" max="12043" width="7" style="267" customWidth="1"/>
    <col min="12044" max="12044" width="13.44140625" style="267" customWidth="1"/>
    <col min="12045" max="12045" width="13.109375" style="267" customWidth="1"/>
    <col min="12046" max="12046" width="15" style="267" customWidth="1"/>
    <col min="12047" max="12047" width="42.109375" style="267" customWidth="1"/>
    <col min="12048" max="12048" width="12" style="267" customWidth="1"/>
    <col min="12049" max="12049" width="13.44140625" style="267" bestFit="1" customWidth="1"/>
    <col min="12050" max="12050" width="12.6640625" style="267" customWidth="1"/>
    <col min="12051" max="12051" width="9.109375" style="267" bestFit="1" customWidth="1"/>
    <col min="12052" max="12052" width="5.21875" style="267" customWidth="1"/>
    <col min="12053" max="12288" width="8.88671875" style="267"/>
    <col min="12289" max="12289" width="4.6640625" style="267" customWidth="1"/>
    <col min="12290" max="12290" width="42.6640625" style="267" customWidth="1"/>
    <col min="12291" max="12291" width="35" style="267" customWidth="1"/>
    <col min="12292" max="12292" width="13.5546875" style="267" customWidth="1"/>
    <col min="12293" max="12293" width="4.109375" style="267" customWidth="1"/>
    <col min="12294" max="12294" width="3.6640625" style="267" customWidth="1"/>
    <col min="12295" max="12295" width="11.33203125" style="267" customWidth="1"/>
    <col min="12296" max="12296" width="3.44140625" style="267" customWidth="1"/>
    <col min="12297" max="12297" width="13" style="267" customWidth="1"/>
    <col min="12298" max="12298" width="1.77734375" style="267" customWidth="1"/>
    <col min="12299" max="12299" width="7" style="267" customWidth="1"/>
    <col min="12300" max="12300" width="13.44140625" style="267" customWidth="1"/>
    <col min="12301" max="12301" width="13.109375" style="267" customWidth="1"/>
    <col min="12302" max="12302" width="15" style="267" customWidth="1"/>
    <col min="12303" max="12303" width="42.109375" style="267" customWidth="1"/>
    <col min="12304" max="12304" width="12" style="267" customWidth="1"/>
    <col min="12305" max="12305" width="13.44140625" style="267" bestFit="1" customWidth="1"/>
    <col min="12306" max="12306" width="12.6640625" style="267" customWidth="1"/>
    <col min="12307" max="12307" width="9.109375" style="267" bestFit="1" customWidth="1"/>
    <col min="12308" max="12308" width="5.21875" style="267" customWidth="1"/>
    <col min="12309" max="12544" width="8.88671875" style="267"/>
    <col min="12545" max="12545" width="4.6640625" style="267" customWidth="1"/>
    <col min="12546" max="12546" width="42.6640625" style="267" customWidth="1"/>
    <col min="12547" max="12547" width="35" style="267" customWidth="1"/>
    <col min="12548" max="12548" width="13.5546875" style="267" customWidth="1"/>
    <col min="12549" max="12549" width="4.109375" style="267" customWidth="1"/>
    <col min="12550" max="12550" width="3.6640625" style="267" customWidth="1"/>
    <col min="12551" max="12551" width="11.33203125" style="267" customWidth="1"/>
    <col min="12552" max="12552" width="3.44140625" style="267" customWidth="1"/>
    <col min="12553" max="12553" width="13" style="267" customWidth="1"/>
    <col min="12554" max="12554" width="1.77734375" style="267" customWidth="1"/>
    <col min="12555" max="12555" width="7" style="267" customWidth="1"/>
    <col min="12556" max="12556" width="13.44140625" style="267" customWidth="1"/>
    <col min="12557" max="12557" width="13.109375" style="267" customWidth="1"/>
    <col min="12558" max="12558" width="15" style="267" customWidth="1"/>
    <col min="12559" max="12559" width="42.109375" style="267" customWidth="1"/>
    <col min="12560" max="12560" width="12" style="267" customWidth="1"/>
    <col min="12561" max="12561" width="13.44140625" style="267" bestFit="1" customWidth="1"/>
    <col min="12562" max="12562" width="12.6640625" style="267" customWidth="1"/>
    <col min="12563" max="12563" width="9.109375" style="267" bestFit="1" customWidth="1"/>
    <col min="12564" max="12564" width="5.21875" style="267" customWidth="1"/>
    <col min="12565" max="12800" width="8.88671875" style="267"/>
    <col min="12801" max="12801" width="4.6640625" style="267" customWidth="1"/>
    <col min="12802" max="12802" width="42.6640625" style="267" customWidth="1"/>
    <col min="12803" max="12803" width="35" style="267" customWidth="1"/>
    <col min="12804" max="12804" width="13.5546875" style="267" customWidth="1"/>
    <col min="12805" max="12805" width="4.109375" style="267" customWidth="1"/>
    <col min="12806" max="12806" width="3.6640625" style="267" customWidth="1"/>
    <col min="12807" max="12807" width="11.33203125" style="267" customWidth="1"/>
    <col min="12808" max="12808" width="3.44140625" style="267" customWidth="1"/>
    <col min="12809" max="12809" width="13" style="267" customWidth="1"/>
    <col min="12810" max="12810" width="1.77734375" style="267" customWidth="1"/>
    <col min="12811" max="12811" width="7" style="267" customWidth="1"/>
    <col min="12812" max="12812" width="13.44140625" style="267" customWidth="1"/>
    <col min="12813" max="12813" width="13.109375" style="267" customWidth="1"/>
    <col min="12814" max="12814" width="15" style="267" customWidth="1"/>
    <col min="12815" max="12815" width="42.109375" style="267" customWidth="1"/>
    <col min="12816" max="12816" width="12" style="267" customWidth="1"/>
    <col min="12817" max="12817" width="13.44140625" style="267" bestFit="1" customWidth="1"/>
    <col min="12818" max="12818" width="12.6640625" style="267" customWidth="1"/>
    <col min="12819" max="12819" width="9.109375" style="267" bestFit="1" customWidth="1"/>
    <col min="12820" max="12820" width="5.21875" style="267" customWidth="1"/>
    <col min="12821" max="13056" width="8.88671875" style="267"/>
    <col min="13057" max="13057" width="4.6640625" style="267" customWidth="1"/>
    <col min="13058" max="13058" width="42.6640625" style="267" customWidth="1"/>
    <col min="13059" max="13059" width="35" style="267" customWidth="1"/>
    <col min="13060" max="13060" width="13.5546875" style="267" customWidth="1"/>
    <col min="13061" max="13061" width="4.109375" style="267" customWidth="1"/>
    <col min="13062" max="13062" width="3.6640625" style="267" customWidth="1"/>
    <col min="13063" max="13063" width="11.33203125" style="267" customWidth="1"/>
    <col min="13064" max="13064" width="3.44140625" style="267" customWidth="1"/>
    <col min="13065" max="13065" width="13" style="267" customWidth="1"/>
    <col min="13066" max="13066" width="1.77734375" style="267" customWidth="1"/>
    <col min="13067" max="13067" width="7" style="267" customWidth="1"/>
    <col min="13068" max="13068" width="13.44140625" style="267" customWidth="1"/>
    <col min="13069" max="13069" width="13.109375" style="267" customWidth="1"/>
    <col min="13070" max="13070" width="15" style="267" customWidth="1"/>
    <col min="13071" max="13071" width="42.109375" style="267" customWidth="1"/>
    <col min="13072" max="13072" width="12" style="267" customWidth="1"/>
    <col min="13073" max="13073" width="13.44140625" style="267" bestFit="1" customWidth="1"/>
    <col min="13074" max="13074" width="12.6640625" style="267" customWidth="1"/>
    <col min="13075" max="13075" width="9.109375" style="267" bestFit="1" customWidth="1"/>
    <col min="13076" max="13076" width="5.21875" style="267" customWidth="1"/>
    <col min="13077" max="13312" width="8.88671875" style="267"/>
    <col min="13313" max="13313" width="4.6640625" style="267" customWidth="1"/>
    <col min="13314" max="13314" width="42.6640625" style="267" customWidth="1"/>
    <col min="13315" max="13315" width="35" style="267" customWidth="1"/>
    <col min="13316" max="13316" width="13.5546875" style="267" customWidth="1"/>
    <col min="13317" max="13317" width="4.109375" style="267" customWidth="1"/>
    <col min="13318" max="13318" width="3.6640625" style="267" customWidth="1"/>
    <col min="13319" max="13319" width="11.33203125" style="267" customWidth="1"/>
    <col min="13320" max="13320" width="3.44140625" style="267" customWidth="1"/>
    <col min="13321" max="13321" width="13" style="267" customWidth="1"/>
    <col min="13322" max="13322" width="1.77734375" style="267" customWidth="1"/>
    <col min="13323" max="13323" width="7" style="267" customWidth="1"/>
    <col min="13324" max="13324" width="13.44140625" style="267" customWidth="1"/>
    <col min="13325" max="13325" width="13.109375" style="267" customWidth="1"/>
    <col min="13326" max="13326" width="15" style="267" customWidth="1"/>
    <col min="13327" max="13327" width="42.109375" style="267" customWidth="1"/>
    <col min="13328" max="13328" width="12" style="267" customWidth="1"/>
    <col min="13329" max="13329" width="13.44140625" style="267" bestFit="1" customWidth="1"/>
    <col min="13330" max="13330" width="12.6640625" style="267" customWidth="1"/>
    <col min="13331" max="13331" width="9.109375" style="267" bestFit="1" customWidth="1"/>
    <col min="13332" max="13332" width="5.21875" style="267" customWidth="1"/>
    <col min="13333" max="13568" width="8.88671875" style="267"/>
    <col min="13569" max="13569" width="4.6640625" style="267" customWidth="1"/>
    <col min="13570" max="13570" width="42.6640625" style="267" customWidth="1"/>
    <col min="13571" max="13571" width="35" style="267" customWidth="1"/>
    <col min="13572" max="13572" width="13.5546875" style="267" customWidth="1"/>
    <col min="13573" max="13573" width="4.109375" style="267" customWidth="1"/>
    <col min="13574" max="13574" width="3.6640625" style="267" customWidth="1"/>
    <col min="13575" max="13575" width="11.33203125" style="267" customWidth="1"/>
    <col min="13576" max="13576" width="3.44140625" style="267" customWidth="1"/>
    <col min="13577" max="13577" width="13" style="267" customWidth="1"/>
    <col min="13578" max="13578" width="1.77734375" style="267" customWidth="1"/>
    <col min="13579" max="13579" width="7" style="267" customWidth="1"/>
    <col min="13580" max="13580" width="13.44140625" style="267" customWidth="1"/>
    <col min="13581" max="13581" width="13.109375" style="267" customWidth="1"/>
    <col min="13582" max="13582" width="15" style="267" customWidth="1"/>
    <col min="13583" max="13583" width="42.109375" style="267" customWidth="1"/>
    <col min="13584" max="13584" width="12" style="267" customWidth="1"/>
    <col min="13585" max="13585" width="13.44140625" style="267" bestFit="1" customWidth="1"/>
    <col min="13586" max="13586" width="12.6640625" style="267" customWidth="1"/>
    <col min="13587" max="13587" width="9.109375" style="267" bestFit="1" customWidth="1"/>
    <col min="13588" max="13588" width="5.21875" style="267" customWidth="1"/>
    <col min="13589" max="13824" width="8.88671875" style="267"/>
    <col min="13825" max="13825" width="4.6640625" style="267" customWidth="1"/>
    <col min="13826" max="13826" width="42.6640625" style="267" customWidth="1"/>
    <col min="13827" max="13827" width="35" style="267" customWidth="1"/>
    <col min="13828" max="13828" width="13.5546875" style="267" customWidth="1"/>
    <col min="13829" max="13829" width="4.109375" style="267" customWidth="1"/>
    <col min="13830" max="13830" width="3.6640625" style="267" customWidth="1"/>
    <col min="13831" max="13831" width="11.33203125" style="267" customWidth="1"/>
    <col min="13832" max="13832" width="3.44140625" style="267" customWidth="1"/>
    <col min="13833" max="13833" width="13" style="267" customWidth="1"/>
    <col min="13834" max="13834" width="1.77734375" style="267" customWidth="1"/>
    <col min="13835" max="13835" width="7" style="267" customWidth="1"/>
    <col min="13836" max="13836" width="13.44140625" style="267" customWidth="1"/>
    <col min="13837" max="13837" width="13.109375" style="267" customWidth="1"/>
    <col min="13838" max="13838" width="15" style="267" customWidth="1"/>
    <col min="13839" max="13839" width="42.109375" style="267" customWidth="1"/>
    <col min="13840" max="13840" width="12" style="267" customWidth="1"/>
    <col min="13841" max="13841" width="13.44140625" style="267" bestFit="1" customWidth="1"/>
    <col min="13842" max="13842" width="12.6640625" style="267" customWidth="1"/>
    <col min="13843" max="13843" width="9.109375" style="267" bestFit="1" customWidth="1"/>
    <col min="13844" max="13844" width="5.21875" style="267" customWidth="1"/>
    <col min="13845" max="14080" width="8.88671875" style="267"/>
    <col min="14081" max="14081" width="4.6640625" style="267" customWidth="1"/>
    <col min="14082" max="14082" width="42.6640625" style="267" customWidth="1"/>
    <col min="14083" max="14083" width="35" style="267" customWidth="1"/>
    <col min="14084" max="14084" width="13.5546875" style="267" customWidth="1"/>
    <col min="14085" max="14085" width="4.109375" style="267" customWidth="1"/>
    <col min="14086" max="14086" width="3.6640625" style="267" customWidth="1"/>
    <col min="14087" max="14087" width="11.33203125" style="267" customWidth="1"/>
    <col min="14088" max="14088" width="3.44140625" style="267" customWidth="1"/>
    <col min="14089" max="14089" width="13" style="267" customWidth="1"/>
    <col min="14090" max="14090" width="1.77734375" style="267" customWidth="1"/>
    <col min="14091" max="14091" width="7" style="267" customWidth="1"/>
    <col min="14092" max="14092" width="13.44140625" style="267" customWidth="1"/>
    <col min="14093" max="14093" width="13.109375" style="267" customWidth="1"/>
    <col min="14094" max="14094" width="15" style="267" customWidth="1"/>
    <col min="14095" max="14095" width="42.109375" style="267" customWidth="1"/>
    <col min="14096" max="14096" width="12" style="267" customWidth="1"/>
    <col min="14097" max="14097" width="13.44140625" style="267" bestFit="1" customWidth="1"/>
    <col min="14098" max="14098" width="12.6640625" style="267" customWidth="1"/>
    <col min="14099" max="14099" width="9.109375" style="267" bestFit="1" customWidth="1"/>
    <col min="14100" max="14100" width="5.21875" style="267" customWidth="1"/>
    <col min="14101" max="14336" width="8.88671875" style="267"/>
    <col min="14337" max="14337" width="4.6640625" style="267" customWidth="1"/>
    <col min="14338" max="14338" width="42.6640625" style="267" customWidth="1"/>
    <col min="14339" max="14339" width="35" style="267" customWidth="1"/>
    <col min="14340" max="14340" width="13.5546875" style="267" customWidth="1"/>
    <col min="14341" max="14341" width="4.109375" style="267" customWidth="1"/>
    <col min="14342" max="14342" width="3.6640625" style="267" customWidth="1"/>
    <col min="14343" max="14343" width="11.33203125" style="267" customWidth="1"/>
    <col min="14344" max="14344" width="3.44140625" style="267" customWidth="1"/>
    <col min="14345" max="14345" width="13" style="267" customWidth="1"/>
    <col min="14346" max="14346" width="1.77734375" style="267" customWidth="1"/>
    <col min="14347" max="14347" width="7" style="267" customWidth="1"/>
    <col min="14348" max="14348" width="13.44140625" style="267" customWidth="1"/>
    <col min="14349" max="14349" width="13.109375" style="267" customWidth="1"/>
    <col min="14350" max="14350" width="15" style="267" customWidth="1"/>
    <col min="14351" max="14351" width="42.109375" style="267" customWidth="1"/>
    <col min="14352" max="14352" width="12" style="267" customWidth="1"/>
    <col min="14353" max="14353" width="13.44140625" style="267" bestFit="1" customWidth="1"/>
    <col min="14354" max="14354" width="12.6640625" style="267" customWidth="1"/>
    <col min="14355" max="14355" width="9.109375" style="267" bestFit="1" customWidth="1"/>
    <col min="14356" max="14356" width="5.21875" style="267" customWidth="1"/>
    <col min="14357" max="14592" width="8.88671875" style="267"/>
    <col min="14593" max="14593" width="4.6640625" style="267" customWidth="1"/>
    <col min="14594" max="14594" width="42.6640625" style="267" customWidth="1"/>
    <col min="14595" max="14595" width="35" style="267" customWidth="1"/>
    <col min="14596" max="14596" width="13.5546875" style="267" customWidth="1"/>
    <col min="14597" max="14597" width="4.109375" style="267" customWidth="1"/>
    <col min="14598" max="14598" width="3.6640625" style="267" customWidth="1"/>
    <col min="14599" max="14599" width="11.33203125" style="267" customWidth="1"/>
    <col min="14600" max="14600" width="3.44140625" style="267" customWidth="1"/>
    <col min="14601" max="14601" width="13" style="267" customWidth="1"/>
    <col min="14602" max="14602" width="1.77734375" style="267" customWidth="1"/>
    <col min="14603" max="14603" width="7" style="267" customWidth="1"/>
    <col min="14604" max="14604" width="13.44140625" style="267" customWidth="1"/>
    <col min="14605" max="14605" width="13.109375" style="267" customWidth="1"/>
    <col min="14606" max="14606" width="15" style="267" customWidth="1"/>
    <col min="14607" max="14607" width="42.109375" style="267" customWidth="1"/>
    <col min="14608" max="14608" width="12" style="267" customWidth="1"/>
    <col min="14609" max="14609" width="13.44140625" style="267" bestFit="1" customWidth="1"/>
    <col min="14610" max="14610" width="12.6640625" style="267" customWidth="1"/>
    <col min="14611" max="14611" width="9.109375" style="267" bestFit="1" customWidth="1"/>
    <col min="14612" max="14612" width="5.21875" style="267" customWidth="1"/>
    <col min="14613" max="14848" width="8.88671875" style="267"/>
    <col min="14849" max="14849" width="4.6640625" style="267" customWidth="1"/>
    <col min="14850" max="14850" width="42.6640625" style="267" customWidth="1"/>
    <col min="14851" max="14851" width="35" style="267" customWidth="1"/>
    <col min="14852" max="14852" width="13.5546875" style="267" customWidth="1"/>
    <col min="14853" max="14853" width="4.109375" style="267" customWidth="1"/>
    <col min="14854" max="14854" width="3.6640625" style="267" customWidth="1"/>
    <col min="14855" max="14855" width="11.33203125" style="267" customWidth="1"/>
    <col min="14856" max="14856" width="3.44140625" style="267" customWidth="1"/>
    <col min="14857" max="14857" width="13" style="267" customWidth="1"/>
    <col min="14858" max="14858" width="1.77734375" style="267" customWidth="1"/>
    <col min="14859" max="14859" width="7" style="267" customWidth="1"/>
    <col min="14860" max="14860" width="13.44140625" style="267" customWidth="1"/>
    <col min="14861" max="14861" width="13.109375" style="267" customWidth="1"/>
    <col min="14862" max="14862" width="15" style="267" customWidth="1"/>
    <col min="14863" max="14863" width="42.109375" style="267" customWidth="1"/>
    <col min="14864" max="14864" width="12" style="267" customWidth="1"/>
    <col min="14865" max="14865" width="13.44140625" style="267" bestFit="1" customWidth="1"/>
    <col min="14866" max="14866" width="12.6640625" style="267" customWidth="1"/>
    <col min="14867" max="14867" width="9.109375" style="267" bestFit="1" customWidth="1"/>
    <col min="14868" max="14868" width="5.21875" style="267" customWidth="1"/>
    <col min="14869" max="15104" width="8.88671875" style="267"/>
    <col min="15105" max="15105" width="4.6640625" style="267" customWidth="1"/>
    <col min="15106" max="15106" width="42.6640625" style="267" customWidth="1"/>
    <col min="15107" max="15107" width="35" style="267" customWidth="1"/>
    <col min="15108" max="15108" width="13.5546875" style="267" customWidth="1"/>
    <col min="15109" max="15109" width="4.109375" style="267" customWidth="1"/>
    <col min="15110" max="15110" width="3.6640625" style="267" customWidth="1"/>
    <col min="15111" max="15111" width="11.33203125" style="267" customWidth="1"/>
    <col min="15112" max="15112" width="3.44140625" style="267" customWidth="1"/>
    <col min="15113" max="15113" width="13" style="267" customWidth="1"/>
    <col min="15114" max="15114" width="1.77734375" style="267" customWidth="1"/>
    <col min="15115" max="15115" width="7" style="267" customWidth="1"/>
    <col min="15116" max="15116" width="13.44140625" style="267" customWidth="1"/>
    <col min="15117" max="15117" width="13.109375" style="267" customWidth="1"/>
    <col min="15118" max="15118" width="15" style="267" customWidth="1"/>
    <col min="15119" max="15119" width="42.109375" style="267" customWidth="1"/>
    <col min="15120" max="15120" width="12" style="267" customWidth="1"/>
    <col min="15121" max="15121" width="13.44140625" style="267" bestFit="1" customWidth="1"/>
    <col min="15122" max="15122" width="12.6640625" style="267" customWidth="1"/>
    <col min="15123" max="15123" width="9.109375" style="267" bestFit="1" customWidth="1"/>
    <col min="15124" max="15124" width="5.21875" style="267" customWidth="1"/>
    <col min="15125" max="15360" width="8.88671875" style="267"/>
    <col min="15361" max="15361" width="4.6640625" style="267" customWidth="1"/>
    <col min="15362" max="15362" width="42.6640625" style="267" customWidth="1"/>
    <col min="15363" max="15363" width="35" style="267" customWidth="1"/>
    <col min="15364" max="15364" width="13.5546875" style="267" customWidth="1"/>
    <col min="15365" max="15365" width="4.109375" style="267" customWidth="1"/>
    <col min="15366" max="15366" width="3.6640625" style="267" customWidth="1"/>
    <col min="15367" max="15367" width="11.33203125" style="267" customWidth="1"/>
    <col min="15368" max="15368" width="3.44140625" style="267" customWidth="1"/>
    <col min="15369" max="15369" width="13" style="267" customWidth="1"/>
    <col min="15370" max="15370" width="1.77734375" style="267" customWidth="1"/>
    <col min="15371" max="15371" width="7" style="267" customWidth="1"/>
    <col min="15372" max="15372" width="13.44140625" style="267" customWidth="1"/>
    <col min="15373" max="15373" width="13.109375" style="267" customWidth="1"/>
    <col min="15374" max="15374" width="15" style="267" customWidth="1"/>
    <col min="15375" max="15375" width="42.109375" style="267" customWidth="1"/>
    <col min="15376" max="15376" width="12" style="267" customWidth="1"/>
    <col min="15377" max="15377" width="13.44140625" style="267" bestFit="1" customWidth="1"/>
    <col min="15378" max="15378" width="12.6640625" style="267" customWidth="1"/>
    <col min="15379" max="15379" width="9.109375" style="267" bestFit="1" customWidth="1"/>
    <col min="15380" max="15380" width="5.21875" style="267" customWidth="1"/>
    <col min="15381" max="15616" width="8.88671875" style="267"/>
    <col min="15617" max="15617" width="4.6640625" style="267" customWidth="1"/>
    <col min="15618" max="15618" width="42.6640625" style="267" customWidth="1"/>
    <col min="15619" max="15619" width="35" style="267" customWidth="1"/>
    <col min="15620" max="15620" width="13.5546875" style="267" customWidth="1"/>
    <col min="15621" max="15621" width="4.109375" style="267" customWidth="1"/>
    <col min="15622" max="15622" width="3.6640625" style="267" customWidth="1"/>
    <col min="15623" max="15623" width="11.33203125" style="267" customWidth="1"/>
    <col min="15624" max="15624" width="3.44140625" style="267" customWidth="1"/>
    <col min="15625" max="15625" width="13" style="267" customWidth="1"/>
    <col min="15626" max="15626" width="1.77734375" style="267" customWidth="1"/>
    <col min="15627" max="15627" width="7" style="267" customWidth="1"/>
    <col min="15628" max="15628" width="13.44140625" style="267" customWidth="1"/>
    <col min="15629" max="15629" width="13.109375" style="267" customWidth="1"/>
    <col min="15630" max="15630" width="15" style="267" customWidth="1"/>
    <col min="15631" max="15631" width="42.109375" style="267" customWidth="1"/>
    <col min="15632" max="15632" width="12" style="267" customWidth="1"/>
    <col min="15633" max="15633" width="13.44140625" style="267" bestFit="1" customWidth="1"/>
    <col min="15634" max="15634" width="12.6640625" style="267" customWidth="1"/>
    <col min="15635" max="15635" width="9.109375" style="267" bestFit="1" customWidth="1"/>
    <col min="15636" max="15636" width="5.21875" style="267" customWidth="1"/>
    <col min="15637" max="15872" width="8.88671875" style="267"/>
    <col min="15873" max="15873" width="4.6640625" style="267" customWidth="1"/>
    <col min="15874" max="15874" width="42.6640625" style="267" customWidth="1"/>
    <col min="15875" max="15875" width="35" style="267" customWidth="1"/>
    <col min="15876" max="15876" width="13.5546875" style="267" customWidth="1"/>
    <col min="15877" max="15877" width="4.109375" style="267" customWidth="1"/>
    <col min="15878" max="15878" width="3.6640625" style="267" customWidth="1"/>
    <col min="15879" max="15879" width="11.33203125" style="267" customWidth="1"/>
    <col min="15880" max="15880" width="3.44140625" style="267" customWidth="1"/>
    <col min="15881" max="15881" width="13" style="267" customWidth="1"/>
    <col min="15882" max="15882" width="1.77734375" style="267" customWidth="1"/>
    <col min="15883" max="15883" width="7" style="267" customWidth="1"/>
    <col min="15884" max="15884" width="13.44140625" style="267" customWidth="1"/>
    <col min="15885" max="15885" width="13.109375" style="267" customWidth="1"/>
    <col min="15886" max="15886" width="15" style="267" customWidth="1"/>
    <col min="15887" max="15887" width="42.109375" style="267" customWidth="1"/>
    <col min="15888" max="15888" width="12" style="267" customWidth="1"/>
    <col min="15889" max="15889" width="13.44140625" style="267" bestFit="1" customWidth="1"/>
    <col min="15890" max="15890" width="12.6640625" style="267" customWidth="1"/>
    <col min="15891" max="15891" width="9.109375" style="267" bestFit="1" customWidth="1"/>
    <col min="15892" max="15892" width="5.21875" style="267" customWidth="1"/>
    <col min="15893" max="16128" width="8.88671875" style="267"/>
    <col min="16129" max="16129" width="4.6640625" style="267" customWidth="1"/>
    <col min="16130" max="16130" width="42.6640625" style="267" customWidth="1"/>
    <col min="16131" max="16131" width="35" style="267" customWidth="1"/>
    <col min="16132" max="16132" width="13.5546875" style="267" customWidth="1"/>
    <col min="16133" max="16133" width="4.109375" style="267" customWidth="1"/>
    <col min="16134" max="16134" width="3.6640625" style="267" customWidth="1"/>
    <col min="16135" max="16135" width="11.33203125" style="267" customWidth="1"/>
    <col min="16136" max="16136" width="3.44140625" style="267" customWidth="1"/>
    <col min="16137" max="16137" width="13" style="267" customWidth="1"/>
    <col min="16138" max="16138" width="1.77734375" style="267" customWidth="1"/>
    <col min="16139" max="16139" width="7" style="267" customWidth="1"/>
    <col min="16140" max="16140" width="13.44140625" style="267" customWidth="1"/>
    <col min="16141" max="16141" width="13.109375" style="267" customWidth="1"/>
    <col min="16142" max="16142" width="15" style="267" customWidth="1"/>
    <col min="16143" max="16143" width="42.109375" style="267" customWidth="1"/>
    <col min="16144" max="16144" width="12" style="267" customWidth="1"/>
    <col min="16145" max="16145" width="13.44140625" style="267" bestFit="1" customWidth="1"/>
    <col min="16146" max="16146" width="12.6640625" style="267" customWidth="1"/>
    <col min="16147" max="16147" width="9.109375" style="267" bestFit="1" customWidth="1"/>
    <col min="16148" max="16148" width="5.21875" style="267" customWidth="1"/>
    <col min="16149" max="16384" width="8.88671875" style="267"/>
  </cols>
  <sheetData>
    <row r="1" spans="1:19">
      <c r="B1" s="268"/>
      <c r="C1" s="268"/>
      <c r="D1" s="269"/>
      <c r="E1" s="268"/>
      <c r="F1" s="268"/>
      <c r="G1" s="268"/>
      <c r="H1" s="268"/>
      <c r="I1" s="271"/>
      <c r="J1" s="271"/>
      <c r="K1" s="272" t="s">
        <v>388</v>
      </c>
    </row>
    <row r="2" spans="1:19">
      <c r="B2" s="268"/>
      <c r="C2" s="268"/>
      <c r="D2" s="269"/>
      <c r="E2" s="268"/>
      <c r="F2" s="268"/>
      <c r="G2" s="268"/>
      <c r="H2" s="268"/>
      <c r="I2" s="268"/>
      <c r="J2" s="268"/>
      <c r="K2" s="300"/>
    </row>
    <row r="3" spans="1:19">
      <c r="B3" s="268" t="s">
        <v>389</v>
      </c>
      <c r="C3" s="268"/>
      <c r="D3" s="269" t="s">
        <v>390</v>
      </c>
      <c r="E3" s="268"/>
      <c r="F3" s="268"/>
      <c r="G3" s="268"/>
      <c r="H3" s="268"/>
      <c r="K3" s="272" t="s">
        <v>788</v>
      </c>
      <c r="L3" s="274"/>
      <c r="M3" s="274"/>
    </row>
    <row r="4" spans="1:19">
      <c r="B4" s="268"/>
      <c r="C4" s="214" t="s">
        <v>124</v>
      </c>
      <c r="D4" s="214" t="s">
        <v>391</v>
      </c>
      <c r="E4" s="214"/>
      <c r="F4" s="214"/>
      <c r="G4" s="214"/>
      <c r="H4" s="268"/>
      <c r="I4" s="268"/>
      <c r="J4" s="268"/>
      <c r="K4" s="300"/>
      <c r="L4" s="274"/>
      <c r="M4" s="274"/>
    </row>
    <row r="5" spans="1:19">
      <c r="B5" s="283"/>
      <c r="C5" s="283"/>
      <c r="D5" s="283"/>
      <c r="E5" s="283"/>
      <c r="F5" s="283"/>
      <c r="G5" s="283"/>
      <c r="H5" s="283"/>
      <c r="I5" s="283"/>
      <c r="J5" s="283"/>
      <c r="K5" s="300"/>
    </row>
    <row r="6" spans="1:19">
      <c r="A6" s="879" t="s">
        <v>240</v>
      </c>
      <c r="B6" s="879"/>
      <c r="C6" s="879"/>
      <c r="D6" s="879"/>
      <c r="E6" s="879"/>
      <c r="F6" s="879"/>
      <c r="G6" s="879"/>
      <c r="H6" s="879"/>
      <c r="I6" s="879"/>
      <c r="J6" s="879"/>
      <c r="K6" s="879"/>
      <c r="N6" s="560"/>
    </row>
    <row r="7" spans="1:19">
      <c r="A7" s="277"/>
      <c r="B7" s="283"/>
      <c r="C7" s="283"/>
      <c r="D7" s="561"/>
      <c r="E7" s="283"/>
      <c r="F7" s="283"/>
      <c r="G7" s="283"/>
      <c r="H7" s="283"/>
      <c r="I7" s="283"/>
      <c r="J7" s="283"/>
      <c r="K7" s="300"/>
    </row>
    <row r="8" spans="1:19">
      <c r="A8" s="277" t="s">
        <v>165</v>
      </c>
      <c r="B8" s="283"/>
      <c r="C8" s="283"/>
      <c r="D8" s="561"/>
      <c r="E8" s="283"/>
      <c r="F8" s="283"/>
      <c r="G8" s="283"/>
      <c r="H8" s="283"/>
      <c r="I8" s="277" t="s">
        <v>392</v>
      </c>
      <c r="J8" s="277"/>
      <c r="K8" s="300"/>
    </row>
    <row r="9" spans="1:19" ht="16.5" thickBot="1">
      <c r="A9" s="279" t="s">
        <v>141</v>
      </c>
      <c r="B9" s="283"/>
      <c r="C9" s="283"/>
      <c r="D9" s="283"/>
      <c r="E9" s="283"/>
      <c r="F9" s="283"/>
      <c r="G9" s="283"/>
      <c r="H9" s="283"/>
      <c r="I9" s="279" t="s">
        <v>393</v>
      </c>
      <c r="J9" s="280"/>
      <c r="K9" s="300"/>
    </row>
    <row r="10" spans="1:19">
      <c r="A10" s="277">
        <v>1</v>
      </c>
      <c r="B10" s="283" t="s">
        <v>394</v>
      </c>
      <c r="C10" s="283"/>
      <c r="D10" s="214"/>
      <c r="E10" s="283"/>
      <c r="F10" s="283"/>
      <c r="G10" s="283"/>
      <c r="H10" s="283"/>
      <c r="I10" s="562">
        <f>+I211</f>
        <v>359014932.9844625</v>
      </c>
      <c r="J10" s="562"/>
      <c r="K10" s="300"/>
      <c r="L10" s="352"/>
    </row>
    <row r="11" spans="1:19">
      <c r="A11" s="277"/>
      <c r="B11" s="283"/>
      <c r="C11" s="283"/>
      <c r="D11" s="283"/>
      <c r="E11" s="283"/>
      <c r="F11" s="283"/>
      <c r="G11" s="283"/>
      <c r="H11" s="283"/>
      <c r="I11" s="214"/>
      <c r="J11" s="214"/>
      <c r="K11" s="300"/>
    </row>
    <row r="12" spans="1:19" ht="16.5" thickBot="1">
      <c r="A12" s="277" t="s">
        <v>124</v>
      </c>
      <c r="B12" s="283" t="s">
        <v>395</v>
      </c>
      <c r="C12" s="284" t="s">
        <v>396</v>
      </c>
      <c r="D12" s="279" t="s">
        <v>142</v>
      </c>
      <c r="E12" s="214"/>
      <c r="F12" s="285" t="s">
        <v>397</v>
      </c>
      <c r="G12" s="285"/>
      <c r="H12" s="283"/>
      <c r="I12" s="214"/>
      <c r="J12" s="214"/>
      <c r="K12" s="300"/>
    </row>
    <row r="13" spans="1:19">
      <c r="A13" s="277">
        <v>2</v>
      </c>
      <c r="B13" s="283" t="s">
        <v>398</v>
      </c>
      <c r="C13" s="214" t="s">
        <v>399</v>
      </c>
      <c r="D13" s="214">
        <f>I284</f>
        <v>170245</v>
      </c>
      <c r="E13" s="214"/>
      <c r="F13" s="214" t="s">
        <v>400</v>
      </c>
      <c r="G13" s="286">
        <f>I234</f>
        <v>0.97511224938508201</v>
      </c>
      <c r="H13" s="214"/>
      <c r="I13" s="214">
        <f>+G13*D13</f>
        <v>166007.98489656328</v>
      </c>
      <c r="J13" s="214"/>
      <c r="K13" s="300"/>
      <c r="N13" s="303"/>
      <c r="O13" s="303"/>
      <c r="P13" s="303"/>
      <c r="Q13" s="303"/>
      <c r="R13" s="303"/>
      <c r="S13" s="303"/>
    </row>
    <row r="14" spans="1:19">
      <c r="A14" s="277">
        <v>3</v>
      </c>
      <c r="B14" s="283" t="s">
        <v>401</v>
      </c>
      <c r="C14" s="214" t="s">
        <v>402</v>
      </c>
      <c r="D14" s="214">
        <f>I291</f>
        <v>27522033.112490997</v>
      </c>
      <c r="E14" s="214"/>
      <c r="F14" s="214" t="str">
        <f t="shared" ref="F14:G16" si="0">+F13</f>
        <v>TP</v>
      </c>
      <c r="G14" s="286">
        <f t="shared" si="0"/>
        <v>0.97511224938508201</v>
      </c>
      <c r="H14" s="214"/>
      <c r="I14" s="214">
        <f>+G14*D14</f>
        <v>26837071.615971807</v>
      </c>
      <c r="J14" s="214"/>
      <c r="K14" s="300"/>
      <c r="N14" s="303"/>
      <c r="O14" s="303"/>
      <c r="P14" s="303"/>
      <c r="Q14" s="303"/>
      <c r="R14" s="303"/>
      <c r="S14" s="303"/>
    </row>
    <row r="15" spans="1:19">
      <c r="A15" s="277">
        <v>4</v>
      </c>
      <c r="B15" s="295" t="s">
        <v>403</v>
      </c>
      <c r="C15" s="214"/>
      <c r="D15" s="288">
        <v>0</v>
      </c>
      <c r="E15" s="214"/>
      <c r="F15" s="214" t="str">
        <f t="shared" si="0"/>
        <v>TP</v>
      </c>
      <c r="G15" s="286">
        <f t="shared" si="0"/>
        <v>0.97511224938508201</v>
      </c>
      <c r="H15" s="214"/>
      <c r="I15" s="214">
        <f>+G15*D15</f>
        <v>0</v>
      </c>
      <c r="J15" s="214"/>
      <c r="K15" s="300"/>
      <c r="N15" s="303"/>
      <c r="O15" s="303"/>
      <c r="P15" s="303"/>
      <c r="Q15" s="303"/>
      <c r="R15" s="303"/>
      <c r="S15" s="303"/>
    </row>
    <row r="16" spans="1:19" ht="16.5" thickBot="1">
      <c r="A16" s="277">
        <v>5</v>
      </c>
      <c r="B16" s="295" t="s">
        <v>404</v>
      </c>
      <c r="C16" s="214"/>
      <c r="D16" s="288">
        <v>0</v>
      </c>
      <c r="E16" s="214"/>
      <c r="F16" s="214" t="str">
        <f t="shared" si="0"/>
        <v>TP</v>
      </c>
      <c r="G16" s="286">
        <f t="shared" si="0"/>
        <v>0.97511224938508201</v>
      </c>
      <c r="H16" s="214"/>
      <c r="I16" s="289">
        <f>+G16*D16</f>
        <v>0</v>
      </c>
      <c r="J16" s="290"/>
      <c r="K16" s="300"/>
      <c r="N16" s="303"/>
      <c r="O16" s="303"/>
      <c r="P16" s="600"/>
      <c r="Q16" s="600"/>
      <c r="R16" s="600"/>
      <c r="S16" s="303"/>
    </row>
    <row r="17" spans="1:19">
      <c r="A17" s="277">
        <v>6</v>
      </c>
      <c r="B17" s="283" t="s">
        <v>405</v>
      </c>
      <c r="C17" s="283"/>
      <c r="D17" s="291" t="s">
        <v>124</v>
      </c>
      <c r="E17" s="214"/>
      <c r="F17" s="214"/>
      <c r="G17" s="286"/>
      <c r="H17" s="214"/>
      <c r="I17" s="214">
        <f>SUM(I13:I16)</f>
        <v>27003079.60086837</v>
      </c>
      <c r="J17" s="214"/>
      <c r="K17" s="300"/>
      <c r="N17" s="303"/>
      <c r="O17" s="303"/>
      <c r="P17" s="600"/>
      <c r="Q17" s="600"/>
      <c r="R17" s="600"/>
      <c r="S17" s="303"/>
    </row>
    <row r="18" spans="1:19">
      <c r="A18" s="277"/>
      <c r="B18" s="283"/>
      <c r="C18" s="283"/>
      <c r="D18" s="291"/>
      <c r="E18" s="214"/>
      <c r="F18" s="214"/>
      <c r="G18" s="286"/>
      <c r="H18" s="214"/>
      <c r="I18" s="214"/>
      <c r="J18" s="284"/>
      <c r="K18" s="300"/>
      <c r="N18" s="303"/>
      <c r="O18" s="303"/>
      <c r="P18" s="600"/>
      <c r="Q18" s="600"/>
      <c r="R18" s="600"/>
      <c r="S18" s="303"/>
    </row>
    <row r="19" spans="1:19">
      <c r="A19" s="292" t="s">
        <v>408</v>
      </c>
      <c r="B19" s="274" t="s">
        <v>409</v>
      </c>
      <c r="C19" s="300"/>
      <c r="D19" s="284" t="s">
        <v>124</v>
      </c>
      <c r="E19" s="300"/>
      <c r="F19" s="300"/>
      <c r="G19" s="293"/>
      <c r="H19" s="300"/>
      <c r="I19" s="294">
        <v>315706117</v>
      </c>
      <c r="J19" s="295"/>
      <c r="K19" s="300"/>
      <c r="N19" s="303"/>
      <c r="O19" s="564"/>
      <c r="P19" s="600"/>
      <c r="Q19" s="564"/>
      <c r="R19" s="601"/>
      <c r="S19" s="303"/>
    </row>
    <row r="20" spans="1:19" ht="16.5" thickBot="1">
      <c r="A20" s="292" t="s">
        <v>411</v>
      </c>
      <c r="B20" s="274" t="s">
        <v>412</v>
      </c>
      <c r="C20" s="300" t="s">
        <v>413</v>
      </c>
      <c r="D20" s="284"/>
      <c r="E20" s="300"/>
      <c r="F20" s="300"/>
      <c r="G20" s="293"/>
      <c r="H20" s="300"/>
      <c r="I20" s="296">
        <v>327994111.33553702</v>
      </c>
      <c r="J20" s="295"/>
      <c r="K20" s="300"/>
      <c r="N20" s="303"/>
      <c r="O20" s="564"/>
      <c r="P20" s="600"/>
      <c r="Q20" s="564"/>
      <c r="R20" s="601"/>
      <c r="S20" s="303"/>
    </row>
    <row r="21" spans="1:19">
      <c r="A21" s="292" t="s">
        <v>415</v>
      </c>
      <c r="B21" s="274" t="s">
        <v>416</v>
      </c>
      <c r="C21" s="300" t="s">
        <v>417</v>
      </c>
      <c r="D21" s="284"/>
      <c r="E21" s="300"/>
      <c r="F21" s="300"/>
      <c r="G21" s="293"/>
      <c r="H21" s="300"/>
      <c r="I21" s="295">
        <f>I19-I20</f>
        <v>-12287994.335537016</v>
      </c>
      <c r="J21" s="295"/>
      <c r="K21" s="300"/>
      <c r="N21" s="303"/>
      <c r="O21" s="602"/>
      <c r="P21" s="600"/>
      <c r="Q21" s="602"/>
      <c r="R21" s="601"/>
      <c r="S21" s="303"/>
    </row>
    <row r="22" spans="1:19">
      <c r="A22" s="292" t="s">
        <v>418</v>
      </c>
      <c r="B22" s="274" t="s">
        <v>419</v>
      </c>
      <c r="C22" s="300" t="s">
        <v>420</v>
      </c>
      <c r="D22" s="284"/>
      <c r="E22" s="300"/>
      <c r="F22" s="300"/>
      <c r="G22" s="293"/>
      <c r="H22" s="300"/>
      <c r="I22" s="294">
        <v>3192372.5601600413</v>
      </c>
      <c r="J22" s="295"/>
      <c r="K22" s="300"/>
      <c r="N22" s="303"/>
      <c r="O22" s="303"/>
      <c r="P22" s="303"/>
      <c r="Q22" s="303"/>
      <c r="R22" s="303"/>
      <c r="S22" s="303"/>
    </row>
    <row r="23" spans="1:19" ht="16.5" thickBot="1">
      <c r="A23" s="292" t="s">
        <v>421</v>
      </c>
      <c r="B23" s="274" t="s">
        <v>422</v>
      </c>
      <c r="C23" s="300"/>
      <c r="D23" s="284"/>
      <c r="E23" s="300"/>
      <c r="F23" s="300"/>
      <c r="G23" s="293"/>
      <c r="H23" s="300"/>
      <c r="I23" s="296">
        <v>-608304.10282067326</v>
      </c>
      <c r="J23" s="295"/>
      <c r="K23" s="300"/>
      <c r="N23" s="303"/>
      <c r="O23" s="303"/>
      <c r="P23" s="303"/>
      <c r="Q23" s="303"/>
      <c r="R23" s="303"/>
      <c r="S23" s="303"/>
    </row>
    <row r="24" spans="1:19">
      <c r="A24" s="277"/>
      <c r="B24" s="283"/>
      <c r="C24" s="283"/>
      <c r="I24" s="214"/>
      <c r="J24" s="284"/>
      <c r="K24" s="300"/>
      <c r="N24" s="303"/>
      <c r="O24" s="303"/>
      <c r="P24" s="303"/>
      <c r="Q24" s="303"/>
      <c r="R24" s="303"/>
      <c r="S24" s="303"/>
    </row>
    <row r="25" spans="1:19" ht="16.5" thickBot="1">
      <c r="A25" s="277">
        <v>7</v>
      </c>
      <c r="B25" s="283" t="s">
        <v>248</v>
      </c>
      <c r="C25" s="300" t="s">
        <v>423</v>
      </c>
      <c r="D25" s="291"/>
      <c r="E25" s="214"/>
      <c r="F25" s="214"/>
      <c r="G25" s="214"/>
      <c r="H25" s="214"/>
      <c r="I25" s="297">
        <f>+I10-I17+I21+I22+I23</f>
        <v>322307927.50539649</v>
      </c>
      <c r="J25" s="298"/>
      <c r="K25" s="300"/>
      <c r="L25" s="352"/>
      <c r="N25" s="303"/>
      <c r="O25" s="303"/>
      <c r="P25" s="303"/>
      <c r="Q25" s="303"/>
      <c r="R25" s="303"/>
      <c r="S25" s="303"/>
    </row>
    <row r="26" spans="1:19" ht="16.5" thickTop="1">
      <c r="A26" s="277"/>
      <c r="C26" s="283"/>
      <c r="D26" s="291"/>
      <c r="E26" s="214"/>
      <c r="F26" s="214"/>
      <c r="G26" s="214"/>
      <c r="H26" s="214"/>
      <c r="J26" s="274"/>
      <c r="K26" s="300"/>
      <c r="O26" s="303"/>
      <c r="P26" s="303"/>
      <c r="Q26" s="892"/>
      <c r="R26" s="892"/>
      <c r="S26" s="892"/>
    </row>
    <row r="27" spans="1:19">
      <c r="A27" s="277"/>
      <c r="B27" s="283" t="s">
        <v>424</v>
      </c>
      <c r="C27" s="283"/>
      <c r="D27" s="214"/>
      <c r="E27" s="283"/>
      <c r="F27" s="283"/>
      <c r="G27" s="283"/>
      <c r="H27" s="283"/>
      <c r="I27" s="214"/>
      <c r="J27" s="284"/>
      <c r="K27" s="300"/>
      <c r="N27" s="303"/>
      <c r="O27" s="303"/>
      <c r="P27" s="303"/>
      <c r="Q27" s="303"/>
      <c r="R27" s="303"/>
      <c r="S27" s="303"/>
    </row>
    <row r="28" spans="1:19">
      <c r="A28" s="277">
        <v>8</v>
      </c>
      <c r="B28" s="300" t="s">
        <v>425</v>
      </c>
      <c r="C28" s="274"/>
      <c r="D28" s="214"/>
      <c r="E28" s="283"/>
      <c r="F28" s="283"/>
      <c r="G28" s="342" t="s">
        <v>426</v>
      </c>
      <c r="H28" s="283"/>
      <c r="I28" s="288">
        <v>6856833.333333333</v>
      </c>
      <c r="J28" s="284"/>
      <c r="K28" s="300"/>
      <c r="N28" s="303"/>
      <c r="O28" s="303"/>
      <c r="P28" s="603"/>
      <c r="Q28" s="303"/>
      <c r="R28" s="303"/>
      <c r="S28" s="603"/>
    </row>
    <row r="29" spans="1:19">
      <c r="A29" s="277">
        <v>9</v>
      </c>
      <c r="B29" s="283" t="s">
        <v>429</v>
      </c>
      <c r="C29" s="214"/>
      <c r="D29" s="214"/>
      <c r="E29" s="214"/>
      <c r="F29" s="214"/>
      <c r="G29" s="284" t="s">
        <v>430</v>
      </c>
      <c r="H29" s="214"/>
      <c r="I29" s="288">
        <v>0</v>
      </c>
      <c r="J29" s="284"/>
      <c r="K29" s="300"/>
      <c r="N29" s="303"/>
      <c r="O29" s="563"/>
      <c r="P29" s="604"/>
      <c r="Q29" s="303"/>
      <c r="R29" s="303"/>
      <c r="S29" s="603"/>
    </row>
    <row r="30" spans="1:19">
      <c r="A30" s="277">
        <v>10</v>
      </c>
      <c r="B30" s="295" t="s">
        <v>250</v>
      </c>
      <c r="C30" s="283"/>
      <c r="D30" s="283"/>
      <c r="E30" s="283"/>
      <c r="G30" s="342" t="s">
        <v>432</v>
      </c>
      <c r="H30" s="283"/>
      <c r="I30" s="288">
        <v>464083.33333333331</v>
      </c>
      <c r="J30" s="284"/>
      <c r="K30" s="300"/>
      <c r="N30" s="303"/>
      <c r="O30" s="605"/>
      <c r="P30" s="606"/>
      <c r="Q30" s="303"/>
      <c r="R30" s="303"/>
      <c r="S30" s="303"/>
    </row>
    <row r="31" spans="1:19">
      <c r="A31" s="277">
        <v>11</v>
      </c>
      <c r="B31" s="283" t="s">
        <v>434</v>
      </c>
      <c r="C31" s="283"/>
      <c r="D31" s="283"/>
      <c r="E31" s="283"/>
      <c r="G31" s="342" t="s">
        <v>435</v>
      </c>
      <c r="H31" s="283"/>
      <c r="I31" s="294">
        <v>0</v>
      </c>
      <c r="J31" s="295"/>
      <c r="K31" s="300"/>
      <c r="N31" s="607"/>
      <c r="O31" s="607"/>
      <c r="P31" s="608"/>
      <c r="Q31" s="607"/>
      <c r="R31" s="607"/>
      <c r="S31" s="303"/>
    </row>
    <row r="32" spans="1:19">
      <c r="A32" s="277">
        <v>12</v>
      </c>
      <c r="B32" s="295" t="s">
        <v>251</v>
      </c>
      <c r="C32" s="283"/>
      <c r="D32" s="283"/>
      <c r="E32" s="283"/>
      <c r="F32" s="283"/>
      <c r="G32" s="268"/>
      <c r="H32" s="283"/>
      <c r="I32" s="294">
        <v>0</v>
      </c>
      <c r="J32" s="295"/>
      <c r="K32" s="300"/>
      <c r="N32" s="605"/>
      <c r="O32" s="564"/>
      <c r="P32" s="608"/>
      <c r="Q32" s="605"/>
      <c r="R32" s="564"/>
      <c r="S32" s="303"/>
    </row>
    <row r="33" spans="1:19">
      <c r="A33" s="277">
        <v>13</v>
      </c>
      <c r="B33" s="295" t="s">
        <v>437</v>
      </c>
      <c r="C33" s="283"/>
      <c r="D33" s="283"/>
      <c r="E33" s="283"/>
      <c r="F33" s="283"/>
      <c r="G33" s="342"/>
      <c r="H33" s="283"/>
      <c r="I33" s="294">
        <v>0</v>
      </c>
      <c r="J33" s="295"/>
      <c r="K33" s="300"/>
      <c r="N33" s="605"/>
      <c r="O33" s="564"/>
      <c r="P33" s="608"/>
      <c r="Q33" s="605"/>
      <c r="R33" s="564"/>
      <c r="S33" s="303"/>
    </row>
    <row r="34" spans="1:19" ht="16.5" thickBot="1">
      <c r="A34" s="277">
        <v>14</v>
      </c>
      <c r="B34" s="295" t="s">
        <v>438</v>
      </c>
      <c r="C34" s="283"/>
      <c r="D34" s="283"/>
      <c r="E34" s="283"/>
      <c r="F34" s="283"/>
      <c r="G34" s="268"/>
      <c r="H34" s="283"/>
      <c r="I34" s="296">
        <v>0</v>
      </c>
      <c r="J34" s="295"/>
      <c r="K34" s="300"/>
      <c r="N34" s="610"/>
      <c r="O34" s="564"/>
      <c r="P34" s="609"/>
      <c r="Q34" s="610"/>
      <c r="R34" s="564"/>
      <c r="S34" s="303"/>
    </row>
    <row r="35" spans="1:19" s="274" customFormat="1">
      <c r="A35" s="292"/>
      <c r="B35" s="295"/>
      <c r="C35" s="300"/>
      <c r="D35" s="300"/>
      <c r="E35" s="300"/>
      <c r="F35" s="300"/>
      <c r="G35" s="342"/>
      <c r="H35" s="300"/>
      <c r="I35" s="295"/>
      <c r="J35" s="295"/>
      <c r="K35" s="300"/>
      <c r="N35" s="303"/>
      <c r="O35" s="303"/>
      <c r="P35" s="303"/>
      <c r="Q35" s="368"/>
      <c r="R35" s="368"/>
      <c r="S35" s="368"/>
    </row>
    <row r="36" spans="1:19">
      <c r="A36" s="277">
        <v>15</v>
      </c>
      <c r="B36" s="268" t="s">
        <v>252</v>
      </c>
      <c r="C36" s="283"/>
      <c r="D36" s="283"/>
      <c r="E36" s="283"/>
      <c r="F36" s="283"/>
      <c r="G36" s="283"/>
      <c r="H36" s="283"/>
      <c r="I36" s="284">
        <f>SUM(I28:I34)</f>
        <v>7320916.666666666</v>
      </c>
      <c r="J36" s="284"/>
      <c r="K36" s="300"/>
    </row>
    <row r="37" spans="1:19">
      <c r="A37" s="277">
        <v>16</v>
      </c>
      <c r="B37" s="283" t="s">
        <v>253</v>
      </c>
      <c r="C37" s="283" t="s">
        <v>439</v>
      </c>
      <c r="D37" s="565">
        <f>IF(I36&gt;0,I25/I36,0)</f>
        <v>44.025624410248696</v>
      </c>
      <c r="E37" s="283"/>
      <c r="F37" s="283"/>
      <c r="G37" s="283"/>
      <c r="H37" s="283"/>
      <c r="J37" s="274"/>
      <c r="K37" s="300"/>
      <c r="L37" s="565"/>
    </row>
    <row r="38" spans="1:19">
      <c r="A38" s="277">
        <v>17</v>
      </c>
      <c r="B38" s="283" t="s">
        <v>440</v>
      </c>
      <c r="C38" s="283" t="s">
        <v>441</v>
      </c>
      <c r="D38" s="566">
        <f>+D37/12</f>
        <v>3.6688020341873915</v>
      </c>
      <c r="E38" s="283"/>
      <c r="F38" s="283"/>
      <c r="G38" s="283"/>
      <c r="H38" s="283"/>
      <c r="K38" s="300"/>
    </row>
    <row r="39" spans="1:19">
      <c r="A39" s="277"/>
      <c r="B39" s="283"/>
      <c r="C39" s="283"/>
      <c r="D39" s="566"/>
      <c r="E39" s="283"/>
      <c r="F39" s="283"/>
      <c r="G39" s="283"/>
      <c r="H39" s="283"/>
      <c r="K39" s="300"/>
    </row>
    <row r="40" spans="1:19">
      <c r="A40" s="277"/>
      <c r="B40" s="283"/>
      <c r="C40" s="283"/>
      <c r="D40" s="308" t="s">
        <v>442</v>
      </c>
      <c r="E40" s="283"/>
      <c r="F40" s="283"/>
      <c r="G40" s="283"/>
      <c r="H40" s="283"/>
      <c r="I40" s="309" t="s">
        <v>443</v>
      </c>
      <c r="J40" s="309"/>
      <c r="K40" s="300"/>
    </row>
    <row r="41" spans="1:19">
      <c r="A41" s="277">
        <v>18</v>
      </c>
      <c r="B41" s="283" t="s">
        <v>444</v>
      </c>
      <c r="C41" s="310" t="s">
        <v>445</v>
      </c>
      <c r="D41" s="566">
        <f>+D37/52</f>
        <v>0.84664662327401341</v>
      </c>
      <c r="E41" s="283"/>
      <c r="F41" s="283"/>
      <c r="G41" s="283"/>
      <c r="H41" s="283"/>
      <c r="I41" s="311">
        <f>+D37/52</f>
        <v>0.84664662327401341</v>
      </c>
      <c r="J41" s="311"/>
      <c r="K41" s="300"/>
    </row>
    <row r="42" spans="1:19">
      <c r="A42" s="277">
        <v>19</v>
      </c>
      <c r="B42" s="283" t="s">
        <v>446</v>
      </c>
      <c r="C42" s="283" t="s">
        <v>447</v>
      </c>
      <c r="D42" s="566">
        <f>+D37/260</f>
        <v>0.16932932465480269</v>
      </c>
      <c r="E42" s="283" t="s">
        <v>448</v>
      </c>
      <c r="G42" s="283"/>
      <c r="H42" s="283"/>
      <c r="I42" s="311">
        <f>D37/365</f>
        <v>0.12061814906917451</v>
      </c>
      <c r="J42" s="311"/>
      <c r="K42" s="300"/>
    </row>
    <row r="43" spans="1:19">
      <c r="A43" s="277">
        <v>20</v>
      </c>
      <c r="B43" s="283" t="s">
        <v>449</v>
      </c>
      <c r="C43" s="283" t="s">
        <v>450</v>
      </c>
      <c r="D43" s="566">
        <f>+D37/4160*1000</f>
        <v>10.583082790925168</v>
      </c>
      <c r="E43" s="283" t="s">
        <v>451</v>
      </c>
      <c r="G43" s="283"/>
      <c r="H43" s="283"/>
      <c r="I43" s="311">
        <f>+D37/8760*1000</f>
        <v>5.0257562112156045</v>
      </c>
      <c r="J43" s="311"/>
      <c r="K43" s="300" t="s">
        <v>124</v>
      </c>
    </row>
    <row r="44" spans="1:19">
      <c r="A44" s="277"/>
      <c r="B44" s="283"/>
      <c r="C44" s="283" t="s">
        <v>452</v>
      </c>
      <c r="D44" s="283"/>
      <c r="E44" s="283" t="s">
        <v>453</v>
      </c>
      <c r="G44" s="283"/>
      <c r="H44" s="283"/>
      <c r="K44" s="300" t="s">
        <v>124</v>
      </c>
    </row>
    <row r="45" spans="1:19">
      <c r="A45" s="277"/>
      <c r="B45" s="283"/>
      <c r="C45" s="283"/>
      <c r="D45" s="283"/>
      <c r="E45" s="283"/>
      <c r="G45" s="283"/>
      <c r="H45" s="283"/>
      <c r="K45" s="300" t="s">
        <v>124</v>
      </c>
    </row>
    <row r="46" spans="1:19">
      <c r="A46" s="277">
        <v>21</v>
      </c>
      <c r="B46" s="283" t="s">
        <v>454</v>
      </c>
      <c r="C46" s="283" t="s">
        <v>455</v>
      </c>
      <c r="D46" s="567">
        <v>0</v>
      </c>
      <c r="E46" s="568" t="s">
        <v>456</v>
      </c>
      <c r="F46" s="568"/>
      <c r="G46" s="568"/>
      <c r="H46" s="568"/>
      <c r="I46" s="568">
        <f>D46</f>
        <v>0</v>
      </c>
      <c r="J46" s="568" t="s">
        <v>456</v>
      </c>
    </row>
    <row r="47" spans="1:19">
      <c r="A47" s="277">
        <v>22</v>
      </c>
      <c r="B47" s="283"/>
      <c r="C47" s="283"/>
      <c r="D47" s="567">
        <v>0</v>
      </c>
      <c r="E47" s="568" t="s">
        <v>457</v>
      </c>
      <c r="F47" s="568"/>
      <c r="G47" s="568"/>
      <c r="H47" s="568"/>
      <c r="I47" s="568">
        <f>D47</f>
        <v>0</v>
      </c>
      <c r="J47" s="568" t="s">
        <v>457</v>
      </c>
    </row>
    <row r="48" spans="1:19" s="274" customFormat="1">
      <c r="A48" s="292"/>
      <c r="B48" s="300"/>
      <c r="C48" s="300"/>
      <c r="D48" s="569"/>
      <c r="E48" s="569"/>
      <c r="F48" s="569"/>
      <c r="G48" s="569"/>
      <c r="H48" s="569"/>
      <c r="I48" s="569"/>
      <c r="J48" s="569"/>
      <c r="K48" s="300"/>
    </row>
    <row r="49" spans="1:11" s="274" customFormat="1">
      <c r="A49" s="292"/>
      <c r="B49" s="300"/>
      <c r="C49" s="300"/>
      <c r="D49" s="569"/>
      <c r="E49" s="569"/>
      <c r="F49" s="569"/>
      <c r="G49" s="569"/>
      <c r="H49" s="569"/>
      <c r="I49" s="569"/>
      <c r="J49" s="569"/>
      <c r="K49" s="300"/>
    </row>
    <row r="50" spans="1:11" s="274" customFormat="1">
      <c r="A50" s="292"/>
      <c r="B50" s="300"/>
      <c r="C50" s="300"/>
      <c r="D50" s="569"/>
      <c r="E50" s="569"/>
      <c r="F50" s="569"/>
      <c r="G50" s="569"/>
      <c r="H50" s="569"/>
      <c r="I50" s="569"/>
      <c r="J50" s="569"/>
      <c r="K50" s="300"/>
    </row>
    <row r="51" spans="1:11" s="274" customFormat="1">
      <c r="A51" s="292"/>
      <c r="B51" s="300"/>
      <c r="C51" s="300"/>
      <c r="D51" s="569"/>
      <c r="E51" s="569"/>
      <c r="F51" s="569"/>
      <c r="G51" s="569"/>
      <c r="H51" s="569"/>
      <c r="I51" s="569"/>
      <c r="J51" s="569"/>
      <c r="K51" s="300"/>
    </row>
    <row r="52" spans="1:11" s="274" customFormat="1">
      <c r="A52" s="292"/>
      <c r="B52" s="300"/>
      <c r="C52" s="300"/>
      <c r="D52" s="569"/>
      <c r="E52" s="569"/>
      <c r="F52" s="569"/>
      <c r="G52" s="569"/>
      <c r="H52" s="569"/>
      <c r="I52" s="569"/>
      <c r="J52" s="569"/>
      <c r="K52" s="300"/>
    </row>
    <row r="53" spans="1:11" s="274" customFormat="1">
      <c r="A53" s="292"/>
      <c r="B53" s="300"/>
      <c r="C53" s="300"/>
      <c r="D53" s="569"/>
      <c r="E53" s="569"/>
      <c r="F53" s="569"/>
      <c r="G53" s="569"/>
      <c r="H53" s="569"/>
      <c r="I53" s="569"/>
      <c r="J53" s="569"/>
      <c r="K53" s="300"/>
    </row>
    <row r="54" spans="1:11" s="274" customFormat="1">
      <c r="A54" s="292"/>
      <c r="B54" s="300"/>
      <c r="C54" s="300"/>
      <c r="D54" s="569"/>
      <c r="E54" s="569"/>
      <c r="F54" s="569"/>
      <c r="G54" s="569"/>
      <c r="H54" s="569"/>
      <c r="I54" s="569"/>
      <c r="J54" s="569"/>
      <c r="K54" s="300"/>
    </row>
    <row r="55" spans="1:11" s="274" customFormat="1">
      <c r="A55" s="292"/>
      <c r="B55" s="300"/>
      <c r="C55" s="300"/>
      <c r="D55" s="569"/>
      <c r="E55" s="569"/>
      <c r="F55" s="569"/>
      <c r="G55" s="569"/>
      <c r="H55" s="569"/>
      <c r="I55" s="569"/>
      <c r="J55" s="569"/>
      <c r="K55" s="300"/>
    </row>
    <row r="56" spans="1:11" s="274" customFormat="1">
      <c r="A56" s="292"/>
      <c r="B56" s="300"/>
      <c r="C56" s="300"/>
      <c r="D56" s="569"/>
      <c r="E56" s="569"/>
      <c r="F56" s="569"/>
      <c r="G56" s="569"/>
      <c r="H56" s="569"/>
      <c r="I56" s="569"/>
      <c r="J56" s="569"/>
      <c r="K56" s="300"/>
    </row>
    <row r="57" spans="1:11" s="274" customFormat="1">
      <c r="A57" s="292"/>
      <c r="B57" s="300"/>
      <c r="C57" s="300"/>
      <c r="D57" s="569"/>
      <c r="E57" s="569"/>
      <c r="F57" s="569"/>
      <c r="G57" s="569"/>
      <c r="H57" s="569"/>
      <c r="I57" s="569"/>
      <c r="J57" s="569"/>
      <c r="K57" s="300"/>
    </row>
    <row r="58" spans="1:11" s="274" customFormat="1">
      <c r="A58" s="292"/>
      <c r="B58" s="300"/>
      <c r="C58" s="300"/>
      <c r="D58" s="569"/>
      <c r="E58" s="569"/>
      <c r="F58" s="569"/>
      <c r="G58" s="569"/>
      <c r="H58" s="569"/>
      <c r="I58" s="569"/>
      <c r="J58" s="569"/>
      <c r="K58" s="300"/>
    </row>
    <row r="59" spans="1:11" s="274" customFormat="1">
      <c r="A59" s="292"/>
      <c r="B59" s="300"/>
      <c r="C59" s="300"/>
      <c r="D59" s="569"/>
      <c r="E59" s="569"/>
      <c r="F59" s="569"/>
      <c r="G59" s="569"/>
      <c r="H59" s="569"/>
      <c r="I59" s="569"/>
      <c r="J59" s="569"/>
      <c r="K59" s="300"/>
    </row>
    <row r="60" spans="1:11" s="274" customFormat="1">
      <c r="A60" s="292"/>
      <c r="B60" s="300"/>
      <c r="C60" s="300"/>
      <c r="D60" s="569"/>
      <c r="E60" s="569"/>
      <c r="F60" s="569"/>
      <c r="G60" s="569"/>
      <c r="H60" s="569"/>
      <c r="I60" s="569"/>
      <c r="J60" s="569"/>
      <c r="K60" s="300"/>
    </row>
    <row r="61" spans="1:11" s="274" customFormat="1">
      <c r="A61" s="292"/>
      <c r="B61" s="300"/>
      <c r="C61" s="300"/>
      <c r="D61" s="569"/>
      <c r="E61" s="569"/>
      <c r="F61" s="569"/>
      <c r="G61" s="569"/>
      <c r="H61" s="569"/>
      <c r="I61" s="569"/>
      <c r="J61" s="569"/>
      <c r="K61" s="300"/>
    </row>
    <row r="62" spans="1:11" s="274" customFormat="1">
      <c r="A62" s="292"/>
      <c r="B62" s="300"/>
      <c r="C62" s="300"/>
      <c r="D62" s="569"/>
      <c r="E62" s="569"/>
      <c r="F62" s="569"/>
      <c r="G62" s="569"/>
      <c r="H62" s="569"/>
      <c r="I62" s="569"/>
      <c r="J62" s="569"/>
      <c r="K62" s="300"/>
    </row>
    <row r="63" spans="1:11" s="274" customFormat="1">
      <c r="A63" s="292"/>
      <c r="B63" s="300"/>
      <c r="C63" s="300"/>
      <c r="D63" s="569"/>
      <c r="E63" s="569"/>
      <c r="F63" s="569"/>
      <c r="G63" s="569"/>
      <c r="H63" s="569"/>
      <c r="I63" s="569"/>
      <c r="J63" s="569"/>
      <c r="K63" s="300"/>
    </row>
    <row r="64" spans="1:11" s="274" customFormat="1">
      <c r="A64" s="292"/>
      <c r="B64" s="300"/>
      <c r="C64" s="300"/>
      <c r="D64" s="569"/>
      <c r="E64" s="569"/>
      <c r="F64" s="569"/>
      <c r="G64" s="569"/>
      <c r="H64" s="569"/>
      <c r="I64" s="569"/>
      <c r="J64" s="569"/>
      <c r="K64" s="300"/>
    </row>
    <row r="65" spans="1:11" s="274" customFormat="1">
      <c r="A65" s="292"/>
      <c r="B65" s="300"/>
      <c r="C65" s="300"/>
      <c r="D65" s="569"/>
      <c r="E65" s="569"/>
      <c r="F65" s="569"/>
      <c r="G65" s="569"/>
      <c r="H65" s="569"/>
      <c r="I65" s="569"/>
      <c r="J65" s="569"/>
      <c r="K65" s="300"/>
    </row>
    <row r="66" spans="1:11" s="274" customFormat="1">
      <c r="A66" s="292"/>
      <c r="B66" s="300"/>
      <c r="C66" s="300"/>
      <c r="D66" s="569"/>
      <c r="E66" s="569"/>
      <c r="F66" s="569"/>
      <c r="G66" s="569"/>
      <c r="H66" s="569"/>
      <c r="I66" s="569"/>
      <c r="J66" s="569"/>
      <c r="K66" s="300"/>
    </row>
    <row r="67" spans="1:11" s="274" customFormat="1">
      <c r="A67" s="292"/>
      <c r="B67" s="300"/>
      <c r="C67" s="300"/>
      <c r="D67" s="569"/>
      <c r="E67" s="569"/>
      <c r="F67" s="569"/>
      <c r="G67" s="569"/>
      <c r="H67" s="569"/>
      <c r="I67" s="569"/>
      <c r="J67" s="569"/>
      <c r="K67" s="300"/>
    </row>
    <row r="68" spans="1:11" s="274" customFormat="1">
      <c r="A68" s="292"/>
      <c r="B68" s="300"/>
      <c r="C68" s="300"/>
      <c r="D68" s="569"/>
      <c r="E68" s="569"/>
      <c r="F68" s="569"/>
      <c r="G68" s="569"/>
      <c r="H68" s="569"/>
      <c r="I68" s="569"/>
      <c r="J68" s="569"/>
      <c r="K68" s="300"/>
    </row>
    <row r="69" spans="1:11" s="274" customFormat="1">
      <c r="A69" s="292"/>
      <c r="B69" s="300"/>
      <c r="C69" s="300"/>
      <c r="D69" s="569"/>
      <c r="E69" s="569"/>
      <c r="F69" s="569"/>
      <c r="G69" s="569"/>
      <c r="H69" s="569"/>
      <c r="I69" s="569"/>
      <c r="J69" s="569"/>
      <c r="K69" s="300"/>
    </row>
    <row r="70" spans="1:11" s="274" customFormat="1">
      <c r="A70" s="292"/>
      <c r="B70" s="300"/>
      <c r="C70" s="300"/>
      <c r="D70" s="569"/>
      <c r="E70" s="569"/>
      <c r="F70" s="569"/>
      <c r="G70" s="569"/>
      <c r="H70" s="569"/>
      <c r="I70" s="569"/>
      <c r="J70" s="569"/>
      <c r="K70" s="300"/>
    </row>
    <row r="71" spans="1:11" s="274" customFormat="1">
      <c r="A71" s="292"/>
      <c r="B71" s="300"/>
      <c r="C71" s="300"/>
      <c r="D71" s="569"/>
      <c r="E71" s="569"/>
      <c r="F71" s="569"/>
      <c r="G71" s="569"/>
      <c r="H71" s="569"/>
      <c r="I71" s="569"/>
      <c r="J71" s="569"/>
      <c r="K71" s="300"/>
    </row>
    <row r="72" spans="1:11" s="274" customFormat="1">
      <c r="A72" s="292"/>
      <c r="B72" s="300"/>
      <c r="C72" s="300"/>
      <c r="D72" s="569"/>
      <c r="E72" s="569"/>
      <c r="F72" s="569"/>
      <c r="G72" s="569"/>
      <c r="H72" s="569"/>
      <c r="I72" s="569"/>
      <c r="J72" s="569"/>
      <c r="K72" s="300"/>
    </row>
    <row r="73" spans="1:11">
      <c r="B73" s="268"/>
      <c r="C73" s="268"/>
      <c r="D73" s="269"/>
      <c r="E73" s="268"/>
      <c r="F73" s="268"/>
      <c r="G73" s="268"/>
      <c r="H73" s="268"/>
      <c r="I73" s="268"/>
      <c r="J73" s="268"/>
      <c r="K73" s="315" t="s">
        <v>458</v>
      </c>
    </row>
    <row r="74" spans="1:11">
      <c r="B74" s="268"/>
      <c r="C74" s="268"/>
      <c r="D74" s="269"/>
      <c r="E74" s="268"/>
      <c r="F74" s="268"/>
      <c r="G74" s="268"/>
      <c r="H74" s="268"/>
      <c r="I74" s="268"/>
      <c r="J74" s="268"/>
      <c r="K74" s="316"/>
    </row>
    <row r="75" spans="1:11">
      <c r="B75" s="268" t="s">
        <v>389</v>
      </c>
      <c r="C75" s="268"/>
      <c r="D75" s="269" t="s">
        <v>390</v>
      </c>
      <c r="E75" s="268"/>
      <c r="F75" s="268"/>
      <c r="G75" s="268"/>
      <c r="H75" s="268"/>
      <c r="K75" s="271" t="str">
        <f>K3</f>
        <v>For the 12 months ended 12/31/14</v>
      </c>
    </row>
    <row r="76" spans="1:11">
      <c r="B76" s="268"/>
      <c r="C76" s="214" t="s">
        <v>124</v>
      </c>
      <c r="D76" s="214" t="s">
        <v>391</v>
      </c>
      <c r="E76" s="214"/>
      <c r="F76" s="214"/>
      <c r="G76" s="214"/>
      <c r="H76" s="268"/>
      <c r="I76" s="268"/>
      <c r="J76" s="268"/>
      <c r="K76" s="300"/>
    </row>
    <row r="77" spans="1:11">
      <c r="B77" s="268"/>
      <c r="C77" s="214"/>
      <c r="D77" s="214"/>
      <c r="E77" s="214"/>
      <c r="F77" s="214"/>
      <c r="G77" s="214"/>
      <c r="H77" s="268"/>
      <c r="I77" s="268"/>
      <c r="J77" s="268"/>
      <c r="K77" s="300"/>
    </row>
    <row r="78" spans="1:11">
      <c r="A78" s="878" t="str">
        <f>A6</f>
        <v>Northern States Power Companies</v>
      </c>
      <c r="B78" s="878"/>
      <c r="C78" s="878"/>
      <c r="D78" s="878"/>
      <c r="E78" s="878"/>
      <c r="F78" s="878"/>
      <c r="G78" s="878"/>
      <c r="H78" s="878"/>
      <c r="I78" s="878"/>
      <c r="J78" s="878"/>
      <c r="K78" s="878"/>
    </row>
    <row r="79" spans="1:11">
      <c r="B79" s="283"/>
      <c r="C79" s="283"/>
      <c r="D79" s="284"/>
      <c r="E79" s="284"/>
      <c r="F79" s="284"/>
      <c r="G79" s="284"/>
      <c r="H79" s="214"/>
      <c r="I79" s="214"/>
      <c r="J79" s="214"/>
      <c r="K79" s="284"/>
    </row>
    <row r="80" spans="1:11">
      <c r="B80" s="318" t="s">
        <v>459</v>
      </c>
      <c r="C80" s="318" t="s">
        <v>460</v>
      </c>
      <c r="D80" s="318" t="s">
        <v>461</v>
      </c>
      <c r="E80" s="214" t="s">
        <v>124</v>
      </c>
      <c r="F80" s="214"/>
      <c r="G80" s="319" t="s">
        <v>462</v>
      </c>
      <c r="H80" s="214"/>
      <c r="I80" s="320" t="s">
        <v>463</v>
      </c>
      <c r="J80" s="320"/>
      <c r="K80" s="321"/>
    </row>
    <row r="81" spans="1:14">
      <c r="B81" s="283"/>
      <c r="C81" s="322" t="s">
        <v>464</v>
      </c>
      <c r="D81" s="214"/>
      <c r="E81" s="214"/>
      <c r="F81" s="214"/>
      <c r="G81" s="277"/>
      <c r="H81" s="214"/>
      <c r="I81" s="554" t="s">
        <v>143</v>
      </c>
      <c r="J81" s="554"/>
      <c r="K81" s="321"/>
      <c r="L81" s="570" t="s">
        <v>465</v>
      </c>
      <c r="M81" s="570" t="s">
        <v>466</v>
      </c>
    </row>
    <row r="82" spans="1:14">
      <c r="A82" s="277" t="s">
        <v>165</v>
      </c>
      <c r="B82" s="283"/>
      <c r="C82" s="324" t="s">
        <v>467</v>
      </c>
      <c r="D82" s="325" t="s">
        <v>468</v>
      </c>
      <c r="E82" s="326"/>
      <c r="F82" s="554" t="s">
        <v>469</v>
      </c>
      <c r="H82" s="326"/>
      <c r="I82" s="277" t="s">
        <v>470</v>
      </c>
      <c r="J82" s="277"/>
      <c r="K82" s="321"/>
      <c r="L82" s="570" t="s">
        <v>142</v>
      </c>
      <c r="M82" s="570" t="s">
        <v>142</v>
      </c>
    </row>
    <row r="83" spans="1:14" ht="16.5" thickBot="1">
      <c r="A83" s="279" t="s">
        <v>141</v>
      </c>
      <c r="B83" s="327" t="s">
        <v>471</v>
      </c>
      <c r="C83" s="214"/>
      <c r="D83" s="214"/>
      <c r="E83" s="214"/>
      <c r="F83" s="214"/>
      <c r="G83" s="214"/>
      <c r="H83" s="214"/>
      <c r="I83" s="214"/>
      <c r="J83" s="214"/>
      <c r="K83" s="284"/>
    </row>
    <row r="84" spans="1:14">
      <c r="A84" s="277"/>
      <c r="B84" s="283" t="s">
        <v>472</v>
      </c>
      <c r="C84" s="328"/>
      <c r="D84" s="214"/>
      <c r="E84" s="214"/>
      <c r="F84" s="214"/>
      <c r="G84" s="214"/>
      <c r="H84" s="214"/>
      <c r="I84" s="214"/>
      <c r="J84" s="214"/>
      <c r="K84" s="284"/>
    </row>
    <row r="85" spans="1:14">
      <c r="A85" s="277">
        <v>1</v>
      </c>
      <c r="B85" s="283" t="s">
        <v>473</v>
      </c>
      <c r="C85" s="284" t="s">
        <v>474</v>
      </c>
      <c r="D85" s="288">
        <f>L85+M85</f>
        <v>7805325063.3069229</v>
      </c>
      <c r="E85" s="214"/>
      <c r="F85" s="214" t="s">
        <v>475</v>
      </c>
      <c r="G85" s="329" t="s">
        <v>124</v>
      </c>
      <c r="H85" s="214"/>
      <c r="I85" s="214" t="s">
        <v>124</v>
      </c>
      <c r="J85" s="214"/>
      <c r="K85" s="284"/>
      <c r="L85" s="330">
        <v>7354600462</v>
      </c>
      <c r="M85" s="330">
        <v>450724601.30692315</v>
      </c>
    </row>
    <row r="86" spans="1:14">
      <c r="A86" s="277">
        <v>2</v>
      </c>
      <c r="B86" s="283" t="s">
        <v>476</v>
      </c>
      <c r="C86" s="284" t="s">
        <v>477</v>
      </c>
      <c r="D86" s="288">
        <f>L86+M86</f>
        <v>3255473757.0953846</v>
      </c>
      <c r="E86" s="214"/>
      <c r="F86" s="214" t="s">
        <v>400</v>
      </c>
      <c r="G86" s="329">
        <f>I234</f>
        <v>0.97511224938508201</v>
      </c>
      <c r="H86" s="214"/>
      <c r="I86" s="214">
        <f>+G86*D86</f>
        <v>3174452338.0953846</v>
      </c>
      <c r="J86" s="214"/>
      <c r="K86" s="284"/>
      <c r="L86" s="330">
        <v>2584368151</v>
      </c>
      <c r="M86" s="330">
        <v>671105606.0953846</v>
      </c>
      <c r="N86" s="571"/>
    </row>
    <row r="87" spans="1:14">
      <c r="A87" s="277">
        <v>3</v>
      </c>
      <c r="B87" s="283" t="s">
        <v>478</v>
      </c>
      <c r="C87" s="284" t="s">
        <v>479</v>
      </c>
      <c r="D87" s="288">
        <f>L87+M87</f>
        <v>4151065999.8946152</v>
      </c>
      <c r="E87" s="214"/>
      <c r="F87" s="214" t="s">
        <v>475</v>
      </c>
      <c r="G87" s="329" t="s">
        <v>124</v>
      </c>
      <c r="H87" s="214"/>
      <c r="I87" s="214" t="s">
        <v>124</v>
      </c>
      <c r="J87" s="214"/>
      <c r="K87" s="284"/>
      <c r="L87" s="330">
        <v>3392691154</v>
      </c>
      <c r="M87" s="330">
        <v>758374845.89461541</v>
      </c>
      <c r="N87" s="283"/>
    </row>
    <row r="88" spans="1:14">
      <c r="A88" s="277">
        <v>4</v>
      </c>
      <c r="B88" s="283" t="s">
        <v>480</v>
      </c>
      <c r="C88" s="284" t="s">
        <v>481</v>
      </c>
      <c r="D88" s="288">
        <f>L88+M88</f>
        <v>654279150.2715385</v>
      </c>
      <c r="E88" s="214"/>
      <c r="F88" s="214" t="s">
        <v>482</v>
      </c>
      <c r="G88" s="329">
        <f>I252</f>
        <v>6.3376849490335826E-2</v>
      </c>
      <c r="H88" s="214"/>
      <c r="I88" s="214">
        <f>+G88*D88</f>
        <v>41466151.231424116</v>
      </c>
      <c r="J88" s="214"/>
      <c r="K88" s="284"/>
      <c r="L88" s="330">
        <v>557756385</v>
      </c>
      <c r="M88" s="330">
        <v>96522765.271538466</v>
      </c>
      <c r="N88" s="283"/>
    </row>
    <row r="89" spans="1:14" ht="16.5" thickBot="1">
      <c r="A89" s="277">
        <v>5</v>
      </c>
      <c r="B89" s="283" t="s">
        <v>483</v>
      </c>
      <c r="C89" s="284" t="s">
        <v>484</v>
      </c>
      <c r="D89" s="296">
        <f>L89+M89</f>
        <v>629470031.25846148</v>
      </c>
      <c r="E89" s="214"/>
      <c r="F89" s="214" t="s">
        <v>485</v>
      </c>
      <c r="G89" s="329">
        <f>K257</f>
        <v>5.845848664086007E-2</v>
      </c>
      <c r="H89" s="214"/>
      <c r="I89" s="289">
        <f>+G89*D89</f>
        <v>36797865.413144544</v>
      </c>
      <c r="J89" s="290"/>
      <c r="K89" s="284"/>
      <c r="L89" s="331">
        <v>511799846</v>
      </c>
      <c r="M89" s="331">
        <v>117670185.25846151</v>
      </c>
      <c r="N89" s="332"/>
    </row>
    <row r="90" spans="1:14">
      <c r="A90" s="277">
        <v>6</v>
      </c>
      <c r="B90" s="268" t="s">
        <v>486</v>
      </c>
      <c r="C90" s="284"/>
      <c r="D90" s="214">
        <f>SUM(D85:D89)</f>
        <v>16495614001.826921</v>
      </c>
      <c r="E90" s="214"/>
      <c r="F90" s="214" t="s">
        <v>487</v>
      </c>
      <c r="G90" s="333">
        <f>IF(I90&gt;0,I90/D90,0)</f>
        <v>0.19718674032865396</v>
      </c>
      <c r="H90" s="214"/>
      <c r="I90" s="214">
        <f>SUM(I85:I89)</f>
        <v>3252716354.7399535</v>
      </c>
      <c r="J90" s="214"/>
      <c r="K90" s="334"/>
      <c r="L90" s="214">
        <f>SUM(L85:L89)</f>
        <v>14401215998</v>
      </c>
      <c r="M90" s="214">
        <f>SUM(M85:M89)</f>
        <v>2094398003.8269231</v>
      </c>
      <c r="N90" s="283"/>
    </row>
    <row r="91" spans="1:14">
      <c r="B91" s="283"/>
      <c r="C91" s="214"/>
      <c r="D91" s="214"/>
      <c r="E91" s="214"/>
      <c r="F91" s="214"/>
      <c r="G91" s="333"/>
      <c r="H91" s="214"/>
      <c r="I91" s="214"/>
      <c r="J91" s="214"/>
      <c r="K91" s="334"/>
      <c r="L91" s="214"/>
      <c r="M91" s="214"/>
      <c r="N91" s="283"/>
    </row>
    <row r="92" spans="1:14">
      <c r="B92" s="283" t="s">
        <v>488</v>
      </c>
      <c r="C92" s="214"/>
      <c r="D92" s="214"/>
      <c r="E92" s="214"/>
      <c r="F92" s="214"/>
      <c r="G92" s="214"/>
      <c r="H92" s="214"/>
      <c r="I92" s="214"/>
      <c r="J92" s="214"/>
      <c r="K92" s="284"/>
      <c r="L92" s="214"/>
      <c r="M92" s="214"/>
      <c r="N92" s="283"/>
    </row>
    <row r="93" spans="1:14">
      <c r="A93" s="277">
        <v>7</v>
      </c>
      <c r="B93" s="283" t="str">
        <f>+B85</f>
        <v xml:space="preserve">  Production</v>
      </c>
      <c r="C93" s="214" t="s">
        <v>489</v>
      </c>
      <c r="D93" s="288">
        <f>L93+M93</f>
        <v>3499840200.0299997</v>
      </c>
      <c r="E93" s="214"/>
      <c r="F93" s="214" t="str">
        <f>+F85</f>
        <v>NA</v>
      </c>
      <c r="G93" s="329" t="str">
        <f>+G85</f>
        <v xml:space="preserve"> </v>
      </c>
      <c r="H93" s="214"/>
      <c r="I93" s="214" t="s">
        <v>124</v>
      </c>
      <c r="J93" s="214"/>
      <c r="K93" s="284"/>
      <c r="L93" s="330">
        <v>3219012846</v>
      </c>
      <c r="M93" s="330">
        <v>280827354.02999997</v>
      </c>
      <c r="N93" s="283"/>
    </row>
    <row r="94" spans="1:14">
      <c r="A94" s="277">
        <v>8</v>
      </c>
      <c r="B94" s="283" t="str">
        <f>+B86</f>
        <v xml:space="preserve">  Transmission</v>
      </c>
      <c r="C94" s="214" t="s">
        <v>490</v>
      </c>
      <c r="D94" s="288">
        <f>L94+M94</f>
        <v>932269034.46384621</v>
      </c>
      <c r="E94" s="214"/>
      <c r="F94" s="214" t="str">
        <f>+F86</f>
        <v>TP</v>
      </c>
      <c r="G94" s="329">
        <f>+G86</f>
        <v>0.97511224938508201</v>
      </c>
      <c r="H94" s="214"/>
      <c r="I94" s="214">
        <f>+G94*D94</f>
        <v>909066955.22809958</v>
      </c>
      <c r="J94" s="214"/>
      <c r="K94" s="284"/>
      <c r="L94" s="330">
        <v>717205437</v>
      </c>
      <c r="M94" s="330">
        <v>215063597.46384615</v>
      </c>
      <c r="N94" s="388"/>
    </row>
    <row r="95" spans="1:14">
      <c r="A95" s="277">
        <v>9</v>
      </c>
      <c r="B95" s="283" t="str">
        <f>+B87</f>
        <v xml:space="preserve">  Distribution</v>
      </c>
      <c r="C95" s="214" t="s">
        <v>491</v>
      </c>
      <c r="D95" s="288">
        <f>L95+M95</f>
        <v>1702216564.4253845</v>
      </c>
      <c r="E95" s="214"/>
      <c r="F95" s="214" t="str">
        <f t="shared" ref="F95:G97" si="1">+F87</f>
        <v>NA</v>
      </c>
      <c r="G95" s="329" t="str">
        <f t="shared" si="1"/>
        <v xml:space="preserve"> </v>
      </c>
      <c r="H95" s="214"/>
      <c r="I95" s="214" t="s">
        <v>124</v>
      </c>
      <c r="J95" s="214"/>
      <c r="K95" s="284"/>
      <c r="L95" s="330">
        <v>1335700615</v>
      </c>
      <c r="M95" s="330">
        <v>366515949.42538464</v>
      </c>
      <c r="N95" s="283"/>
    </row>
    <row r="96" spans="1:14">
      <c r="A96" s="277">
        <v>10</v>
      </c>
      <c r="B96" s="283" t="str">
        <f>+B88</f>
        <v xml:space="preserve">  General &amp; Intangible</v>
      </c>
      <c r="C96" s="214" t="s">
        <v>492</v>
      </c>
      <c r="D96" s="288">
        <f>L96+M96</f>
        <v>246887270.00230771</v>
      </c>
      <c r="E96" s="214"/>
      <c r="F96" s="214" t="str">
        <f t="shared" si="1"/>
        <v>W/S</v>
      </c>
      <c r="G96" s="329">
        <f t="shared" si="1"/>
        <v>6.3376849490335826E-2</v>
      </c>
      <c r="H96" s="214"/>
      <c r="I96" s="214">
        <f>+G96*D96</f>
        <v>15646937.352016158</v>
      </c>
      <c r="J96" s="214"/>
      <c r="K96" s="284"/>
      <c r="L96" s="330">
        <v>208795462</v>
      </c>
      <c r="M96" s="330">
        <v>38091808.002307698</v>
      </c>
      <c r="N96" s="335"/>
    </row>
    <row r="97" spans="1:14" ht="16.5" thickBot="1">
      <c r="A97" s="277">
        <v>11</v>
      </c>
      <c r="B97" s="283" t="str">
        <f>+B89</f>
        <v xml:space="preserve">  Common</v>
      </c>
      <c r="C97" s="214" t="s">
        <v>484</v>
      </c>
      <c r="D97" s="296">
        <f>L97+M97</f>
        <v>335032187.72538459</v>
      </c>
      <c r="E97" s="214"/>
      <c r="F97" s="214" t="str">
        <f t="shared" si="1"/>
        <v>CE</v>
      </c>
      <c r="G97" s="329">
        <f>+G89</f>
        <v>5.845848664086007E-2</v>
      </c>
      <c r="H97" s="214"/>
      <c r="I97" s="289">
        <f>+G97*D97</f>
        <v>19585474.670402519</v>
      </c>
      <c r="J97" s="290"/>
      <c r="K97" s="284"/>
      <c r="L97" s="331">
        <v>275857692</v>
      </c>
      <c r="M97" s="331">
        <v>59174495.725384623</v>
      </c>
      <c r="N97" s="332"/>
    </row>
    <row r="98" spans="1:14">
      <c r="A98" s="277">
        <v>12</v>
      </c>
      <c r="B98" s="283" t="s">
        <v>493</v>
      </c>
      <c r="C98" s="214"/>
      <c r="D98" s="336">
        <f>SUM(D93:D97)</f>
        <v>6716245256.6469231</v>
      </c>
      <c r="E98" s="214"/>
      <c r="F98" s="214"/>
      <c r="G98" s="214"/>
      <c r="H98" s="214"/>
      <c r="I98" s="214">
        <f>SUM(I93:I97)</f>
        <v>944299367.25051832</v>
      </c>
      <c r="J98" s="214"/>
      <c r="K98" s="284"/>
      <c r="L98" s="214">
        <f>SUM(L93:L97)</f>
        <v>5756572052</v>
      </c>
      <c r="M98" s="214">
        <f>SUM(M93:M97)</f>
        <v>959673204.64692295</v>
      </c>
      <c r="N98" s="283"/>
    </row>
    <row r="99" spans="1:14">
      <c r="A99" s="277"/>
      <c r="C99" s="214" t="s">
        <v>124</v>
      </c>
      <c r="E99" s="214"/>
      <c r="F99" s="214"/>
      <c r="G99" s="333"/>
      <c r="H99" s="214"/>
      <c r="K99" s="334"/>
      <c r="L99" s="214"/>
      <c r="M99" s="214"/>
      <c r="N99" s="283"/>
    </row>
    <row r="100" spans="1:14">
      <c r="A100" s="277"/>
      <c r="B100" s="283" t="s">
        <v>494</v>
      </c>
      <c r="C100" s="214"/>
      <c r="D100" s="214"/>
      <c r="E100" s="214"/>
      <c r="F100" s="214"/>
      <c r="G100" s="214"/>
      <c r="H100" s="214"/>
      <c r="I100" s="214"/>
      <c r="J100" s="214"/>
      <c r="K100" s="284"/>
      <c r="L100" s="214"/>
      <c r="M100" s="214"/>
      <c r="N100" s="283"/>
    </row>
    <row r="101" spans="1:14">
      <c r="A101" s="277">
        <v>13</v>
      </c>
      <c r="B101" s="283" t="str">
        <f>+B93</f>
        <v xml:space="preserve">  Production</v>
      </c>
      <c r="C101" s="214" t="s">
        <v>495</v>
      </c>
      <c r="D101" s="214">
        <f>D85-D93</f>
        <v>4305484863.2769232</v>
      </c>
      <c r="E101" s="214"/>
      <c r="F101" s="214"/>
      <c r="G101" s="333"/>
      <c r="H101" s="214"/>
      <c r="I101" s="214" t="s">
        <v>124</v>
      </c>
      <c r="J101" s="214"/>
      <c r="K101" s="334"/>
      <c r="L101" s="290">
        <f t="shared" ref="L101:M105" si="2">L85-L93</f>
        <v>4135587616</v>
      </c>
      <c r="M101" s="290">
        <f t="shared" si="2"/>
        <v>169897247.27692318</v>
      </c>
      <c r="N101" s="283"/>
    </row>
    <row r="102" spans="1:14">
      <c r="A102" s="277">
        <v>14</v>
      </c>
      <c r="B102" s="283" t="str">
        <f>+B94</f>
        <v xml:space="preserve">  Transmission</v>
      </c>
      <c r="C102" s="284" t="s">
        <v>496</v>
      </c>
      <c r="D102" s="284">
        <f>D86-D94</f>
        <v>2323204722.6315384</v>
      </c>
      <c r="E102" s="214"/>
      <c r="F102" s="214"/>
      <c r="G102" s="329"/>
      <c r="H102" s="214"/>
      <c r="I102" s="284">
        <f>I86-I94</f>
        <v>2265385382.8672848</v>
      </c>
      <c r="J102" s="284"/>
      <c r="K102" s="334"/>
      <c r="L102" s="284">
        <f t="shared" si="2"/>
        <v>1867162714</v>
      </c>
      <c r="M102" s="284">
        <f t="shared" si="2"/>
        <v>456042008.63153845</v>
      </c>
      <c r="N102" s="283"/>
    </row>
    <row r="103" spans="1:14">
      <c r="A103" s="277">
        <v>15</v>
      </c>
      <c r="B103" s="283" t="str">
        <f>+B95</f>
        <v xml:space="preserve">  Distribution</v>
      </c>
      <c r="C103" s="214" t="s">
        <v>497</v>
      </c>
      <c r="D103" s="214">
        <f>D87-D95</f>
        <v>2448849435.4692307</v>
      </c>
      <c r="E103" s="214"/>
      <c r="F103" s="214"/>
      <c r="G103" s="333"/>
      <c r="H103" s="214"/>
      <c r="I103" s="214" t="s">
        <v>124</v>
      </c>
      <c r="J103" s="214"/>
      <c r="K103" s="334"/>
      <c r="L103" s="290">
        <f t="shared" si="2"/>
        <v>2056990539</v>
      </c>
      <c r="M103" s="290">
        <f t="shared" si="2"/>
        <v>391858896.46923077</v>
      </c>
      <c r="N103" s="283"/>
    </row>
    <row r="104" spans="1:14">
      <c r="A104" s="277">
        <v>16</v>
      </c>
      <c r="B104" s="283" t="str">
        <f>+B96</f>
        <v xml:space="preserve">  General &amp; Intangible</v>
      </c>
      <c r="C104" s="214" t="s">
        <v>498</v>
      </c>
      <c r="D104" s="214">
        <f>D88-D96</f>
        <v>407391880.26923078</v>
      </c>
      <c r="E104" s="214"/>
      <c r="F104" s="214"/>
      <c r="G104" s="333"/>
      <c r="H104" s="214"/>
      <c r="I104" s="214">
        <f>I88-I96</f>
        <v>25819213.879407957</v>
      </c>
      <c r="J104" s="214"/>
      <c r="K104" s="334"/>
      <c r="L104" s="290">
        <f t="shared" si="2"/>
        <v>348960923</v>
      </c>
      <c r="M104" s="290">
        <f t="shared" si="2"/>
        <v>58430957.269230768</v>
      </c>
      <c r="N104" s="283"/>
    </row>
    <row r="105" spans="1:14" ht="16.5" thickBot="1">
      <c r="A105" s="277">
        <v>17</v>
      </c>
      <c r="B105" s="283" t="str">
        <f>+B97</f>
        <v xml:space="preserve">  Common</v>
      </c>
      <c r="C105" s="214" t="s">
        <v>499</v>
      </c>
      <c r="D105" s="289">
        <f>D89-D97</f>
        <v>294437843.53307688</v>
      </c>
      <c r="E105" s="214"/>
      <c r="F105" s="214"/>
      <c r="G105" s="333"/>
      <c r="H105" s="214"/>
      <c r="I105" s="289">
        <f>I89-I97</f>
        <v>17212390.742742024</v>
      </c>
      <c r="J105" s="290"/>
      <c r="K105" s="334"/>
      <c r="L105" s="289">
        <f t="shared" si="2"/>
        <v>235942154</v>
      </c>
      <c r="M105" s="289">
        <f t="shared" si="2"/>
        <v>58495689.533076882</v>
      </c>
      <c r="N105" s="283"/>
    </row>
    <row r="106" spans="1:14">
      <c r="A106" s="277">
        <v>18</v>
      </c>
      <c r="B106" s="283" t="s">
        <v>500</v>
      </c>
      <c r="C106" s="214"/>
      <c r="D106" s="214">
        <f>SUM(D101:D105)</f>
        <v>9779368745.1800003</v>
      </c>
      <c r="E106" s="214"/>
      <c r="F106" s="214" t="s">
        <v>501</v>
      </c>
      <c r="G106" s="333">
        <f>IF(I106&gt;0,I106/D106,0)</f>
        <v>0.23604969273985033</v>
      </c>
      <c r="H106" s="214"/>
      <c r="I106" s="214">
        <f>SUM(I101:I105)</f>
        <v>2308416987.4894347</v>
      </c>
      <c r="J106" s="214"/>
      <c r="K106" s="284"/>
      <c r="L106" s="214">
        <f>SUM(L101:L105)</f>
        <v>8644643946</v>
      </c>
      <c r="M106" s="214">
        <f>SUM(M101:M105)</f>
        <v>1134724799.1799998</v>
      </c>
      <c r="N106" s="283"/>
    </row>
    <row r="107" spans="1:14">
      <c r="A107" s="277"/>
      <c r="B107" s="283"/>
      <c r="C107" s="214"/>
      <c r="D107" s="214"/>
      <c r="E107" s="214"/>
      <c r="F107" s="214"/>
      <c r="G107" s="333"/>
      <c r="H107" s="214"/>
      <c r="I107" s="214"/>
      <c r="J107" s="214"/>
      <c r="K107" s="284"/>
      <c r="L107" s="214"/>
      <c r="M107" s="337"/>
      <c r="N107" s="283"/>
    </row>
    <row r="108" spans="1:14" s="274" customFormat="1">
      <c r="A108" s="292" t="s">
        <v>502</v>
      </c>
      <c r="B108" s="300" t="s">
        <v>503</v>
      </c>
      <c r="C108" s="284" t="s">
        <v>504</v>
      </c>
      <c r="D108" s="288">
        <f>L108+M108</f>
        <v>375904266.81839913</v>
      </c>
      <c r="E108" s="284"/>
      <c r="F108" s="284" t="s">
        <v>400</v>
      </c>
      <c r="G108" s="338">
        <f>+I234</f>
        <v>0.97511224938508201</v>
      </c>
      <c r="H108" s="284"/>
      <c r="I108" s="284">
        <f>+G108*D108</f>
        <v>366548855.17073923</v>
      </c>
      <c r="J108" s="284"/>
      <c r="K108" s="284"/>
      <c r="L108" s="330">
        <v>375904266.81839913</v>
      </c>
      <c r="M108" s="572"/>
      <c r="N108" s="300"/>
    </row>
    <row r="109" spans="1:14">
      <c r="A109" s="277"/>
      <c r="C109" s="214"/>
      <c r="E109" s="214"/>
      <c r="H109" s="214"/>
      <c r="K109" s="334"/>
      <c r="L109" s="214"/>
      <c r="M109" s="214"/>
      <c r="N109" s="283"/>
    </row>
    <row r="110" spans="1:14">
      <c r="A110" s="277"/>
      <c r="B110" s="268" t="s">
        <v>505</v>
      </c>
      <c r="C110" s="214"/>
      <c r="D110" s="214"/>
      <c r="E110" s="214"/>
      <c r="F110" s="214"/>
      <c r="G110" s="214"/>
      <c r="H110" s="214"/>
      <c r="I110" s="214"/>
      <c r="J110" s="214"/>
      <c r="K110" s="284"/>
      <c r="L110" s="214"/>
      <c r="M110" s="214"/>
      <c r="N110" s="283"/>
    </row>
    <row r="111" spans="1:14">
      <c r="A111" s="277">
        <v>19</v>
      </c>
      <c r="B111" s="283" t="s">
        <v>506</v>
      </c>
      <c r="C111" s="214" t="s">
        <v>507</v>
      </c>
      <c r="D111" s="288">
        <f t="shared" ref="D111:D116" si="3">L111+M111</f>
        <v>-38413518</v>
      </c>
      <c r="E111" s="284"/>
      <c r="F111" s="284" t="str">
        <f>+F93</f>
        <v>NA</v>
      </c>
      <c r="G111" s="339" t="s">
        <v>508</v>
      </c>
      <c r="H111" s="214"/>
      <c r="I111" s="214">
        <v>0</v>
      </c>
      <c r="J111" s="214"/>
      <c r="K111" s="334"/>
      <c r="L111" s="330">
        <v>-37591545.5</v>
      </c>
      <c r="M111" s="330">
        <v>-821972.5</v>
      </c>
      <c r="N111" s="283"/>
    </row>
    <row r="112" spans="1:14">
      <c r="A112" s="277">
        <v>20</v>
      </c>
      <c r="B112" s="283" t="s">
        <v>509</v>
      </c>
      <c r="C112" s="214" t="s">
        <v>510</v>
      </c>
      <c r="D112" s="288">
        <f t="shared" si="3"/>
        <v>-2620574698.5</v>
      </c>
      <c r="E112" s="214"/>
      <c r="F112" s="214" t="s">
        <v>511</v>
      </c>
      <c r="G112" s="329">
        <f>+G106</f>
        <v>0.23604969273985033</v>
      </c>
      <c r="H112" s="214"/>
      <c r="I112" s="214">
        <f t="shared" ref="I112:I117" si="4">D112*G112</f>
        <v>-618585852.38275087</v>
      </c>
      <c r="J112" s="214"/>
      <c r="K112" s="334"/>
      <c r="L112" s="330">
        <v>-2337614708</v>
      </c>
      <c r="M112" s="330">
        <v>-282959990.5</v>
      </c>
      <c r="N112" s="283"/>
    </row>
    <row r="113" spans="1:14">
      <c r="A113" s="277">
        <v>21</v>
      </c>
      <c r="B113" s="283" t="s">
        <v>512</v>
      </c>
      <c r="C113" s="214" t="s">
        <v>513</v>
      </c>
      <c r="D113" s="288">
        <f t="shared" si="3"/>
        <v>-225195624.5</v>
      </c>
      <c r="E113" s="214"/>
      <c r="F113" s="214" t="s">
        <v>511</v>
      </c>
      <c r="G113" s="329">
        <f>+G112</f>
        <v>0.23604969273985033</v>
      </c>
      <c r="H113" s="214"/>
      <c r="I113" s="214">
        <f t="shared" si="4"/>
        <v>-53157357.969583713</v>
      </c>
      <c r="J113" s="214"/>
      <c r="K113" s="334"/>
      <c r="L113" s="340">
        <v>-190610763.5</v>
      </c>
      <c r="M113" s="340">
        <v>-34584861</v>
      </c>
      <c r="N113" s="283"/>
    </row>
    <row r="114" spans="1:14">
      <c r="A114" s="277">
        <v>22</v>
      </c>
      <c r="B114" s="283" t="s">
        <v>514</v>
      </c>
      <c r="C114" s="214" t="s">
        <v>515</v>
      </c>
      <c r="D114" s="288">
        <f t="shared" si="3"/>
        <v>587766750</v>
      </c>
      <c r="E114" s="214"/>
      <c r="F114" s="214" t="str">
        <f>+F113</f>
        <v>NP</v>
      </c>
      <c r="G114" s="329">
        <f>+G113</f>
        <v>0.23604969273985033</v>
      </c>
      <c r="H114" s="214"/>
      <c r="I114" s="214">
        <f t="shared" si="4"/>
        <v>138742160.74020043</v>
      </c>
      <c r="J114" s="214"/>
      <c r="K114" s="334"/>
      <c r="L114" s="340">
        <v>543959200.5</v>
      </c>
      <c r="M114" s="340">
        <v>43807549.5</v>
      </c>
      <c r="N114" s="283"/>
    </row>
    <row r="115" spans="1:14">
      <c r="A115" s="277">
        <v>23</v>
      </c>
      <c r="B115" s="267" t="s">
        <v>516</v>
      </c>
      <c r="C115" s="267" t="s">
        <v>517</v>
      </c>
      <c r="D115" s="288">
        <f t="shared" si="3"/>
        <v>0</v>
      </c>
      <c r="E115" s="214"/>
      <c r="F115" s="214" t="s">
        <v>511</v>
      </c>
      <c r="G115" s="329">
        <f>+G113</f>
        <v>0.23604969273985033</v>
      </c>
      <c r="H115" s="214"/>
      <c r="I115" s="290">
        <f t="shared" si="4"/>
        <v>0</v>
      </c>
      <c r="J115" s="290"/>
      <c r="K115" s="334"/>
      <c r="L115" s="340">
        <v>0</v>
      </c>
      <c r="M115" s="340">
        <v>0</v>
      </c>
      <c r="N115" s="283"/>
    </row>
    <row r="116" spans="1:14">
      <c r="A116" s="292" t="s">
        <v>518</v>
      </c>
      <c r="B116" s="274" t="s">
        <v>519</v>
      </c>
      <c r="C116" s="274" t="s">
        <v>520</v>
      </c>
      <c r="D116" s="288">
        <f t="shared" si="3"/>
        <v>-53809087.604868189</v>
      </c>
      <c r="E116" s="284"/>
      <c r="F116" s="284" t="s">
        <v>400</v>
      </c>
      <c r="G116" s="341">
        <f>I234</f>
        <v>0.97511224938508201</v>
      </c>
      <c r="H116" s="284"/>
      <c r="I116" s="290">
        <f t="shared" si="4"/>
        <v>-52469900.451741956</v>
      </c>
      <c r="J116" s="290"/>
      <c r="K116" s="334"/>
      <c r="L116" s="340">
        <v>-53809087.604868189</v>
      </c>
      <c r="M116" s="340">
        <v>0</v>
      </c>
      <c r="N116" s="283"/>
    </row>
    <row r="117" spans="1:14" ht="16.5" thickBot="1">
      <c r="A117" s="292" t="s">
        <v>521</v>
      </c>
      <c r="B117" s="274" t="s">
        <v>522</v>
      </c>
      <c r="C117" s="274" t="s">
        <v>520</v>
      </c>
      <c r="D117" s="288">
        <f>L117+M117</f>
        <v>0</v>
      </c>
      <c r="E117" s="284"/>
      <c r="F117" s="284" t="s">
        <v>400</v>
      </c>
      <c r="G117" s="341">
        <f>I234</f>
        <v>0.97511224938508201</v>
      </c>
      <c r="H117" s="284"/>
      <c r="I117" s="290">
        <f t="shared" si="4"/>
        <v>0</v>
      </c>
      <c r="J117" s="290"/>
      <c r="K117" s="334"/>
      <c r="L117" s="331">
        <v>0</v>
      </c>
      <c r="M117" s="331">
        <v>0</v>
      </c>
      <c r="N117" s="283"/>
    </row>
    <row r="118" spans="1:14">
      <c r="A118" s="277">
        <v>24</v>
      </c>
      <c r="B118" s="283" t="s">
        <v>523</v>
      </c>
      <c r="C118" s="214"/>
      <c r="D118" s="336">
        <f>SUM(D111:D117)</f>
        <v>-2350226178.6048684</v>
      </c>
      <c r="E118" s="214"/>
      <c r="F118" s="214"/>
      <c r="G118" s="214"/>
      <c r="H118" s="214"/>
      <c r="I118" s="336">
        <f>SUM(I111:I117)</f>
        <v>-585470950.06387615</v>
      </c>
      <c r="J118" s="290"/>
      <c r="K118" s="284"/>
      <c r="L118" s="336">
        <f>SUM(L111:L117)</f>
        <v>-2075666904.1048682</v>
      </c>
      <c r="M118" s="336">
        <f>SUM(M111:M117)</f>
        <v>-274559274.5</v>
      </c>
      <c r="N118" s="283"/>
    </row>
    <row r="119" spans="1:14">
      <c r="A119" s="277"/>
      <c r="B119" s="283"/>
      <c r="C119" s="214"/>
      <c r="D119" s="290"/>
      <c r="E119" s="214"/>
      <c r="F119" s="214"/>
      <c r="G119" s="214"/>
      <c r="H119" s="214"/>
      <c r="I119" s="214"/>
      <c r="J119" s="214"/>
      <c r="K119" s="284"/>
      <c r="L119" s="214"/>
      <c r="M119" s="214"/>
      <c r="N119" s="283"/>
    </row>
    <row r="120" spans="1:14">
      <c r="A120" s="277">
        <v>25</v>
      </c>
      <c r="B120" s="342" t="s">
        <v>524</v>
      </c>
      <c r="C120" s="214" t="s">
        <v>525</v>
      </c>
      <c r="D120" s="288">
        <f>L120+M120</f>
        <v>8103</v>
      </c>
      <c r="E120" s="214"/>
      <c r="F120" s="214" t="str">
        <f>+F94</f>
        <v>TP</v>
      </c>
      <c r="G120" s="329">
        <f>+G94</f>
        <v>0.97511224938508201</v>
      </c>
      <c r="H120" s="214"/>
      <c r="I120" s="214">
        <f>+G120*D120</f>
        <v>7901.3345567673196</v>
      </c>
      <c r="J120" s="214"/>
      <c r="K120" s="284"/>
      <c r="L120" s="330">
        <v>0</v>
      </c>
      <c r="M120" s="330">
        <v>8103</v>
      </c>
      <c r="N120" s="283"/>
    </row>
    <row r="121" spans="1:14">
      <c r="A121" s="277"/>
      <c r="B121" s="283"/>
      <c r="C121" s="214"/>
      <c r="D121" s="214"/>
      <c r="E121" s="214"/>
      <c r="F121" s="214"/>
      <c r="G121" s="214"/>
      <c r="H121" s="214"/>
      <c r="I121" s="214"/>
      <c r="J121" s="214"/>
      <c r="K121" s="284"/>
      <c r="L121" s="214"/>
      <c r="M121" s="214"/>
      <c r="N121" s="283"/>
    </row>
    <row r="122" spans="1:14">
      <c r="A122" s="277"/>
      <c r="B122" s="283" t="s">
        <v>547</v>
      </c>
      <c r="C122" s="214" t="s">
        <v>124</v>
      </c>
      <c r="D122" s="214"/>
      <c r="E122" s="214"/>
      <c r="F122" s="214"/>
      <c r="G122" s="214"/>
      <c r="H122" s="214"/>
      <c r="I122" s="214"/>
      <c r="J122" s="214"/>
      <c r="K122" s="284"/>
      <c r="L122" s="214"/>
      <c r="M122" s="214"/>
      <c r="N122" s="283"/>
    </row>
    <row r="123" spans="1:14">
      <c r="A123" s="277">
        <v>26</v>
      </c>
      <c r="B123" s="283" t="s">
        <v>548</v>
      </c>
      <c r="C123" s="267" t="s">
        <v>549</v>
      </c>
      <c r="D123" s="214">
        <f>+D166/8</f>
        <v>43292053.1875</v>
      </c>
      <c r="E123" s="214"/>
      <c r="F123" s="214"/>
      <c r="G123" s="333"/>
      <c r="H123" s="214"/>
      <c r="I123" s="214">
        <f>+I166/8</f>
        <v>8825953.0914165135</v>
      </c>
      <c r="J123" s="214"/>
      <c r="K123" s="334"/>
      <c r="L123" s="343"/>
      <c r="M123" s="318"/>
      <c r="N123" s="283"/>
    </row>
    <row r="124" spans="1:14">
      <c r="A124" s="277">
        <v>27</v>
      </c>
      <c r="B124" s="300" t="s">
        <v>550</v>
      </c>
      <c r="C124" s="214" t="s">
        <v>551</v>
      </c>
      <c r="D124" s="288">
        <f>L124+M124</f>
        <v>457570.81984999997</v>
      </c>
      <c r="E124" s="214"/>
      <c r="F124" s="214" t="s">
        <v>552</v>
      </c>
      <c r="G124" s="329">
        <f>I244</f>
        <v>0.94023894581266276</v>
      </c>
      <c r="H124" s="214"/>
      <c r="I124" s="214">
        <f>+G124*D124</f>
        <v>430225.90529039979</v>
      </c>
      <c r="J124" s="214"/>
      <c r="K124" s="334"/>
      <c r="L124" s="330">
        <v>432611.42629999999</v>
      </c>
      <c r="M124" s="330">
        <v>24959.393549999997</v>
      </c>
      <c r="N124" s="283"/>
    </row>
    <row r="125" spans="1:14" ht="16.5" thickBot="1">
      <c r="A125" s="277">
        <v>28</v>
      </c>
      <c r="B125" s="300" t="s">
        <v>553</v>
      </c>
      <c r="C125" s="214" t="s">
        <v>554</v>
      </c>
      <c r="D125" s="288">
        <f>L125+M125</f>
        <v>78808592.918249995</v>
      </c>
      <c r="E125" s="214"/>
      <c r="F125" s="214" t="s">
        <v>555</v>
      </c>
      <c r="G125" s="329">
        <f>+G90</f>
        <v>0.19718674032865396</v>
      </c>
      <c r="H125" s="214"/>
      <c r="I125" s="289">
        <f>+G125*D125</f>
        <v>15540009.54743756</v>
      </c>
      <c r="J125" s="290"/>
      <c r="K125" s="334"/>
      <c r="L125" s="331">
        <v>58269822.156000003</v>
      </c>
      <c r="M125" s="331">
        <v>20538770.762249999</v>
      </c>
      <c r="N125" s="344"/>
    </row>
    <row r="126" spans="1:14">
      <c r="A126" s="277">
        <v>29</v>
      </c>
      <c r="B126" s="283" t="s">
        <v>556</v>
      </c>
      <c r="C126" s="283"/>
      <c r="D126" s="336">
        <f>D123+D124+D125</f>
        <v>122558216.92559999</v>
      </c>
      <c r="E126" s="283"/>
      <c r="F126" s="283"/>
      <c r="G126" s="283"/>
      <c r="H126" s="283"/>
      <c r="I126" s="214">
        <f>I123+I124+I125</f>
        <v>24796188.544144474</v>
      </c>
      <c r="J126" s="214"/>
      <c r="K126" s="300"/>
      <c r="L126" s="267">
        <f>SUM(L124:L125)</f>
        <v>58702433.5823</v>
      </c>
      <c r="M126" s="267">
        <f>SUM(M124:M125)</f>
        <v>20563730.1558</v>
      </c>
    </row>
    <row r="127" spans="1:14" ht="16.5" thickBot="1">
      <c r="C127" s="214"/>
      <c r="D127" s="345"/>
      <c r="E127" s="214"/>
      <c r="F127" s="214"/>
      <c r="G127" s="214"/>
      <c r="H127" s="214"/>
      <c r="I127" s="345"/>
      <c r="J127" s="303"/>
      <c r="K127" s="284"/>
      <c r="L127" s="303"/>
      <c r="M127" s="303"/>
    </row>
    <row r="128" spans="1:14" ht="16.5" thickBot="1">
      <c r="A128" s="277">
        <v>30</v>
      </c>
      <c r="B128" s="283" t="s">
        <v>557</v>
      </c>
      <c r="C128" s="214"/>
      <c r="D128" s="346">
        <f>+D126+D120+D118+D106+D108</f>
        <v>7927613153.3191319</v>
      </c>
      <c r="E128" s="214"/>
      <c r="F128" s="214"/>
      <c r="G128" s="333"/>
      <c r="H128" s="214"/>
      <c r="I128" s="346">
        <f>+I126+I120+I118+I106+I108</f>
        <v>2114298982.474999</v>
      </c>
      <c r="J128" s="290"/>
      <c r="K128" s="347"/>
      <c r="L128" s="346">
        <f>+L126+L120+L118+L106+L108</f>
        <v>7003583742.2958317</v>
      </c>
      <c r="M128" s="346">
        <f>+M126+M120+M118+M106+M108</f>
        <v>880737357.83579981</v>
      </c>
    </row>
    <row r="129" spans="1:13" ht="16.5" thickTop="1">
      <c r="A129" s="277"/>
      <c r="B129" s="283"/>
      <c r="C129" s="214"/>
      <c r="D129" s="290"/>
      <c r="E129" s="214"/>
      <c r="F129" s="214"/>
      <c r="G129" s="333"/>
      <c r="H129" s="214"/>
      <c r="I129" s="290"/>
      <c r="J129" s="290"/>
      <c r="K129" s="347"/>
      <c r="L129" s="290"/>
      <c r="M129" s="290"/>
    </row>
    <row r="130" spans="1:13">
      <c r="A130" s="277"/>
      <c r="B130" s="283"/>
      <c r="C130" s="214"/>
      <c r="D130" s="290"/>
      <c r="E130" s="214"/>
      <c r="F130" s="214"/>
      <c r="G130" s="333"/>
      <c r="H130" s="214"/>
      <c r="I130" s="290"/>
      <c r="J130" s="290"/>
      <c r="K130" s="347"/>
      <c r="L130" s="290"/>
      <c r="M130" s="290"/>
    </row>
    <row r="131" spans="1:13">
      <c r="A131" s="277"/>
      <c r="B131" s="283"/>
      <c r="C131" s="214"/>
      <c r="D131" s="290"/>
      <c r="E131" s="214"/>
      <c r="F131" s="214"/>
      <c r="G131" s="333"/>
      <c r="H131" s="214"/>
      <c r="I131" s="290"/>
      <c r="J131" s="290"/>
      <c r="K131" s="347"/>
      <c r="L131" s="290"/>
      <c r="M131" s="290"/>
    </row>
    <row r="132" spans="1:13">
      <c r="A132" s="277"/>
      <c r="B132" s="283"/>
      <c r="C132" s="214"/>
      <c r="D132" s="290"/>
      <c r="E132" s="214"/>
      <c r="F132" s="214"/>
      <c r="G132" s="333"/>
      <c r="H132" s="214"/>
      <c r="I132" s="290"/>
      <c r="J132" s="290"/>
      <c r="K132" s="347"/>
      <c r="L132" s="290"/>
      <c r="M132" s="290"/>
    </row>
    <row r="133" spans="1:13">
      <c r="A133" s="277"/>
      <c r="B133" s="283"/>
      <c r="C133" s="214"/>
      <c r="D133" s="290"/>
      <c r="E133" s="214"/>
      <c r="F133" s="214"/>
      <c r="G133" s="333"/>
      <c r="H133" s="214"/>
      <c r="I133" s="290"/>
      <c r="J133" s="290"/>
      <c r="K133" s="347"/>
      <c r="L133" s="290"/>
      <c r="M133" s="290"/>
    </row>
    <row r="134" spans="1:13">
      <c r="A134" s="277"/>
      <c r="B134" s="283"/>
      <c r="C134" s="214"/>
      <c r="D134" s="290"/>
      <c r="E134" s="214"/>
      <c r="F134" s="214"/>
      <c r="G134" s="333"/>
      <c r="H134" s="214"/>
      <c r="I134" s="290"/>
      <c r="J134" s="290"/>
      <c r="K134" s="347"/>
      <c r="L134" s="290"/>
      <c r="M134" s="290"/>
    </row>
    <row r="135" spans="1:13">
      <c r="A135" s="277"/>
      <c r="B135" s="283"/>
      <c r="C135" s="214"/>
      <c r="D135" s="290"/>
      <c r="E135" s="214"/>
      <c r="F135" s="214"/>
      <c r="G135" s="333"/>
      <c r="H135" s="214"/>
      <c r="I135" s="290"/>
      <c r="J135" s="290"/>
      <c r="K135" s="347"/>
      <c r="L135" s="290"/>
      <c r="M135" s="290"/>
    </row>
    <row r="136" spans="1:13">
      <c r="A136" s="277"/>
      <c r="B136" s="283"/>
      <c r="C136" s="214"/>
      <c r="D136" s="290"/>
      <c r="E136" s="214"/>
      <c r="F136" s="214"/>
      <c r="G136" s="333"/>
      <c r="H136" s="214"/>
      <c r="I136" s="290"/>
      <c r="J136" s="290"/>
      <c r="K136" s="347"/>
      <c r="L136" s="290"/>
      <c r="M136" s="290"/>
    </row>
    <row r="137" spans="1:13">
      <c r="A137" s="277"/>
      <c r="B137" s="283"/>
      <c r="C137" s="214"/>
      <c r="D137" s="290"/>
      <c r="E137" s="214"/>
      <c r="F137" s="214"/>
      <c r="G137" s="333"/>
      <c r="H137" s="214"/>
      <c r="I137" s="290"/>
      <c r="J137" s="290"/>
      <c r="K137" s="347"/>
      <c r="L137" s="290"/>
      <c r="M137" s="290"/>
    </row>
    <row r="138" spans="1:13">
      <c r="A138" s="277"/>
      <c r="B138" s="283"/>
      <c r="C138" s="214"/>
      <c r="D138" s="290"/>
      <c r="E138" s="214"/>
      <c r="F138" s="214"/>
      <c r="G138" s="333"/>
      <c r="H138" s="214"/>
      <c r="I138" s="290"/>
      <c r="J138" s="290"/>
      <c r="K138" s="347"/>
      <c r="L138" s="290"/>
      <c r="M138" s="290"/>
    </row>
    <row r="139" spans="1:13">
      <c r="A139" s="277"/>
      <c r="B139" s="283"/>
      <c r="C139" s="214"/>
      <c r="D139" s="290"/>
      <c r="E139" s="214"/>
      <c r="F139" s="214"/>
      <c r="G139" s="333"/>
      <c r="H139" s="214"/>
      <c r="I139" s="290"/>
      <c r="J139" s="290"/>
      <c r="K139" s="347"/>
      <c r="L139" s="290"/>
      <c r="M139" s="290"/>
    </row>
    <row r="140" spans="1:13">
      <c r="A140" s="277"/>
      <c r="B140" s="283"/>
      <c r="C140" s="214"/>
      <c r="D140" s="290"/>
      <c r="E140" s="214"/>
      <c r="F140" s="214"/>
      <c r="G140" s="333"/>
      <c r="H140" s="214"/>
      <c r="I140" s="290"/>
      <c r="J140" s="290"/>
      <c r="K140" s="347"/>
      <c r="L140" s="290"/>
      <c r="M140" s="290"/>
    </row>
    <row r="141" spans="1:13">
      <c r="A141" s="277"/>
      <c r="B141" s="283"/>
      <c r="C141" s="214"/>
      <c r="D141" s="290"/>
      <c r="E141" s="214"/>
      <c r="F141" s="214"/>
      <c r="G141" s="333"/>
      <c r="H141" s="214"/>
      <c r="I141" s="290"/>
      <c r="J141" s="290"/>
      <c r="K141" s="347"/>
      <c r="L141" s="290"/>
      <c r="M141" s="290"/>
    </row>
    <row r="142" spans="1:13">
      <c r="A142" s="277"/>
      <c r="B142" s="283"/>
      <c r="C142" s="214"/>
      <c r="D142" s="290"/>
      <c r="E142" s="214"/>
      <c r="F142" s="214"/>
      <c r="G142" s="333"/>
      <c r="H142" s="214"/>
      <c r="I142" s="290"/>
      <c r="J142" s="290"/>
      <c r="K142" s="347"/>
      <c r="L142" s="290"/>
      <c r="M142" s="290"/>
    </row>
    <row r="143" spans="1:13">
      <c r="A143" s="277"/>
      <c r="B143" s="283"/>
      <c r="C143" s="214"/>
      <c r="D143" s="290"/>
      <c r="E143" s="214"/>
      <c r="F143" s="214"/>
      <c r="G143" s="333"/>
      <c r="H143" s="214"/>
      <c r="I143" s="290"/>
      <c r="J143" s="290"/>
      <c r="K143" s="347"/>
      <c r="L143" s="290"/>
      <c r="M143" s="290"/>
    </row>
    <row r="144" spans="1:13">
      <c r="A144" s="277"/>
      <c r="B144" s="283"/>
      <c r="C144" s="214"/>
      <c r="D144" s="290"/>
      <c r="E144" s="214"/>
      <c r="F144" s="214"/>
      <c r="G144" s="333"/>
      <c r="H144" s="214"/>
      <c r="I144" s="290"/>
      <c r="J144" s="290"/>
      <c r="K144" s="347"/>
      <c r="L144" s="290"/>
      <c r="M144" s="290"/>
    </row>
    <row r="145" spans="1:15">
      <c r="B145" s="268"/>
      <c r="C145" s="268"/>
      <c r="D145" s="269"/>
      <c r="E145" s="268"/>
      <c r="F145" s="268"/>
      <c r="G145" s="268"/>
      <c r="H145" s="268"/>
      <c r="I145" s="268"/>
      <c r="J145" s="268"/>
      <c r="K145" s="315" t="s">
        <v>558</v>
      </c>
    </row>
    <row r="146" spans="1:15">
      <c r="B146" s="268"/>
      <c r="C146" s="268"/>
      <c r="D146" s="269"/>
      <c r="E146" s="268"/>
      <c r="F146" s="268"/>
      <c r="G146" s="268"/>
      <c r="H146" s="268"/>
      <c r="I146" s="268"/>
      <c r="J146" s="268"/>
      <c r="K146" s="316"/>
    </row>
    <row r="147" spans="1:15">
      <c r="B147" s="268" t="s">
        <v>389</v>
      </c>
      <c r="C147" s="268"/>
      <c r="D147" s="269" t="s">
        <v>390</v>
      </c>
      <c r="E147" s="268"/>
      <c r="F147" s="268"/>
      <c r="G147" s="268"/>
      <c r="H147" s="268"/>
      <c r="K147" s="271" t="str">
        <f>K3</f>
        <v>For the 12 months ended 12/31/14</v>
      </c>
    </row>
    <row r="148" spans="1:15">
      <c r="B148" s="268"/>
      <c r="C148" s="214" t="s">
        <v>124</v>
      </c>
      <c r="D148" s="214" t="s">
        <v>391</v>
      </c>
      <c r="E148" s="214"/>
      <c r="F148" s="214"/>
      <c r="G148" s="214"/>
      <c r="H148" s="268"/>
      <c r="I148" s="268"/>
      <c r="J148" s="268"/>
      <c r="K148" s="300"/>
    </row>
    <row r="149" spans="1:15">
      <c r="B149" s="268"/>
      <c r="C149" s="214"/>
      <c r="D149" s="214"/>
      <c r="E149" s="214"/>
      <c r="F149" s="214"/>
      <c r="G149" s="214"/>
      <c r="H149" s="268"/>
      <c r="I149" s="268"/>
      <c r="J149" s="268"/>
      <c r="K149" s="300"/>
    </row>
    <row r="150" spans="1:15">
      <c r="A150" s="874" t="str">
        <f>A6</f>
        <v>Northern States Power Companies</v>
      </c>
      <c r="B150" s="874"/>
      <c r="C150" s="874"/>
      <c r="D150" s="874"/>
      <c r="E150" s="874"/>
      <c r="F150" s="874"/>
      <c r="G150" s="874"/>
      <c r="H150" s="874"/>
      <c r="I150" s="874"/>
      <c r="J150" s="874"/>
      <c r="K150" s="874"/>
    </row>
    <row r="151" spans="1:15">
      <c r="A151" s="277"/>
      <c r="D151" s="274"/>
      <c r="E151" s="274"/>
      <c r="F151" s="274"/>
      <c r="G151" s="274"/>
      <c r="K151" s="284"/>
    </row>
    <row r="152" spans="1:15">
      <c r="A152" s="277"/>
      <c r="B152" s="318" t="s">
        <v>459</v>
      </c>
      <c r="C152" s="318" t="s">
        <v>460</v>
      </c>
      <c r="D152" s="318" t="s">
        <v>461</v>
      </c>
      <c r="E152" s="214" t="s">
        <v>124</v>
      </c>
      <c r="F152" s="214"/>
      <c r="G152" s="319" t="s">
        <v>462</v>
      </c>
      <c r="H152" s="214"/>
      <c r="I152" s="320" t="s">
        <v>463</v>
      </c>
      <c r="J152" s="320"/>
      <c r="K152" s="284"/>
    </row>
    <row r="153" spans="1:15">
      <c r="A153" s="277"/>
      <c r="B153" s="318"/>
      <c r="C153" s="268"/>
      <c r="D153" s="268"/>
      <c r="E153" s="268"/>
      <c r="F153" s="268"/>
      <c r="G153" s="268"/>
      <c r="H153" s="268"/>
      <c r="I153" s="268"/>
      <c r="J153" s="268"/>
      <c r="K153" s="349"/>
    </row>
    <row r="154" spans="1:15">
      <c r="A154" s="277" t="s">
        <v>165</v>
      </c>
      <c r="B154" s="283"/>
      <c r="C154" s="322" t="s">
        <v>464</v>
      </c>
      <c r="D154" s="214"/>
      <c r="E154" s="214"/>
      <c r="F154" s="214"/>
      <c r="G154" s="277"/>
      <c r="H154" s="214"/>
      <c r="I154" s="554" t="s">
        <v>143</v>
      </c>
      <c r="J154" s="554"/>
      <c r="K154" s="349"/>
      <c r="L154" s="570" t="s">
        <v>465</v>
      </c>
      <c r="M154" s="570" t="s">
        <v>466</v>
      </c>
    </row>
    <row r="155" spans="1:15" ht="16.5" thickBot="1">
      <c r="A155" s="279" t="s">
        <v>141</v>
      </c>
      <c r="B155" s="283"/>
      <c r="C155" s="324" t="s">
        <v>467</v>
      </c>
      <c r="D155" s="325" t="s">
        <v>468</v>
      </c>
      <c r="E155" s="326"/>
      <c r="F155" s="873" t="s">
        <v>397</v>
      </c>
      <c r="G155" s="873"/>
      <c r="H155" s="326"/>
      <c r="I155" s="277" t="s">
        <v>470</v>
      </c>
      <c r="J155" s="277"/>
      <c r="K155" s="349"/>
      <c r="L155" s="570" t="s">
        <v>142</v>
      </c>
      <c r="M155" s="570" t="s">
        <v>142</v>
      </c>
    </row>
    <row r="156" spans="1:15">
      <c r="A156" s="277"/>
      <c r="B156" s="283" t="s">
        <v>559</v>
      </c>
      <c r="C156" s="214"/>
      <c r="D156" s="214"/>
      <c r="E156" s="214"/>
      <c r="F156" s="214"/>
      <c r="G156" s="214"/>
      <c r="H156" s="214"/>
      <c r="I156" s="214"/>
      <c r="J156" s="214"/>
      <c r="K156" s="284"/>
    </row>
    <row r="157" spans="1:15">
      <c r="A157" s="277">
        <v>1</v>
      </c>
      <c r="B157" s="283" t="s">
        <v>560</v>
      </c>
      <c r="C157" s="214" t="s">
        <v>561</v>
      </c>
      <c r="D157" s="288">
        <f>L157+M157</f>
        <v>225113858.5</v>
      </c>
      <c r="E157" s="214"/>
      <c r="F157" s="214" t="s">
        <v>552</v>
      </c>
      <c r="G157" s="329">
        <f>I244</f>
        <v>0.94023894581266276</v>
      </c>
      <c r="H157" s="214"/>
      <c r="I157" s="214">
        <f t="shared" ref="I157:I165" si="5">+G157*D157</f>
        <v>211660817.00386092</v>
      </c>
      <c r="J157" s="214"/>
      <c r="K157" s="284"/>
      <c r="L157" s="330">
        <v>214199725.5</v>
      </c>
      <c r="M157" s="330">
        <v>10914133</v>
      </c>
      <c r="N157" s="352"/>
      <c r="O157" s="573"/>
    </row>
    <row r="158" spans="1:15">
      <c r="A158" s="292" t="s">
        <v>562</v>
      </c>
      <c r="B158" s="300" t="s">
        <v>563</v>
      </c>
      <c r="C158" s="284"/>
      <c r="D158" s="288">
        <f t="shared" ref="D158:D164" si="6">L158+M158</f>
        <v>8940955</v>
      </c>
      <c r="E158" s="214"/>
      <c r="F158" s="350"/>
      <c r="G158" s="329">
        <v>1</v>
      </c>
      <c r="H158" s="214"/>
      <c r="I158" s="214">
        <f t="shared" si="5"/>
        <v>8940955</v>
      </c>
      <c r="J158" s="214"/>
      <c r="K158" s="284"/>
      <c r="L158" s="330">
        <v>8940955</v>
      </c>
      <c r="M158" s="330">
        <v>0</v>
      </c>
      <c r="N158" s="351"/>
      <c r="O158" s="352"/>
    </row>
    <row r="159" spans="1:15">
      <c r="A159" s="277">
        <v>2</v>
      </c>
      <c r="B159" s="283" t="s">
        <v>564</v>
      </c>
      <c r="C159" s="214" t="s">
        <v>565</v>
      </c>
      <c r="D159" s="288">
        <f t="shared" si="6"/>
        <v>160394167</v>
      </c>
      <c r="E159" s="214"/>
      <c r="F159" s="214" t="s">
        <v>552</v>
      </c>
      <c r="G159" s="329">
        <f>+G157</f>
        <v>0.94023894581266276</v>
      </c>
      <c r="H159" s="214"/>
      <c r="I159" s="214">
        <f t="shared" si="5"/>
        <v>150808842.49458018</v>
      </c>
      <c r="J159" s="214"/>
      <c r="K159" s="284"/>
      <c r="L159" s="330">
        <v>160394167</v>
      </c>
      <c r="M159" s="330">
        <v>0</v>
      </c>
    </row>
    <row r="160" spans="1:15">
      <c r="A160" s="277">
        <v>3</v>
      </c>
      <c r="B160" s="283" t="s">
        <v>566</v>
      </c>
      <c r="C160" s="214" t="s">
        <v>567</v>
      </c>
      <c r="D160" s="288">
        <f t="shared" si="6"/>
        <v>301585983</v>
      </c>
      <c r="E160" s="214"/>
      <c r="F160" s="214" t="s">
        <v>482</v>
      </c>
      <c r="G160" s="329">
        <f>+G96</f>
        <v>6.3376849490335826E-2</v>
      </c>
      <c r="H160" s="214"/>
      <c r="I160" s="214">
        <f t="shared" si="5"/>
        <v>19113569.45298598</v>
      </c>
      <c r="J160" s="214"/>
      <c r="K160" s="284" t="s">
        <v>124</v>
      </c>
      <c r="L160" s="330">
        <v>259932118</v>
      </c>
      <c r="M160" s="330">
        <v>41653865</v>
      </c>
      <c r="N160" s="352"/>
    </row>
    <row r="161" spans="1:14">
      <c r="A161" s="277">
        <v>4</v>
      </c>
      <c r="B161" s="283" t="s">
        <v>568</v>
      </c>
      <c r="D161" s="288">
        <f t="shared" si="6"/>
        <v>0</v>
      </c>
      <c r="E161" s="214"/>
      <c r="F161" s="214" t="str">
        <f>+F160</f>
        <v>W/S</v>
      </c>
      <c r="G161" s="329">
        <f>+G160</f>
        <v>6.3376849490335826E-2</v>
      </c>
      <c r="H161" s="214"/>
      <c r="I161" s="214">
        <f t="shared" si="5"/>
        <v>0</v>
      </c>
      <c r="J161" s="214"/>
      <c r="L161" s="330">
        <v>0</v>
      </c>
      <c r="M161" s="330">
        <v>0</v>
      </c>
      <c r="N161" s="352"/>
    </row>
    <row r="162" spans="1:14">
      <c r="A162" s="277">
        <v>5</v>
      </c>
      <c r="B162" s="300" t="s">
        <v>569</v>
      </c>
      <c r="C162" s="284"/>
      <c r="D162" s="288">
        <f t="shared" si="6"/>
        <v>11349866</v>
      </c>
      <c r="E162" s="214"/>
      <c r="F162" s="214" t="str">
        <f>+F161</f>
        <v>W/S</v>
      </c>
      <c r="G162" s="329">
        <f>+G161</f>
        <v>6.3376849490335826E-2</v>
      </c>
      <c r="H162" s="214"/>
      <c r="I162" s="214">
        <f t="shared" si="5"/>
        <v>719318.74921747996</v>
      </c>
      <c r="J162" s="214"/>
      <c r="K162" s="284"/>
      <c r="L162" s="330">
        <v>9550850</v>
      </c>
      <c r="M162" s="330">
        <v>1799016</v>
      </c>
      <c r="N162" s="352"/>
    </row>
    <row r="163" spans="1:14">
      <c r="A163" s="277" t="s">
        <v>570</v>
      </c>
      <c r="B163" s="300" t="s">
        <v>571</v>
      </c>
      <c r="C163" s="284"/>
      <c r="D163" s="288">
        <f t="shared" si="6"/>
        <v>321572</v>
      </c>
      <c r="E163" s="214"/>
      <c r="F163" s="353" t="str">
        <f>+F157</f>
        <v>TE</v>
      </c>
      <c r="G163" s="341">
        <f>+G157</f>
        <v>0.94023894581266276</v>
      </c>
      <c r="H163" s="214"/>
      <c r="I163" s="214">
        <f t="shared" si="5"/>
        <v>302354.5182828696</v>
      </c>
      <c r="J163" s="214"/>
      <c r="K163" s="284"/>
      <c r="L163" s="330">
        <v>321572</v>
      </c>
      <c r="M163" s="330">
        <v>0</v>
      </c>
      <c r="N163" s="574" t="s">
        <v>896</v>
      </c>
    </row>
    <row r="164" spans="1:14" s="274" customFormat="1">
      <c r="A164" s="292">
        <v>6</v>
      </c>
      <c r="B164" s="300" t="s">
        <v>483</v>
      </c>
      <c r="C164" s="284" t="str">
        <f>+C97</f>
        <v>356.1</v>
      </c>
      <c r="D164" s="288">
        <f t="shared" si="6"/>
        <v>0</v>
      </c>
      <c r="E164" s="284"/>
      <c r="F164" s="284" t="s">
        <v>485</v>
      </c>
      <c r="G164" s="341">
        <f>+G97</f>
        <v>5.845848664086007E-2</v>
      </c>
      <c r="H164" s="284"/>
      <c r="I164" s="284">
        <f t="shared" si="5"/>
        <v>0</v>
      </c>
      <c r="J164" s="284"/>
      <c r="K164" s="284"/>
      <c r="L164" s="330">
        <v>0</v>
      </c>
      <c r="M164" s="330">
        <v>0</v>
      </c>
      <c r="N164" s="354"/>
    </row>
    <row r="165" spans="1:14" ht="16.5" thickBot="1">
      <c r="A165" s="277">
        <v>7</v>
      </c>
      <c r="B165" s="283" t="s">
        <v>572</v>
      </c>
      <c r="C165" s="214"/>
      <c r="D165" s="296">
        <f>L165+M165</f>
        <v>0</v>
      </c>
      <c r="E165" s="214"/>
      <c r="F165" s="214" t="s">
        <v>124</v>
      </c>
      <c r="G165" s="329">
        <v>1</v>
      </c>
      <c r="H165" s="214"/>
      <c r="I165" s="289">
        <f t="shared" si="5"/>
        <v>0</v>
      </c>
      <c r="J165" s="290"/>
      <c r="K165" s="284"/>
      <c r="L165" s="331">
        <v>0</v>
      </c>
      <c r="M165" s="331">
        <v>0</v>
      </c>
      <c r="N165" s="352"/>
    </row>
    <row r="166" spans="1:14">
      <c r="A166" s="277">
        <v>8</v>
      </c>
      <c r="B166" s="283" t="s">
        <v>573</v>
      </c>
      <c r="C166" s="214"/>
      <c r="D166" s="214">
        <f>+D157-D158-D159+D160-D161-D162+D164+D165+D163</f>
        <v>346336425.5</v>
      </c>
      <c r="E166" s="214"/>
      <c r="F166" s="214"/>
      <c r="G166" s="214"/>
      <c r="H166" s="214"/>
      <c r="I166" s="214">
        <f>+I157-I158-I159+I160-I161-I162+I164+I165+I163</f>
        <v>70607624.731332108</v>
      </c>
      <c r="J166" s="214"/>
      <c r="K166" s="284"/>
      <c r="L166" s="214">
        <f>+L157-L158-L159+L160-L161-L162+L164+L165+L163</f>
        <v>295567443.5</v>
      </c>
      <c r="M166" s="214">
        <f>+M157-M158-M159+M160-M161-M162+M164+M165+M163</f>
        <v>50768982</v>
      </c>
    </row>
    <row r="167" spans="1:14">
      <c r="A167" s="277"/>
      <c r="C167" s="214"/>
      <c r="E167" s="214"/>
      <c r="F167" s="214"/>
      <c r="G167" s="214"/>
      <c r="H167" s="214"/>
      <c r="K167" s="284"/>
    </row>
    <row r="168" spans="1:14">
      <c r="A168" s="277"/>
      <c r="B168" s="355" t="s">
        <v>574</v>
      </c>
      <c r="C168" s="214"/>
      <c r="D168" s="214"/>
      <c r="E168" s="214"/>
      <c r="F168" s="214"/>
      <c r="G168" s="214"/>
      <c r="H168" s="214"/>
      <c r="I168" s="214"/>
      <c r="J168" s="214"/>
      <c r="K168" s="284"/>
    </row>
    <row r="169" spans="1:14">
      <c r="A169" s="277">
        <v>9</v>
      </c>
      <c r="B169" s="283" t="str">
        <f>+B157</f>
        <v xml:space="preserve">  Transmission </v>
      </c>
      <c r="C169" s="284" t="s">
        <v>575</v>
      </c>
      <c r="D169" s="288">
        <f>L169+M169</f>
        <v>75042379.489999995</v>
      </c>
      <c r="E169" s="214"/>
      <c r="F169" s="214" t="s">
        <v>400</v>
      </c>
      <c r="G169" s="329">
        <f>+G120</f>
        <v>0.97511224938508201</v>
      </c>
      <c r="H169" s="214"/>
      <c r="I169" s="214">
        <f>+G169*D169</f>
        <v>73174743.463702843</v>
      </c>
      <c r="J169" s="214"/>
      <c r="K169" s="334"/>
      <c r="L169" s="330">
        <v>55026000</v>
      </c>
      <c r="M169" s="330">
        <v>20016379.489999998</v>
      </c>
      <c r="N169" s="388"/>
    </row>
    <row r="170" spans="1:14">
      <c r="A170" s="277" t="s">
        <v>576</v>
      </c>
      <c r="B170" s="274" t="s">
        <v>577</v>
      </c>
      <c r="C170" s="284" t="s">
        <v>578</v>
      </c>
      <c r="D170" s="288">
        <f>L170+M170</f>
        <v>-635223</v>
      </c>
      <c r="E170" s="214"/>
      <c r="F170" s="214" t="s">
        <v>400</v>
      </c>
      <c r="G170" s="329">
        <f>I234</f>
        <v>0.97511224938508201</v>
      </c>
      <c r="H170" s="214"/>
      <c r="I170" s="214">
        <f>+G170*D170</f>
        <v>-619413.72839114</v>
      </c>
      <c r="J170" s="214"/>
      <c r="K170" s="334"/>
      <c r="L170" s="330">
        <v>-635223</v>
      </c>
      <c r="M170" s="330">
        <v>0</v>
      </c>
    </row>
    <row r="171" spans="1:14">
      <c r="A171" s="277" t="s">
        <v>579</v>
      </c>
      <c r="B171" s="274" t="s">
        <v>580</v>
      </c>
      <c r="C171" s="284" t="s">
        <v>578</v>
      </c>
      <c r="D171" s="288">
        <f>L171+M171</f>
        <v>0</v>
      </c>
      <c r="E171" s="214"/>
      <c r="F171" s="214" t="s">
        <v>400</v>
      </c>
      <c r="G171" s="329">
        <f>I234</f>
        <v>0.97511224938508201</v>
      </c>
      <c r="H171" s="214"/>
      <c r="I171" s="214">
        <f>+G171*D171</f>
        <v>0</v>
      </c>
      <c r="J171" s="214"/>
      <c r="K171" s="334"/>
      <c r="L171" s="330">
        <v>0</v>
      </c>
      <c r="M171" s="330">
        <v>0</v>
      </c>
    </row>
    <row r="172" spans="1:14">
      <c r="A172" s="277">
        <v>10</v>
      </c>
      <c r="B172" s="355" t="s">
        <v>480</v>
      </c>
      <c r="C172" s="214" t="s">
        <v>581</v>
      </c>
      <c r="D172" s="288">
        <f>L172+M172</f>
        <v>36699255.659999996</v>
      </c>
      <c r="E172" s="214"/>
      <c r="F172" s="214" t="s">
        <v>482</v>
      </c>
      <c r="G172" s="329">
        <f>+G160</f>
        <v>6.3376849490335826E-2</v>
      </c>
      <c r="H172" s="214"/>
      <c r="I172" s="214">
        <f>+G172*D172</f>
        <v>2325883.2023711749</v>
      </c>
      <c r="J172" s="214"/>
      <c r="K172" s="334"/>
      <c r="L172" s="330">
        <v>31030000</v>
      </c>
      <c r="M172" s="330">
        <v>5669255.6600000001</v>
      </c>
    </row>
    <row r="173" spans="1:14" ht="16.5" thickBot="1">
      <c r="A173" s="277">
        <v>11</v>
      </c>
      <c r="B173" s="300" t="s">
        <v>582</v>
      </c>
      <c r="C173" s="214" t="s">
        <v>583</v>
      </c>
      <c r="D173" s="288">
        <f>L173+M173</f>
        <v>50630547.620000005</v>
      </c>
      <c r="E173" s="214"/>
      <c r="F173" s="214" t="s">
        <v>485</v>
      </c>
      <c r="G173" s="329">
        <f>+G164</f>
        <v>5.845848664086007E-2</v>
      </c>
      <c r="H173" s="214"/>
      <c r="I173" s="289">
        <f>+G173*D173</f>
        <v>2959785.1916632</v>
      </c>
      <c r="J173" s="290"/>
      <c r="K173" s="334"/>
      <c r="L173" s="331">
        <v>43293000</v>
      </c>
      <c r="M173" s="331">
        <v>7337547.620000001</v>
      </c>
    </row>
    <row r="174" spans="1:14">
      <c r="A174" s="277">
        <v>12</v>
      </c>
      <c r="B174" s="283" t="s">
        <v>584</v>
      </c>
      <c r="C174" s="214"/>
      <c r="D174" s="336">
        <f>SUM(D169:D173)</f>
        <v>161736959.76999998</v>
      </c>
      <c r="E174" s="214"/>
      <c r="F174" s="214"/>
      <c r="G174" s="214"/>
      <c r="H174" s="214"/>
      <c r="I174" s="214">
        <f>SUM(I169:I173)</f>
        <v>77840998.129346088</v>
      </c>
      <c r="J174" s="214"/>
      <c r="K174" s="284"/>
      <c r="L174" s="214">
        <f>SUM(L169:L173)</f>
        <v>128713777</v>
      </c>
      <c r="M174" s="214">
        <f>SUM(M169:M173)</f>
        <v>33023182.77</v>
      </c>
    </row>
    <row r="175" spans="1:14">
      <c r="A175" s="277"/>
      <c r="B175" s="283"/>
      <c r="C175" s="214"/>
      <c r="D175" s="214"/>
      <c r="E175" s="214"/>
      <c r="F175" s="214"/>
      <c r="G175" s="214"/>
      <c r="H175" s="214"/>
      <c r="I175" s="214"/>
      <c r="J175" s="214"/>
      <c r="K175" s="284"/>
    </row>
    <row r="176" spans="1:14">
      <c r="A176" s="277" t="s">
        <v>124</v>
      </c>
      <c r="B176" s="283" t="s">
        <v>585</v>
      </c>
      <c r="D176" s="214"/>
      <c r="E176" s="214"/>
      <c r="F176" s="214"/>
      <c r="G176" s="214"/>
      <c r="H176" s="214"/>
      <c r="I176" s="214"/>
      <c r="J176" s="214"/>
      <c r="K176" s="284"/>
    </row>
    <row r="177" spans="1:14">
      <c r="A177" s="277"/>
      <c r="B177" s="283" t="s">
        <v>586</v>
      </c>
      <c r="E177" s="214"/>
      <c r="F177" s="214"/>
      <c r="H177" s="214"/>
      <c r="K177" s="334"/>
    </row>
    <row r="178" spans="1:14">
      <c r="A178" s="277">
        <v>13</v>
      </c>
      <c r="B178" s="283" t="s">
        <v>587</v>
      </c>
      <c r="C178" s="214" t="s">
        <v>588</v>
      </c>
      <c r="D178" s="288">
        <f>L178+M178</f>
        <v>39630720</v>
      </c>
      <c r="E178" s="214"/>
      <c r="F178" s="214" t="s">
        <v>482</v>
      </c>
      <c r="G178" s="286">
        <f>+G172</f>
        <v>6.3376849490335826E-2</v>
      </c>
      <c r="H178" s="214"/>
      <c r="I178" s="214">
        <f>+G178*D178</f>
        <v>2511670.1766336421</v>
      </c>
      <c r="J178" s="214"/>
      <c r="K178" s="334"/>
      <c r="L178" s="330">
        <v>36180261</v>
      </c>
      <c r="M178" s="330">
        <v>3450459</v>
      </c>
    </row>
    <row r="179" spans="1:14">
      <c r="A179" s="277">
        <v>14</v>
      </c>
      <c r="B179" s="283" t="s">
        <v>589</v>
      </c>
      <c r="C179" s="214" t="str">
        <f>+C178</f>
        <v>263.i</v>
      </c>
      <c r="D179" s="288">
        <f>L179+M179</f>
        <v>0</v>
      </c>
      <c r="E179" s="214"/>
      <c r="F179" s="214" t="str">
        <f>+F178</f>
        <v>W/S</v>
      </c>
      <c r="G179" s="286">
        <f>+G178</f>
        <v>6.3376849490335826E-2</v>
      </c>
      <c r="H179" s="214"/>
      <c r="I179" s="214">
        <f>+G179*D179</f>
        <v>0</v>
      </c>
      <c r="J179" s="214"/>
      <c r="K179" s="334"/>
      <c r="L179" s="330">
        <v>0</v>
      </c>
      <c r="M179" s="351">
        <v>0</v>
      </c>
      <c r="N179" s="351"/>
    </row>
    <row r="180" spans="1:14">
      <c r="A180" s="277">
        <v>15</v>
      </c>
      <c r="B180" s="283" t="s">
        <v>590</v>
      </c>
      <c r="C180" s="214" t="s">
        <v>124</v>
      </c>
      <c r="D180" s="356"/>
      <c r="E180" s="214"/>
      <c r="F180" s="214"/>
      <c r="H180" s="214"/>
      <c r="K180" s="334"/>
      <c r="L180" s="356"/>
      <c r="M180" s="356"/>
    </row>
    <row r="181" spans="1:14">
      <c r="A181" s="277">
        <v>16</v>
      </c>
      <c r="B181" s="283" t="s">
        <v>591</v>
      </c>
      <c r="C181" s="214" t="s">
        <v>588</v>
      </c>
      <c r="D181" s="288">
        <f>L181+M181</f>
        <v>189111000</v>
      </c>
      <c r="E181" s="214"/>
      <c r="F181" s="214" t="s">
        <v>555</v>
      </c>
      <c r="G181" s="286">
        <f>+G90</f>
        <v>0.19718674032865396</v>
      </c>
      <c r="H181" s="214"/>
      <c r="I181" s="214">
        <f>+G181*D181</f>
        <v>37290181.650292076</v>
      </c>
      <c r="J181" s="214"/>
      <c r="K181" s="334"/>
      <c r="L181" s="330">
        <v>188461000</v>
      </c>
      <c r="M181" s="330">
        <v>650000</v>
      </c>
    </row>
    <row r="182" spans="1:14">
      <c r="A182" s="277">
        <v>17</v>
      </c>
      <c r="B182" s="283" t="s">
        <v>592</v>
      </c>
      <c r="C182" s="214" t="s">
        <v>588</v>
      </c>
      <c r="D182" s="288">
        <f>L182+M182</f>
        <v>20365110</v>
      </c>
      <c r="E182" s="214"/>
      <c r="F182" s="284" t="str">
        <f>+F111</f>
        <v>NA</v>
      </c>
      <c r="G182" s="357" t="s">
        <v>508</v>
      </c>
      <c r="H182" s="214"/>
      <c r="I182" s="214">
        <v>0</v>
      </c>
      <c r="J182" s="214"/>
      <c r="K182" s="334"/>
      <c r="L182" s="330">
        <v>0</v>
      </c>
      <c r="M182" s="330">
        <v>20365110</v>
      </c>
      <c r="N182" s="351"/>
    </row>
    <row r="183" spans="1:14">
      <c r="A183" s="277">
        <v>18</v>
      </c>
      <c r="B183" s="283" t="s">
        <v>593</v>
      </c>
      <c r="C183" s="214" t="str">
        <f>+C182</f>
        <v>263.i</v>
      </c>
      <c r="D183" s="288">
        <f>L183+M183</f>
        <v>0</v>
      </c>
      <c r="E183" s="214"/>
      <c r="F183" s="214" t="str">
        <f>+F181</f>
        <v>GP</v>
      </c>
      <c r="G183" s="286">
        <f>+G181</f>
        <v>0.19718674032865396</v>
      </c>
      <c r="H183" s="214"/>
      <c r="I183" s="214">
        <f>+G183*D183</f>
        <v>0</v>
      </c>
      <c r="J183" s="214"/>
      <c r="K183" s="334"/>
      <c r="L183" s="284">
        <v>0</v>
      </c>
      <c r="M183" s="284">
        <v>0</v>
      </c>
    </row>
    <row r="184" spans="1:14" ht="16.5" thickBot="1">
      <c r="A184" s="277">
        <v>19</v>
      </c>
      <c r="B184" s="283" t="s">
        <v>594</v>
      </c>
      <c r="C184" s="214"/>
      <c r="D184" s="288">
        <f>L184+M184</f>
        <v>0</v>
      </c>
      <c r="E184" s="214"/>
      <c r="F184" s="214" t="s">
        <v>555</v>
      </c>
      <c r="G184" s="286">
        <f>+G181</f>
        <v>0.19718674032865396</v>
      </c>
      <c r="H184" s="214"/>
      <c r="I184" s="289">
        <f>+G184*D184</f>
        <v>0</v>
      </c>
      <c r="J184" s="290"/>
      <c r="K184" s="334"/>
      <c r="L184" s="331">
        <v>0</v>
      </c>
      <c r="M184" s="331">
        <v>0</v>
      </c>
    </row>
    <row r="185" spans="1:14">
      <c r="A185" s="277">
        <v>20</v>
      </c>
      <c r="B185" s="283" t="s">
        <v>595</v>
      </c>
      <c r="C185" s="214"/>
      <c r="D185" s="336">
        <f>SUM(D178:D184)</f>
        <v>249106830</v>
      </c>
      <c r="E185" s="214"/>
      <c r="F185" s="214"/>
      <c r="G185" s="286"/>
      <c r="H185" s="214"/>
      <c r="I185" s="214">
        <f>SUM(I178:I184)</f>
        <v>39801851.826925717</v>
      </c>
      <c r="J185" s="214"/>
      <c r="K185" s="284"/>
      <c r="L185" s="214">
        <f>SUM(L178:L184)</f>
        <v>224641261</v>
      </c>
      <c r="M185" s="214">
        <f>SUM(M178:M184)</f>
        <v>24465569</v>
      </c>
    </row>
    <row r="186" spans="1:14">
      <c r="A186" s="277"/>
      <c r="B186" s="283"/>
      <c r="C186" s="214"/>
      <c r="D186" s="214"/>
      <c r="E186" s="214"/>
      <c r="F186" s="214"/>
      <c r="G186" s="286"/>
      <c r="H186" s="214"/>
      <c r="I186" s="214"/>
      <c r="J186" s="214"/>
      <c r="K186" s="284"/>
    </row>
    <row r="187" spans="1:14">
      <c r="A187" s="277" t="s">
        <v>124</v>
      </c>
      <c r="B187" s="283" t="s">
        <v>596</v>
      </c>
      <c r="C187" s="214" t="s">
        <v>597</v>
      </c>
      <c r="D187" s="214"/>
      <c r="E187" s="214"/>
      <c r="G187" s="358"/>
      <c r="H187" s="214"/>
    </row>
    <row r="188" spans="1:14">
      <c r="A188" s="277">
        <v>21</v>
      </c>
      <c r="B188" s="359" t="s">
        <v>598</v>
      </c>
      <c r="C188" s="214"/>
      <c r="D188" s="360">
        <f>IF(D327&gt;0,1-(((1-D328)*(1-D327))/(1-D328*D327*D329)),0)</f>
        <v>0.40868850000000001</v>
      </c>
      <c r="E188" s="214"/>
      <c r="G188" s="358"/>
      <c r="H188" s="214"/>
    </row>
    <row r="189" spans="1:14">
      <c r="A189" s="277">
        <v>22</v>
      </c>
      <c r="B189" s="267" t="s">
        <v>599</v>
      </c>
      <c r="C189" s="214"/>
      <c r="D189" s="360">
        <f>IF(I275&gt;0,(D188/(1-D188))*(1-I272/I275),0)</f>
        <v>0.51063025119943461</v>
      </c>
      <c r="E189" s="214"/>
      <c r="G189" s="358"/>
      <c r="H189" s="214"/>
    </row>
    <row r="190" spans="1:14">
      <c r="A190" s="277"/>
      <c r="B190" s="283" t="s">
        <v>600</v>
      </c>
      <c r="C190" s="214"/>
      <c r="D190" s="214"/>
      <c r="E190" s="214"/>
      <c r="G190" s="358"/>
      <c r="H190" s="214"/>
    </row>
    <row r="191" spans="1:14">
      <c r="A191" s="277"/>
      <c r="B191" s="283" t="s">
        <v>601</v>
      </c>
      <c r="C191" s="214"/>
      <c r="D191" s="214"/>
      <c r="E191" s="214"/>
      <c r="G191" s="358"/>
      <c r="H191" s="214"/>
    </row>
    <row r="192" spans="1:14">
      <c r="A192" s="277">
        <v>23</v>
      </c>
      <c r="B192" s="359" t="s">
        <v>602</v>
      </c>
      <c r="C192" s="214"/>
      <c r="D192" s="361">
        <f>IF(D188&gt;0,1/(1-D188),0)</f>
        <v>1.6911560150614355</v>
      </c>
      <c r="E192" s="214"/>
      <c r="G192" s="358"/>
      <c r="H192" s="214"/>
    </row>
    <row r="193" spans="1:14">
      <c r="A193" s="277">
        <v>24</v>
      </c>
      <c r="B193" s="283" t="s">
        <v>603</v>
      </c>
      <c r="C193" s="214"/>
      <c r="D193" s="288">
        <f>L193+M193</f>
        <v>-2920833</v>
      </c>
      <c r="E193" s="214"/>
      <c r="G193" s="358"/>
      <c r="H193" s="214"/>
      <c r="L193" s="330">
        <v>-2281000</v>
      </c>
      <c r="M193" s="330">
        <v>-639833</v>
      </c>
      <c r="N193" s="351"/>
    </row>
    <row r="194" spans="1:14">
      <c r="A194" s="277"/>
      <c r="B194" s="283"/>
      <c r="C194" s="214"/>
      <c r="D194" s="214"/>
      <c r="E194" s="214"/>
      <c r="G194" s="358"/>
      <c r="H194" s="214"/>
    </row>
    <row r="195" spans="1:14">
      <c r="A195" s="277">
        <v>25</v>
      </c>
      <c r="B195" s="359" t="s">
        <v>604</v>
      </c>
      <c r="C195" s="362"/>
      <c r="D195" s="214">
        <f>D189*D199</f>
        <v>360727236.94501609</v>
      </c>
      <c r="E195" s="214"/>
      <c r="F195" s="214" t="s">
        <v>475</v>
      </c>
      <c r="G195" s="286"/>
      <c r="H195" s="214"/>
      <c r="I195" s="214">
        <f>D189*I199</f>
        <v>96206161.334265456</v>
      </c>
      <c r="J195" s="214"/>
      <c r="K195" s="363" t="s">
        <v>124</v>
      </c>
    </row>
    <row r="196" spans="1:14" ht="16.5" thickBot="1">
      <c r="A196" s="277">
        <v>26</v>
      </c>
      <c r="B196" s="267" t="s">
        <v>605</v>
      </c>
      <c r="C196" s="362"/>
      <c r="D196" s="289">
        <f>D192*D193</f>
        <v>-4939584.2969399383</v>
      </c>
      <c r="E196" s="214"/>
      <c r="F196" s="267" t="s">
        <v>511</v>
      </c>
      <c r="G196" s="286">
        <f>G106</f>
        <v>0.23604969273985033</v>
      </c>
      <c r="H196" s="214"/>
      <c r="I196" s="289">
        <f>G196*D196</f>
        <v>-1165987.355555262</v>
      </c>
      <c r="J196" s="290"/>
      <c r="K196" s="363"/>
    </row>
    <row r="197" spans="1:14">
      <c r="A197" s="277">
        <v>27</v>
      </c>
      <c r="B197" s="364" t="s">
        <v>606</v>
      </c>
      <c r="C197" s="267" t="s">
        <v>607</v>
      </c>
      <c r="D197" s="365">
        <f>+D195+D196</f>
        <v>355787652.64807618</v>
      </c>
      <c r="E197" s="214"/>
      <c r="F197" s="214" t="s">
        <v>124</v>
      </c>
      <c r="G197" s="286" t="s">
        <v>124</v>
      </c>
      <c r="H197" s="214"/>
      <c r="I197" s="365">
        <f>+I195+I196</f>
        <v>95040173.978710189</v>
      </c>
      <c r="J197" s="365"/>
      <c r="K197" s="284"/>
    </row>
    <row r="198" spans="1:14">
      <c r="A198" s="277" t="s">
        <v>124</v>
      </c>
      <c r="C198" s="366"/>
      <c r="D198" s="214"/>
      <c r="E198" s="214"/>
      <c r="F198" s="214"/>
      <c r="G198" s="286"/>
      <c r="H198" s="214"/>
      <c r="I198" s="214"/>
      <c r="J198" s="214"/>
      <c r="K198" s="284"/>
    </row>
    <row r="199" spans="1:14">
      <c r="A199" s="277">
        <v>28</v>
      </c>
      <c r="B199" s="283" t="s">
        <v>608</v>
      </c>
      <c r="C199" s="333"/>
      <c r="D199" s="214">
        <f>+$I275*D128</f>
        <v>706435304.40606117</v>
      </c>
      <c r="E199" s="214"/>
      <c r="F199" s="214" t="s">
        <v>475</v>
      </c>
      <c r="G199" s="358"/>
      <c r="H199" s="214"/>
      <c r="I199" s="214">
        <f>+$I275*I128</f>
        <v>188406701.53850842</v>
      </c>
      <c r="J199" s="214"/>
    </row>
    <row r="200" spans="1:14">
      <c r="A200" s="277"/>
      <c r="B200" s="364" t="s">
        <v>609</v>
      </c>
      <c r="D200" s="214"/>
      <c r="E200" s="214"/>
      <c r="F200" s="214"/>
      <c r="G200" s="358"/>
      <c r="H200" s="214"/>
      <c r="I200" s="214"/>
      <c r="J200" s="214"/>
      <c r="K200" s="334"/>
    </row>
    <row r="201" spans="1:14" ht="16.5" thickBot="1">
      <c r="A201" s="277"/>
      <c r="B201" s="283"/>
      <c r="D201" s="289"/>
      <c r="E201" s="214"/>
      <c r="F201" s="214"/>
      <c r="G201" s="358"/>
      <c r="H201" s="214"/>
      <c r="I201" s="289"/>
      <c r="J201" s="290"/>
      <c r="K201" s="334"/>
    </row>
    <row r="202" spans="1:14">
      <c r="A202" s="277">
        <v>29</v>
      </c>
      <c r="B202" s="283" t="s">
        <v>610</v>
      </c>
      <c r="C202" s="214"/>
      <c r="D202" s="336">
        <f>+D199+D197+D185+D174+D166</f>
        <v>1819403172.3241372</v>
      </c>
      <c r="E202" s="214"/>
      <c r="F202" s="214"/>
      <c r="G202" s="214"/>
      <c r="H202" s="214"/>
      <c r="I202" s="290">
        <f>+I199+I197+I185+I174+I166</f>
        <v>471697350.20482248</v>
      </c>
      <c r="J202" s="290"/>
      <c r="K202" s="300"/>
    </row>
    <row r="203" spans="1:14">
      <c r="A203" s="277"/>
      <c r="B203" s="283"/>
      <c r="C203" s="214"/>
      <c r="D203" s="290"/>
      <c r="E203" s="214"/>
      <c r="F203" s="214"/>
      <c r="G203" s="214"/>
      <c r="H203" s="214"/>
      <c r="I203" s="290"/>
      <c r="J203" s="290"/>
      <c r="K203" s="300"/>
    </row>
    <row r="204" spans="1:14">
      <c r="A204" s="277">
        <v>30</v>
      </c>
      <c r="B204" s="283" t="s">
        <v>611</v>
      </c>
      <c r="C204" s="214"/>
      <c r="J204" s="290"/>
      <c r="K204" s="300"/>
    </row>
    <row r="205" spans="1:14">
      <c r="A205" s="277"/>
      <c r="B205" s="283" t="s">
        <v>612</v>
      </c>
      <c r="C205" s="214"/>
      <c r="D205" s="290"/>
      <c r="E205" s="214"/>
      <c r="F205" s="214"/>
      <c r="G205" s="214"/>
      <c r="H205" s="214"/>
      <c r="I205" s="290"/>
      <c r="J205" s="290"/>
      <c r="K205" s="300"/>
    </row>
    <row r="206" spans="1:14">
      <c r="A206" s="277"/>
      <c r="B206" s="283" t="s">
        <v>613</v>
      </c>
      <c r="C206" s="214"/>
      <c r="D206" s="294">
        <f>L206</f>
        <v>60449994.58032091</v>
      </c>
      <c r="E206" s="214"/>
      <c r="F206" s="214"/>
      <c r="G206" s="214"/>
      <c r="H206" s="214"/>
      <c r="I206" s="294">
        <f>D206</f>
        <v>60449994.58032091</v>
      </c>
      <c r="J206" s="290"/>
      <c r="K206" s="300"/>
      <c r="L206" s="330">
        <v>60449994.58032091</v>
      </c>
    </row>
    <row r="207" spans="1:14">
      <c r="A207" s="277"/>
      <c r="B207" s="283"/>
      <c r="C207" s="214"/>
      <c r="D207" s="290"/>
      <c r="E207" s="214"/>
      <c r="F207" s="214"/>
      <c r="G207" s="214"/>
      <c r="H207" s="214"/>
      <c r="I207" s="290"/>
      <c r="J207" s="290"/>
      <c r="K207" s="300"/>
    </row>
    <row r="208" spans="1:14">
      <c r="A208" s="277" t="s">
        <v>614</v>
      </c>
      <c r="B208" s="283" t="s">
        <v>897</v>
      </c>
      <c r="C208" s="214"/>
      <c r="K208" s="300"/>
    </row>
    <row r="209" spans="1:12">
      <c r="A209" s="277"/>
      <c r="B209" s="283" t="s">
        <v>612</v>
      </c>
      <c r="C209" s="214"/>
      <c r="D209" s="290"/>
      <c r="E209" s="214"/>
      <c r="F209" s="214"/>
      <c r="G209" s="214"/>
      <c r="H209" s="214"/>
      <c r="I209" s="290"/>
      <c r="J209" s="290"/>
      <c r="K209" s="300"/>
    </row>
    <row r="210" spans="1:12" ht="16.5" thickBot="1">
      <c r="A210" s="277"/>
      <c r="B210" s="283" t="s">
        <v>616</v>
      </c>
      <c r="C210" s="214"/>
      <c r="D210" s="296">
        <f>L210</f>
        <v>52232422.640039086</v>
      </c>
      <c r="E210" s="214"/>
      <c r="F210" s="214"/>
      <c r="G210" s="214"/>
      <c r="H210" s="214"/>
      <c r="I210" s="296">
        <f>D210</f>
        <v>52232422.640039086</v>
      </c>
      <c r="J210" s="295"/>
      <c r="K210" s="300"/>
      <c r="L210" s="330">
        <v>52232422.640039086</v>
      </c>
    </row>
    <row r="211" spans="1:12" ht="16.5" thickBot="1">
      <c r="A211" s="277">
        <v>31</v>
      </c>
      <c r="B211" s="283" t="s">
        <v>617</v>
      </c>
      <c r="C211" s="214"/>
      <c r="D211" s="367">
        <f>+D202-D206-D210</f>
        <v>1706720755.1037774</v>
      </c>
      <c r="E211" s="214"/>
      <c r="F211" s="214"/>
      <c r="G211" s="214"/>
      <c r="H211" s="214"/>
      <c r="I211" s="367">
        <f>+I202-I206-I210</f>
        <v>359014932.9844625</v>
      </c>
      <c r="J211" s="290"/>
      <c r="K211" s="300"/>
    </row>
    <row r="212" spans="1:12" ht="16.5" thickTop="1">
      <c r="A212" s="277"/>
      <c r="B212" s="283" t="s">
        <v>618</v>
      </c>
      <c r="C212" s="214"/>
      <c r="D212" s="290"/>
      <c r="E212" s="214"/>
      <c r="F212" s="214"/>
      <c r="G212" s="214"/>
      <c r="H212" s="214"/>
      <c r="I212" s="290"/>
      <c r="J212" s="290"/>
      <c r="K212" s="300"/>
    </row>
    <row r="213" spans="1:12">
      <c r="A213" s="277"/>
      <c r="B213" s="283"/>
      <c r="C213" s="214"/>
      <c r="D213" s="290"/>
      <c r="E213" s="214"/>
      <c r="F213" s="214"/>
      <c r="G213" s="214"/>
      <c r="H213" s="214"/>
      <c r="I213" s="290"/>
      <c r="J213" s="290"/>
      <c r="K213" s="300"/>
    </row>
    <row r="214" spans="1:12">
      <c r="A214" s="277"/>
      <c r="B214" s="283"/>
      <c r="C214" s="214"/>
      <c r="D214" s="290"/>
      <c r="E214" s="214"/>
      <c r="F214" s="214"/>
      <c r="G214" s="214"/>
      <c r="H214" s="214"/>
      <c r="I214" s="290"/>
      <c r="J214" s="290"/>
      <c r="K214" s="300"/>
    </row>
    <row r="215" spans="1:12">
      <c r="A215" s="277"/>
      <c r="B215" s="283"/>
      <c r="C215" s="214"/>
      <c r="D215" s="290"/>
      <c r="E215" s="214"/>
      <c r="F215" s="214"/>
      <c r="G215" s="214"/>
      <c r="H215" s="214"/>
      <c r="I215" s="290"/>
      <c r="J215" s="290"/>
      <c r="K215" s="300"/>
    </row>
    <row r="216" spans="1:12">
      <c r="A216" s="277"/>
      <c r="B216" s="283"/>
      <c r="C216" s="214"/>
      <c r="D216" s="290"/>
      <c r="E216" s="214"/>
      <c r="F216" s="214"/>
      <c r="G216" s="214"/>
      <c r="H216" s="214"/>
      <c r="I216" s="290"/>
      <c r="J216" s="290"/>
      <c r="K216" s="300"/>
    </row>
    <row r="217" spans="1:12">
      <c r="A217" s="277"/>
      <c r="B217" s="283"/>
      <c r="C217" s="214"/>
      <c r="D217" s="290"/>
      <c r="E217" s="214"/>
      <c r="F217" s="214"/>
      <c r="G217" s="214"/>
      <c r="H217" s="214"/>
      <c r="I217" s="290"/>
      <c r="J217" s="290"/>
      <c r="K217" s="300"/>
    </row>
    <row r="218" spans="1:12">
      <c r="A218" s="277"/>
      <c r="B218" s="283"/>
      <c r="C218" s="214"/>
      <c r="D218" s="290"/>
      <c r="E218" s="214"/>
      <c r="F218" s="214"/>
      <c r="G218" s="214"/>
      <c r="H218" s="214"/>
      <c r="I218" s="290"/>
      <c r="J218" s="290"/>
      <c r="K218" s="300"/>
    </row>
    <row r="219" spans="1:12">
      <c r="A219" s="277"/>
      <c r="B219" s="283"/>
      <c r="C219" s="214"/>
      <c r="D219" s="290"/>
      <c r="E219" s="214"/>
      <c r="F219" s="214"/>
      <c r="G219" s="214"/>
      <c r="H219" s="214"/>
      <c r="I219" s="290"/>
      <c r="J219" s="290"/>
      <c r="K219" s="300"/>
    </row>
    <row r="220" spans="1:12">
      <c r="A220" s="277"/>
      <c r="B220" s="283"/>
      <c r="C220" s="214"/>
      <c r="D220" s="290"/>
      <c r="E220" s="214"/>
      <c r="F220" s="214"/>
      <c r="G220" s="214"/>
      <c r="H220" s="214"/>
      <c r="I220" s="290"/>
      <c r="J220" s="290"/>
      <c r="K220" s="300"/>
    </row>
    <row r="221" spans="1:12">
      <c r="B221" s="268"/>
      <c r="C221" s="268"/>
      <c r="D221" s="269"/>
      <c r="E221" s="268"/>
      <c r="F221" s="268"/>
      <c r="G221" s="268"/>
      <c r="H221" s="268"/>
      <c r="I221" s="271"/>
      <c r="J221" s="271"/>
      <c r="K221" s="272" t="s">
        <v>619</v>
      </c>
    </row>
    <row r="222" spans="1:12">
      <c r="B222" s="268" t="s">
        <v>389</v>
      </c>
      <c r="C222" s="268"/>
      <c r="D222" s="269" t="s">
        <v>390</v>
      </c>
      <c r="E222" s="268"/>
      <c r="F222" s="268"/>
      <c r="G222" s="268"/>
      <c r="H222" s="268"/>
      <c r="K222" s="271" t="str">
        <f>K3</f>
        <v>For the 12 months ended 12/31/14</v>
      </c>
    </row>
    <row r="223" spans="1:12">
      <c r="B223" s="268"/>
      <c r="C223" s="268"/>
      <c r="D223" s="214" t="s">
        <v>391</v>
      </c>
      <c r="E223" s="268"/>
      <c r="F223" s="268"/>
      <c r="G223" s="268"/>
      <c r="H223" s="268"/>
      <c r="I223" s="268"/>
      <c r="J223" s="268"/>
      <c r="K223" s="316"/>
    </row>
    <row r="224" spans="1:12" ht="11.25" customHeight="1">
      <c r="B224" s="268"/>
      <c r="C224" s="268"/>
      <c r="D224" s="214"/>
      <c r="E224" s="268"/>
      <c r="F224" s="268"/>
      <c r="G224" s="268"/>
      <c r="H224" s="268"/>
      <c r="I224" s="268"/>
      <c r="J224" s="268"/>
      <c r="K224" s="316"/>
    </row>
    <row r="225" spans="1:14">
      <c r="A225" s="874" t="str">
        <f>A6</f>
        <v>Northern States Power Companies</v>
      </c>
      <c r="B225" s="874"/>
      <c r="C225" s="874"/>
      <c r="D225" s="874"/>
      <c r="E225" s="874"/>
      <c r="F225" s="874"/>
      <c r="G225" s="874"/>
      <c r="H225" s="874"/>
      <c r="I225" s="874"/>
      <c r="J225" s="874"/>
      <c r="K225" s="874"/>
      <c r="L225" s="570" t="s">
        <v>465</v>
      </c>
      <c r="M225" s="570" t="s">
        <v>466</v>
      </c>
    </row>
    <row r="226" spans="1:14">
      <c r="B226" s="268"/>
      <c r="C226" s="268"/>
      <c r="D226" s="274"/>
      <c r="E226" s="342"/>
      <c r="F226" s="342"/>
      <c r="G226" s="342"/>
      <c r="H226" s="268"/>
      <c r="I226" s="268"/>
      <c r="J226" s="268"/>
      <c r="K226" s="300"/>
      <c r="L226" s="570"/>
      <c r="M226" s="570"/>
    </row>
    <row r="227" spans="1:14">
      <c r="A227" s="277" t="s">
        <v>165</v>
      </c>
      <c r="B227" s="268"/>
      <c r="C227" s="327" t="s">
        <v>620</v>
      </c>
      <c r="E227" s="214"/>
      <c r="F227" s="214"/>
      <c r="G227" s="214"/>
      <c r="H227" s="268"/>
      <c r="I227" s="268"/>
      <c r="J227" s="268"/>
      <c r="K227" s="300"/>
      <c r="L227" s="570" t="s">
        <v>142</v>
      </c>
      <c r="M227" s="570" t="s">
        <v>142</v>
      </c>
    </row>
    <row r="228" spans="1:14" ht="16.5" thickBot="1">
      <c r="A228" s="279" t="s">
        <v>141</v>
      </c>
      <c r="B228" s="342" t="s">
        <v>621</v>
      </c>
      <c r="C228" s="300"/>
      <c r="D228" s="300"/>
      <c r="E228" s="300"/>
      <c r="F228" s="300"/>
      <c r="G228" s="300"/>
      <c r="H228" s="274"/>
      <c r="I228" s="274"/>
      <c r="J228" s="274"/>
      <c r="K228" s="284"/>
    </row>
    <row r="229" spans="1:14">
      <c r="A229" s="277">
        <v>1</v>
      </c>
      <c r="B229" s="342" t="s">
        <v>622</v>
      </c>
      <c r="C229" s="300"/>
      <c r="D229" s="284"/>
      <c r="E229" s="284"/>
      <c r="F229" s="284"/>
      <c r="G229" s="284"/>
      <c r="H229" s="284"/>
      <c r="I229" s="284">
        <f>D86</f>
        <v>3255473757.0953846</v>
      </c>
      <c r="J229" s="284"/>
      <c r="K229" s="284"/>
    </row>
    <row r="230" spans="1:14">
      <c r="A230" s="277">
        <v>2</v>
      </c>
      <c r="B230" s="342" t="s">
        <v>623</v>
      </c>
      <c r="C230" s="274"/>
      <c r="D230" s="368"/>
      <c r="E230" s="274"/>
      <c r="F230" s="274"/>
      <c r="G230" s="274"/>
      <c r="H230" s="274"/>
      <c r="I230" s="288">
        <f>L230+M230</f>
        <v>0</v>
      </c>
      <c r="J230" s="284"/>
      <c r="K230" s="284"/>
      <c r="L230" s="351">
        <v>0</v>
      </c>
      <c r="M230" s="330">
        <v>0</v>
      </c>
    </row>
    <row r="231" spans="1:14" ht="16.5" thickBot="1">
      <c r="A231" s="277">
        <v>3</v>
      </c>
      <c r="B231" s="575" t="s">
        <v>624</v>
      </c>
      <c r="C231" s="576"/>
      <c r="D231" s="295"/>
      <c r="E231" s="284"/>
      <c r="F231" s="284"/>
      <c r="G231" s="556"/>
      <c r="H231" s="284"/>
      <c r="I231" s="288">
        <f>L231+M231</f>
        <v>81021419</v>
      </c>
      <c r="J231" s="284"/>
      <c r="K231" s="284"/>
      <c r="L231" s="340">
        <v>71887000</v>
      </c>
      <c r="M231" s="340">
        <v>9134419</v>
      </c>
      <c r="N231" s="351"/>
    </row>
    <row r="232" spans="1:14">
      <c r="A232" s="277">
        <v>4</v>
      </c>
      <c r="B232" s="342" t="s">
        <v>625</v>
      </c>
      <c r="C232" s="300"/>
      <c r="D232" s="295"/>
      <c r="E232" s="284"/>
      <c r="F232" s="284"/>
      <c r="G232" s="556"/>
      <c r="H232" s="284"/>
      <c r="I232" s="371">
        <f>I229-I230-I231</f>
        <v>3174452338.0953846</v>
      </c>
      <c r="J232" s="295"/>
      <c r="K232" s="284"/>
    </row>
    <row r="233" spans="1:14" ht="11.25" customHeight="1">
      <c r="A233" s="277"/>
      <c r="B233" s="274"/>
      <c r="C233" s="300"/>
      <c r="D233" s="295"/>
      <c r="E233" s="284"/>
      <c r="F233" s="284"/>
      <c r="G233" s="556"/>
      <c r="H233" s="284"/>
      <c r="I233" s="274"/>
      <c r="J233" s="274"/>
      <c r="K233" s="284"/>
    </row>
    <row r="234" spans="1:14">
      <c r="A234" s="277">
        <v>5</v>
      </c>
      <c r="B234" s="342" t="s">
        <v>626</v>
      </c>
      <c r="C234" s="374"/>
      <c r="D234" s="373"/>
      <c r="E234" s="374"/>
      <c r="F234" s="374"/>
      <c r="G234" s="557"/>
      <c r="H234" s="284" t="s">
        <v>627</v>
      </c>
      <c r="I234" s="339">
        <f>IF(I229&gt;0,I232/I229,0)</f>
        <v>0.97511224938508201</v>
      </c>
      <c r="J234" s="339"/>
      <c r="K234" s="284"/>
    </row>
    <row r="235" spans="1:14" ht="11.25" customHeight="1">
      <c r="A235" s="277"/>
      <c r="B235" s="274"/>
      <c r="C235" s="274"/>
      <c r="D235" s="368"/>
      <c r="E235" s="274"/>
      <c r="F235" s="274"/>
      <c r="G235" s="274"/>
      <c r="H235" s="274"/>
      <c r="I235" s="274"/>
      <c r="J235" s="274"/>
      <c r="K235" s="284"/>
    </row>
    <row r="236" spans="1:14">
      <c r="A236" s="277"/>
      <c r="B236" s="300" t="s">
        <v>628</v>
      </c>
      <c r="C236" s="274"/>
      <c r="D236" s="368"/>
      <c r="E236" s="274"/>
      <c r="F236" s="274"/>
      <c r="G236" s="274"/>
      <c r="H236" s="274"/>
      <c r="I236" s="274"/>
      <c r="J236" s="274"/>
      <c r="K236" s="284"/>
    </row>
    <row r="237" spans="1:14">
      <c r="A237" s="277"/>
      <c r="B237" s="274"/>
      <c r="C237" s="274"/>
      <c r="D237" s="368"/>
      <c r="E237" s="274"/>
      <c r="F237" s="274"/>
      <c r="G237" s="274"/>
      <c r="H237" s="274"/>
      <c r="I237" s="274"/>
      <c r="J237" s="274"/>
      <c r="K237" s="284"/>
    </row>
    <row r="238" spans="1:14">
      <c r="A238" s="277">
        <v>6</v>
      </c>
      <c r="B238" s="274" t="s">
        <v>630</v>
      </c>
      <c r="C238" s="274"/>
      <c r="D238" s="577"/>
      <c r="E238" s="300"/>
      <c r="F238" s="300"/>
      <c r="G238" s="321"/>
      <c r="H238" s="300"/>
      <c r="I238" s="284">
        <f>D157</f>
        <v>225113858.5</v>
      </c>
      <c r="J238" s="284"/>
      <c r="K238" s="284"/>
    </row>
    <row r="239" spans="1:14" ht="16.5" thickBot="1">
      <c r="A239" s="277">
        <v>7</v>
      </c>
      <c r="B239" s="575" t="s">
        <v>631</v>
      </c>
      <c r="C239" s="576"/>
      <c r="D239" s="295"/>
      <c r="E239" s="295"/>
      <c r="F239" s="284"/>
      <c r="G239" s="284"/>
      <c r="H239" s="284"/>
      <c r="I239" s="288">
        <f>L239+M239</f>
        <v>8050831</v>
      </c>
      <c r="J239" s="284"/>
      <c r="K239" s="284"/>
      <c r="L239" s="340">
        <v>6009184</v>
      </c>
      <c r="M239" s="340">
        <v>2041647</v>
      </c>
    </row>
    <row r="240" spans="1:14">
      <c r="A240" s="277">
        <v>8</v>
      </c>
      <c r="B240" s="342" t="s">
        <v>633</v>
      </c>
      <c r="C240" s="374"/>
      <c r="D240" s="373"/>
      <c r="E240" s="374"/>
      <c r="F240" s="374"/>
      <c r="G240" s="557"/>
      <c r="H240" s="374"/>
      <c r="I240" s="371">
        <f>+I238-I239</f>
        <v>217063027.5</v>
      </c>
      <c r="J240" s="295"/>
      <c r="K240" s="284"/>
      <c r="L240" s="340"/>
      <c r="M240" s="340"/>
    </row>
    <row r="241" spans="1:13">
      <c r="A241" s="277"/>
      <c r="B241" s="342"/>
      <c r="C241" s="300"/>
      <c r="D241" s="284"/>
      <c r="E241" s="284"/>
      <c r="F241" s="284"/>
      <c r="G241" s="284"/>
      <c r="H241" s="274"/>
      <c r="I241" s="274"/>
      <c r="J241" s="274"/>
    </row>
    <row r="242" spans="1:13">
      <c r="A242" s="277">
        <v>9</v>
      </c>
      <c r="B242" s="342" t="s">
        <v>636</v>
      </c>
      <c r="C242" s="300"/>
      <c r="D242" s="284"/>
      <c r="E242" s="284"/>
      <c r="F242" s="284"/>
      <c r="G242" s="284"/>
      <c r="H242" s="284"/>
      <c r="I242" s="341">
        <f>IF(I238&gt;0,I240/I238,0)</f>
        <v>0.9642366265069372</v>
      </c>
      <c r="J242" s="341"/>
    </row>
    <row r="243" spans="1:13">
      <c r="A243" s="277">
        <v>10</v>
      </c>
      <c r="B243" s="342" t="s">
        <v>638</v>
      </c>
      <c r="C243" s="300"/>
      <c r="D243" s="284"/>
      <c r="E243" s="284"/>
      <c r="F243" s="284"/>
      <c r="G243" s="284"/>
      <c r="H243" s="300" t="s">
        <v>400</v>
      </c>
      <c r="I243" s="341">
        <f>I234</f>
        <v>0.97511224938508201</v>
      </c>
      <c r="J243" s="341"/>
    </row>
    <row r="244" spans="1:13">
      <c r="A244" s="277">
        <v>11</v>
      </c>
      <c r="B244" s="342" t="s">
        <v>640</v>
      </c>
      <c r="C244" s="300"/>
      <c r="D244" s="300"/>
      <c r="E244" s="300"/>
      <c r="F244" s="300"/>
      <c r="G244" s="300"/>
      <c r="H244" s="300" t="s">
        <v>641</v>
      </c>
      <c r="I244" s="293">
        <f>+I243*I242</f>
        <v>0.94023894581266276</v>
      </c>
      <c r="J244" s="293"/>
    </row>
    <row r="245" spans="1:13">
      <c r="A245" s="277"/>
      <c r="C245" s="283"/>
      <c r="D245" s="214"/>
      <c r="E245" s="214"/>
      <c r="F245" s="214"/>
      <c r="G245" s="343"/>
      <c r="H245" s="214"/>
    </row>
    <row r="246" spans="1:13">
      <c r="A246" s="277" t="s">
        <v>124</v>
      </c>
      <c r="B246" s="283" t="s">
        <v>644</v>
      </c>
      <c r="C246" s="214"/>
      <c r="D246" s="214"/>
      <c r="E246" s="214"/>
      <c r="F246" s="214"/>
      <c r="G246" s="214"/>
      <c r="H246" s="214"/>
      <c r="I246" s="214"/>
      <c r="J246" s="214"/>
    </row>
    <row r="247" spans="1:13" ht="16.5" thickBot="1">
      <c r="A247" s="277" t="s">
        <v>124</v>
      </c>
      <c r="B247" s="283"/>
      <c r="C247" s="289" t="s">
        <v>646</v>
      </c>
      <c r="D247" s="378" t="s">
        <v>647</v>
      </c>
      <c r="E247" s="378" t="s">
        <v>400</v>
      </c>
      <c r="F247" s="214"/>
      <c r="G247" s="378" t="s">
        <v>648</v>
      </c>
      <c r="H247" s="214"/>
      <c r="I247" s="214"/>
      <c r="J247" s="214"/>
      <c r="K247" s="284"/>
    </row>
    <row r="248" spans="1:13">
      <c r="A248" s="277">
        <v>12</v>
      </c>
      <c r="B248" s="283" t="s">
        <v>473</v>
      </c>
      <c r="C248" s="214" t="s">
        <v>650</v>
      </c>
      <c r="D248" s="288">
        <f>L248+M248</f>
        <v>293776479.80999994</v>
      </c>
      <c r="E248" s="379">
        <v>0</v>
      </c>
      <c r="F248" s="379"/>
      <c r="G248" s="214">
        <f>D248*E248</f>
        <v>0</v>
      </c>
      <c r="H248" s="214"/>
      <c r="I248" s="214"/>
      <c r="J248" s="214"/>
      <c r="K248" s="284"/>
      <c r="L248" s="330">
        <v>281188230.88999993</v>
      </c>
      <c r="M248" s="330">
        <v>12588248.920000004</v>
      </c>
    </row>
    <row r="249" spans="1:13">
      <c r="A249" s="277">
        <v>13</v>
      </c>
      <c r="B249" s="283" t="s">
        <v>476</v>
      </c>
      <c r="C249" s="214" t="s">
        <v>651</v>
      </c>
      <c r="D249" s="288">
        <f>L249+M249</f>
        <v>26576376.66</v>
      </c>
      <c r="E249" s="379">
        <f>+I234</f>
        <v>0.97511224938508201</v>
      </c>
      <c r="F249" s="379"/>
      <c r="G249" s="214">
        <f>D249*E249</f>
        <v>25914950.425437793</v>
      </c>
      <c r="H249" s="214"/>
      <c r="I249" s="214"/>
      <c r="J249" s="214"/>
      <c r="K249" s="284"/>
      <c r="L249" s="330">
        <v>21672877.59</v>
      </c>
      <c r="M249" s="330">
        <v>4903499.07</v>
      </c>
    </row>
    <row r="250" spans="1:13">
      <c r="A250" s="277">
        <v>14</v>
      </c>
      <c r="B250" s="283" t="s">
        <v>478</v>
      </c>
      <c r="C250" s="214" t="s">
        <v>652</v>
      </c>
      <c r="D250" s="288">
        <f>L250+M250</f>
        <v>69103015.229999989</v>
      </c>
      <c r="E250" s="379">
        <v>0</v>
      </c>
      <c r="F250" s="379"/>
      <c r="G250" s="214">
        <f>D250*E250</f>
        <v>0</v>
      </c>
      <c r="H250" s="214"/>
      <c r="I250" s="380" t="s">
        <v>653</v>
      </c>
      <c r="J250" s="380"/>
      <c r="K250" s="284"/>
      <c r="L250" s="330">
        <v>55337292.829999991</v>
      </c>
      <c r="M250" s="330">
        <v>13765722.4</v>
      </c>
    </row>
    <row r="251" spans="1:13" ht="16.5" thickBot="1">
      <c r="A251" s="277">
        <v>15</v>
      </c>
      <c r="B251" s="283" t="s">
        <v>654</v>
      </c>
      <c r="C251" s="214" t="s">
        <v>655</v>
      </c>
      <c r="D251" s="288">
        <f>L251+M251</f>
        <v>19446600.320000004</v>
      </c>
      <c r="E251" s="379">
        <v>0</v>
      </c>
      <c r="F251" s="379"/>
      <c r="G251" s="289">
        <f>D251*E251</f>
        <v>0</v>
      </c>
      <c r="H251" s="214"/>
      <c r="I251" s="279" t="s">
        <v>656</v>
      </c>
      <c r="J251" s="280"/>
      <c r="K251" s="284"/>
      <c r="L251" s="331">
        <v>15800366.400000004</v>
      </c>
      <c r="M251" s="331">
        <v>3646233.92</v>
      </c>
    </row>
    <row r="252" spans="1:13">
      <c r="A252" s="277">
        <v>16</v>
      </c>
      <c r="B252" s="283" t="s">
        <v>657</v>
      </c>
      <c r="C252" s="214"/>
      <c r="D252" s="336">
        <f>SUM(D248:D251)</f>
        <v>408902472.01999992</v>
      </c>
      <c r="E252" s="214"/>
      <c r="F252" s="214"/>
      <c r="G252" s="214">
        <f>SUM(G248:G251)</f>
        <v>25914950.425437793</v>
      </c>
      <c r="H252" s="318" t="s">
        <v>339</v>
      </c>
      <c r="I252" s="329">
        <f>IF(G252&gt;0,G252/D252,0)</f>
        <v>6.3376849490335826E-2</v>
      </c>
      <c r="J252" s="381" t="s">
        <v>658</v>
      </c>
      <c r="K252" s="284"/>
      <c r="L252" s="214">
        <f>SUM(L248:L251)</f>
        <v>373998767.70999986</v>
      </c>
      <c r="M252" s="214">
        <f>SUM(M248:M251)</f>
        <v>34903704.310000002</v>
      </c>
    </row>
    <row r="253" spans="1:13">
      <c r="A253" s="277"/>
      <c r="B253" s="283"/>
      <c r="C253" s="214"/>
      <c r="D253" s="214"/>
      <c r="E253" s="214"/>
      <c r="F253" s="214"/>
      <c r="G253" s="214"/>
      <c r="H253" s="214"/>
      <c r="I253" s="214"/>
    </row>
    <row r="254" spans="1:13">
      <c r="A254" s="277"/>
      <c r="B254" s="283" t="s">
        <v>659</v>
      </c>
      <c r="C254" s="214"/>
      <c r="D254" s="214"/>
      <c r="E254" s="214"/>
      <c r="F254" s="214"/>
      <c r="G254" s="214"/>
      <c r="H254" s="214"/>
      <c r="I254" s="214"/>
      <c r="J254" s="214"/>
      <c r="K254" s="284"/>
    </row>
    <row r="255" spans="1:13">
      <c r="A255" s="277"/>
      <c r="B255" s="283"/>
      <c r="C255" s="214"/>
      <c r="D255" s="322" t="s">
        <v>647</v>
      </c>
      <c r="E255" s="214"/>
      <c r="F255" s="214"/>
      <c r="G255" s="343" t="s">
        <v>660</v>
      </c>
      <c r="H255" s="358" t="s">
        <v>124</v>
      </c>
      <c r="I255" s="333" t="str">
        <f>+I250</f>
        <v>W&amp;S Allocator</v>
      </c>
      <c r="J255" s="333"/>
      <c r="K255" s="284"/>
    </row>
    <row r="256" spans="1:13">
      <c r="A256" s="277">
        <v>17</v>
      </c>
      <c r="B256" s="283" t="s">
        <v>661</v>
      </c>
      <c r="C256" s="214" t="s">
        <v>662</v>
      </c>
      <c r="D256" s="288">
        <f>L256+M256</f>
        <v>15947672170</v>
      </c>
      <c r="E256" s="214"/>
      <c r="G256" s="277" t="s">
        <v>663</v>
      </c>
      <c r="H256" s="382"/>
      <c r="I256" s="277" t="s">
        <v>664</v>
      </c>
      <c r="J256" s="277"/>
      <c r="K256" s="321" t="s">
        <v>485</v>
      </c>
      <c r="L256" s="330">
        <v>13854940000</v>
      </c>
      <c r="M256" s="330">
        <v>2092732170</v>
      </c>
    </row>
    <row r="257" spans="1:13">
      <c r="A257" s="277">
        <v>18</v>
      </c>
      <c r="B257" s="283" t="s">
        <v>665</v>
      </c>
      <c r="C257" s="214" t="s">
        <v>666</v>
      </c>
      <c r="D257" s="288">
        <f>L257+M257</f>
        <v>1341745961</v>
      </c>
      <c r="E257" s="214"/>
      <c r="G257" s="286">
        <f>IF(D259&gt;0,D256/D259,0)</f>
        <v>0.9223949614247432</v>
      </c>
      <c r="H257" s="343" t="s">
        <v>242</v>
      </c>
      <c r="I257" s="286">
        <f>I252</f>
        <v>6.3376849490335826E-2</v>
      </c>
      <c r="J257" s="383" t="s">
        <v>339</v>
      </c>
      <c r="K257" s="293">
        <f>I257*G257</f>
        <v>5.845848664086007E-2</v>
      </c>
      <c r="L257" s="330">
        <v>1091572000</v>
      </c>
      <c r="M257" s="330">
        <v>250173961</v>
      </c>
    </row>
    <row r="258" spans="1:13" ht="16.5" thickBot="1">
      <c r="A258" s="277">
        <v>19</v>
      </c>
      <c r="B258" s="384" t="s">
        <v>667</v>
      </c>
      <c r="C258" s="289" t="s">
        <v>668</v>
      </c>
      <c r="D258" s="288">
        <f>L258+M258</f>
        <v>0</v>
      </c>
      <c r="E258" s="214"/>
      <c r="F258" s="214"/>
      <c r="G258" s="214" t="s">
        <v>124</v>
      </c>
      <c r="H258" s="214"/>
      <c r="I258" s="385"/>
      <c r="J258" s="385"/>
      <c r="L258" s="331">
        <v>0</v>
      </c>
      <c r="M258" s="331">
        <v>0</v>
      </c>
    </row>
    <row r="259" spans="1:13">
      <c r="A259" s="277">
        <v>20</v>
      </c>
      <c r="B259" s="283" t="s">
        <v>669</v>
      </c>
      <c r="C259" s="214"/>
      <c r="D259" s="336">
        <f>D256+D257+D258</f>
        <v>17289418131</v>
      </c>
      <c r="E259" s="214"/>
      <c r="F259" s="214"/>
      <c r="G259" s="214"/>
      <c r="H259" s="214"/>
      <c r="I259" s="214"/>
      <c r="J259" s="214"/>
      <c r="K259" s="284"/>
      <c r="L259" s="214">
        <f>L256+L257+L258</f>
        <v>14946512000</v>
      </c>
      <c r="M259" s="214">
        <f>M256+M257+M258</f>
        <v>2342906131</v>
      </c>
    </row>
    <row r="260" spans="1:13" ht="11.25" customHeight="1">
      <c r="A260" s="277"/>
      <c r="B260" s="283"/>
      <c r="C260" s="214"/>
      <c r="E260" s="214"/>
      <c r="F260" s="214"/>
      <c r="G260" s="214"/>
      <c r="H260" s="214"/>
      <c r="I260" s="214"/>
      <c r="J260" s="214"/>
      <c r="K260" s="284"/>
    </row>
    <row r="261" spans="1:13" ht="16.5" thickBot="1">
      <c r="A261" s="277"/>
      <c r="B261" s="268" t="s">
        <v>670</v>
      </c>
      <c r="C261" s="214"/>
      <c r="D261" s="214"/>
      <c r="E261" s="214"/>
      <c r="F261" s="214"/>
      <c r="G261" s="214"/>
      <c r="H261" s="214"/>
      <c r="I261" s="378" t="s">
        <v>647</v>
      </c>
      <c r="J261" s="386"/>
      <c r="K261" s="284"/>
      <c r="L261" s="283"/>
    </row>
    <row r="262" spans="1:13">
      <c r="A262" s="277">
        <v>21</v>
      </c>
      <c r="B262" s="268"/>
      <c r="C262" s="214" t="s">
        <v>671</v>
      </c>
      <c r="D262" s="214"/>
      <c r="E262" s="214"/>
      <c r="F262" s="214"/>
      <c r="G262" s="214"/>
      <c r="H262" s="214"/>
      <c r="I262" s="288">
        <f>L262+M262</f>
        <v>237080514.77565378</v>
      </c>
      <c r="J262" s="284"/>
      <c r="K262" s="284"/>
      <c r="L262" s="387">
        <v>204978973.56866708</v>
      </c>
      <c r="M262" s="387">
        <v>32101541.206986699</v>
      </c>
    </row>
    <row r="263" spans="1:13" ht="11.25" customHeight="1">
      <c r="A263" s="277"/>
      <c r="B263" s="283"/>
      <c r="C263" s="214"/>
      <c r="D263" s="214"/>
      <c r="E263" s="214"/>
      <c r="F263" s="214"/>
      <c r="G263" s="214"/>
      <c r="H263" s="214"/>
      <c r="I263" s="214"/>
      <c r="J263" s="284"/>
      <c r="K263" s="284"/>
      <c r="L263" s="388"/>
      <c r="M263" s="388"/>
    </row>
    <row r="264" spans="1:13">
      <c r="A264" s="277">
        <v>22</v>
      </c>
      <c r="B264" s="268"/>
      <c r="C264" s="214" t="s">
        <v>672</v>
      </c>
      <c r="D264" s="214"/>
      <c r="E264" s="214"/>
      <c r="F264" s="214"/>
      <c r="G264" s="214"/>
      <c r="H264" s="284"/>
      <c r="I264" s="389">
        <f>L264+M264</f>
        <v>0</v>
      </c>
      <c r="J264" s="390"/>
      <c r="K264" s="284"/>
      <c r="L264" s="387">
        <v>0</v>
      </c>
      <c r="M264" s="387">
        <v>0</v>
      </c>
    </row>
    <row r="265" spans="1:13" ht="11.25" customHeight="1">
      <c r="A265" s="277"/>
      <c r="B265" s="268"/>
      <c r="C265" s="214"/>
      <c r="D265" s="214"/>
      <c r="E265" s="214"/>
      <c r="F265" s="214"/>
      <c r="G265" s="214"/>
      <c r="H265" s="214"/>
      <c r="I265" s="214"/>
      <c r="J265" s="284"/>
      <c r="K265" s="284"/>
      <c r="L265" s="214"/>
      <c r="M265" s="214"/>
    </row>
    <row r="266" spans="1:13">
      <c r="A266" s="277"/>
      <c r="B266" s="268" t="s">
        <v>673</v>
      </c>
      <c r="C266" s="214"/>
      <c r="D266" s="214"/>
      <c r="E266" s="214"/>
      <c r="F266" s="214"/>
      <c r="G266" s="214"/>
      <c r="H266" s="214"/>
      <c r="I266" s="214"/>
      <c r="J266" s="284"/>
      <c r="K266" s="284"/>
      <c r="L266" s="214"/>
      <c r="M266" s="214"/>
    </row>
    <row r="267" spans="1:13">
      <c r="A267" s="277">
        <v>23</v>
      </c>
      <c r="B267" s="268"/>
      <c r="C267" s="214" t="s">
        <v>674</v>
      </c>
      <c r="D267" s="268"/>
      <c r="E267" s="214"/>
      <c r="F267" s="214"/>
      <c r="G267" s="214"/>
      <c r="H267" s="214"/>
      <c r="I267" s="288">
        <f>L267+M267</f>
        <v>5415832388.1130896</v>
      </c>
      <c r="J267" s="284"/>
      <c r="K267" s="284"/>
      <c r="L267" s="330">
        <v>4697408412.2998991</v>
      </c>
      <c r="M267" s="330">
        <v>718423975.81319034</v>
      </c>
    </row>
    <row r="268" spans="1:13">
      <c r="A268" s="277">
        <v>24</v>
      </c>
      <c r="B268" s="268"/>
      <c r="C268" s="214" t="s">
        <v>675</v>
      </c>
      <c r="D268" s="214"/>
      <c r="E268" s="214"/>
      <c r="F268" s="214"/>
      <c r="G268" s="214"/>
      <c r="H268" s="214"/>
      <c r="I268" s="391">
        <f>-D273</f>
        <v>0</v>
      </c>
      <c r="J268" s="391"/>
      <c r="K268" s="284"/>
      <c r="L268" s="391"/>
      <c r="M268" s="391"/>
    </row>
    <row r="269" spans="1:13" ht="16.5" thickBot="1">
      <c r="A269" s="277">
        <v>25</v>
      </c>
      <c r="B269" s="268"/>
      <c r="C269" s="214" t="s">
        <v>676</v>
      </c>
      <c r="D269" s="214"/>
      <c r="E269" s="214"/>
      <c r="F269" s="214"/>
      <c r="G269" s="214"/>
      <c r="H269" s="214"/>
      <c r="I269" s="296">
        <f>L269+M269</f>
        <v>964679</v>
      </c>
      <c r="J269" s="295"/>
      <c r="K269" s="284"/>
      <c r="L269" s="340">
        <v>3347930</v>
      </c>
      <c r="M269" s="340">
        <v>-2383251</v>
      </c>
    </row>
    <row r="270" spans="1:13" s="303" customFormat="1">
      <c r="A270" s="280">
        <v>26</v>
      </c>
      <c r="B270" s="416"/>
      <c r="C270" s="290" t="s">
        <v>114</v>
      </c>
      <c r="D270" s="416" t="s">
        <v>677</v>
      </c>
      <c r="E270" s="416"/>
      <c r="F270" s="416"/>
      <c r="G270" s="380" t="s">
        <v>157</v>
      </c>
      <c r="H270" s="416"/>
      <c r="I270" s="290">
        <f>+I267+I268+I269</f>
        <v>5416797067.1130896</v>
      </c>
      <c r="J270" s="290"/>
      <c r="K270" s="295"/>
      <c r="L270" s="214">
        <f>+L267+L268+L269</f>
        <v>4700756342.2998991</v>
      </c>
      <c r="M270" s="214">
        <f>+M267+M268+M269</f>
        <v>716040724.81319034</v>
      </c>
    </row>
    <row r="271" spans="1:13" ht="16.5" thickBot="1">
      <c r="A271" s="277"/>
      <c r="B271" s="283"/>
      <c r="C271" s="214"/>
      <c r="D271" s="279" t="s">
        <v>647</v>
      </c>
      <c r="E271" s="279" t="s">
        <v>678</v>
      </c>
      <c r="F271" s="214"/>
      <c r="G271" s="279" t="s">
        <v>679</v>
      </c>
      <c r="H271" s="214"/>
      <c r="I271" s="279" t="s">
        <v>156</v>
      </c>
      <c r="J271" s="280"/>
      <c r="K271" s="284"/>
    </row>
    <row r="272" spans="1:13">
      <c r="A272" s="277">
        <v>27</v>
      </c>
      <c r="B272" s="268" t="s">
        <v>680</v>
      </c>
      <c r="D272" s="288">
        <f>L272+M272</f>
        <v>4769182875</v>
      </c>
      <c r="E272" s="393">
        <f>IF($D$275&gt;0,D272/$D$275,0)</f>
        <v>0.46821051112443374</v>
      </c>
      <c r="F272" s="394"/>
      <c r="G272" s="394">
        <f>IF(D272&gt;0,I262/D272,0)</f>
        <v>4.9710929731469726E-2</v>
      </c>
      <c r="I272" s="394">
        <f>G272*E272</f>
        <v>2.3275179818042249E-2</v>
      </c>
      <c r="J272" s="395" t="s">
        <v>681</v>
      </c>
      <c r="K272" s="284"/>
      <c r="L272" s="330">
        <v>4200059210</v>
      </c>
      <c r="M272" s="330">
        <v>569123665</v>
      </c>
    </row>
    <row r="273" spans="1:14">
      <c r="A273" s="277">
        <v>28</v>
      </c>
      <c r="B273" s="268" t="s">
        <v>682</v>
      </c>
      <c r="D273" s="288">
        <f>L273+M273</f>
        <v>0</v>
      </c>
      <c r="E273" s="393">
        <f>IF($D$275&gt;0,D273/$D$275,0)</f>
        <v>0</v>
      </c>
      <c r="F273" s="394"/>
      <c r="G273" s="394">
        <f>IF(D273&gt;0,I264/D273,0)</f>
        <v>0</v>
      </c>
      <c r="I273" s="394">
        <f>G273*E273</f>
        <v>0</v>
      </c>
      <c r="L273" s="330">
        <v>0</v>
      </c>
      <c r="M273" s="330">
        <v>0</v>
      </c>
    </row>
    <row r="274" spans="1:14" ht="16.5" thickBot="1">
      <c r="A274" s="277">
        <v>29</v>
      </c>
      <c r="B274" s="268" t="s">
        <v>683</v>
      </c>
      <c r="D274" s="289">
        <f>I270</f>
        <v>5416797067.1130896</v>
      </c>
      <c r="E274" s="393">
        <f>IF($D$275&gt;0,D274/$D$275,0)</f>
        <v>0.53178948887556621</v>
      </c>
      <c r="F274" s="394"/>
      <c r="G274" s="396">
        <v>0.12379999999999999</v>
      </c>
      <c r="I274" s="397">
        <f>G274*E274</f>
        <v>6.5835538722795087E-2</v>
      </c>
      <c r="J274" s="398"/>
    </row>
    <row r="275" spans="1:14">
      <c r="A275" s="277">
        <v>30</v>
      </c>
      <c r="B275" s="283" t="s">
        <v>684</v>
      </c>
      <c r="D275" s="214">
        <f>D274+D273+D272</f>
        <v>10185979942.113091</v>
      </c>
      <c r="E275" s="214" t="s">
        <v>124</v>
      </c>
      <c r="F275" s="214"/>
      <c r="G275" s="214"/>
      <c r="H275" s="214"/>
      <c r="I275" s="394">
        <f>SUM(I272:I274)</f>
        <v>8.9110718540837339E-2</v>
      </c>
      <c r="J275" s="395" t="s">
        <v>685</v>
      </c>
      <c r="N275" s="332"/>
    </row>
    <row r="276" spans="1:14" ht="11.25" customHeight="1">
      <c r="E276" s="214"/>
      <c r="F276" s="214"/>
      <c r="G276" s="214"/>
      <c r="H276" s="214"/>
    </row>
    <row r="277" spans="1:14" ht="16.5" thickBot="1">
      <c r="A277" s="277"/>
      <c r="B277" s="268" t="s">
        <v>686</v>
      </c>
      <c r="C277" s="268"/>
      <c r="D277" s="268"/>
      <c r="E277" s="268"/>
      <c r="F277" s="268"/>
      <c r="G277" s="268"/>
      <c r="H277" s="268"/>
      <c r="I277" s="279" t="s">
        <v>217</v>
      </c>
      <c r="J277" s="399"/>
    </row>
    <row r="278" spans="1:14" s="274" customFormat="1" ht="11.25" customHeight="1">
      <c r="A278" s="292"/>
      <c r="B278" s="342"/>
      <c r="C278" s="342"/>
      <c r="D278" s="342"/>
      <c r="E278" s="342"/>
      <c r="F278" s="342"/>
      <c r="G278" s="342"/>
      <c r="H278" s="342"/>
      <c r="K278" s="342"/>
    </row>
    <row r="279" spans="1:14">
      <c r="A279" s="277"/>
      <c r="B279" s="268" t="s">
        <v>687</v>
      </c>
      <c r="C279" s="268"/>
      <c r="D279" s="268" t="s">
        <v>688</v>
      </c>
      <c r="E279" s="268" t="s">
        <v>689</v>
      </c>
      <c r="F279" s="268"/>
      <c r="G279" s="579" t="s">
        <v>124</v>
      </c>
      <c r="H279" s="356"/>
      <c r="I279" s="401"/>
      <c r="J279" s="401"/>
    </row>
    <row r="280" spans="1:14">
      <c r="A280" s="277">
        <v>31</v>
      </c>
      <c r="B280" s="267" t="s">
        <v>690</v>
      </c>
      <c r="C280" s="268"/>
      <c r="D280" s="268"/>
      <c r="F280" s="268"/>
      <c r="H280" s="356"/>
      <c r="I280" s="580">
        <f>L280+M280</f>
        <v>0</v>
      </c>
      <c r="J280" s="581"/>
      <c r="L280" s="582">
        <v>0</v>
      </c>
      <c r="M280" s="582">
        <v>0</v>
      </c>
    </row>
    <row r="281" spans="1:14" ht="16.5" thickBot="1">
      <c r="A281" s="277">
        <v>32</v>
      </c>
      <c r="B281" s="345" t="s">
        <v>691</v>
      </c>
      <c r="C281" s="578"/>
      <c r="D281" s="303"/>
      <c r="E281" s="416"/>
      <c r="F281" s="416"/>
      <c r="G281" s="416"/>
      <c r="H281" s="268"/>
      <c r="I281" s="583">
        <v>0</v>
      </c>
      <c r="J281" s="581"/>
    </row>
    <row r="282" spans="1:14">
      <c r="A282" s="277">
        <v>33</v>
      </c>
      <c r="B282" s="267" t="s">
        <v>692</v>
      </c>
      <c r="C282" s="283"/>
      <c r="E282" s="268"/>
      <c r="F282" s="268"/>
      <c r="G282" s="268"/>
      <c r="H282" s="268"/>
      <c r="I282" s="584">
        <f>+I280-I281</f>
        <v>0</v>
      </c>
      <c r="J282" s="584"/>
      <c r="L282" s="274"/>
      <c r="M282" s="274"/>
      <c r="N282" s="585" t="s">
        <v>898</v>
      </c>
    </row>
    <row r="283" spans="1:14" s="274" customFormat="1" ht="11.25" customHeight="1">
      <c r="A283" s="292"/>
      <c r="B283" s="274" t="s">
        <v>124</v>
      </c>
      <c r="C283" s="300"/>
      <c r="E283" s="342"/>
      <c r="F283" s="342"/>
      <c r="G283" s="569"/>
      <c r="H283" s="342"/>
      <c r="I283" s="421" t="s">
        <v>124</v>
      </c>
      <c r="J283" s="421"/>
      <c r="L283" s="267"/>
      <c r="M283" s="267"/>
      <c r="N283" s="586"/>
    </row>
    <row r="284" spans="1:14">
      <c r="A284" s="277">
        <v>34</v>
      </c>
      <c r="B284" s="268" t="s">
        <v>693</v>
      </c>
      <c r="C284" s="283"/>
      <c r="E284" s="268"/>
      <c r="F284" s="268"/>
      <c r="G284" s="587"/>
      <c r="H284" s="268"/>
      <c r="I284" s="588">
        <f>L284+M284</f>
        <v>170245</v>
      </c>
      <c r="J284" s="589"/>
      <c r="K284" s="415"/>
      <c r="L284" s="330">
        <v>170245</v>
      </c>
      <c r="M284" s="330">
        <v>0</v>
      </c>
      <c r="N284" s="590" t="s">
        <v>899</v>
      </c>
    </row>
    <row r="285" spans="1:14" s="274" customFormat="1" ht="11.25" customHeight="1">
      <c r="A285" s="292"/>
      <c r="C285" s="342"/>
      <c r="D285" s="342"/>
      <c r="E285" s="342"/>
      <c r="F285" s="342"/>
      <c r="G285" s="342"/>
      <c r="H285" s="342"/>
      <c r="I285" s="421"/>
      <c r="J285" s="421"/>
      <c r="K285" s="415"/>
      <c r="L285" s="267"/>
      <c r="M285" s="267"/>
      <c r="N285" s="586"/>
    </row>
    <row r="286" spans="1:14">
      <c r="B286" s="268" t="s">
        <v>694</v>
      </c>
      <c r="C286" s="268"/>
      <c r="D286" s="268" t="s">
        <v>695</v>
      </c>
      <c r="E286" s="268"/>
      <c r="F286" s="268"/>
      <c r="G286" s="268"/>
      <c r="H286" s="268"/>
      <c r="J286" s="274"/>
      <c r="K286" s="415"/>
      <c r="N286" s="586"/>
    </row>
    <row r="287" spans="1:14">
      <c r="A287" s="277">
        <v>35</v>
      </c>
      <c r="B287" s="268" t="s">
        <v>696</v>
      </c>
      <c r="C287" s="214"/>
      <c r="D287" s="214"/>
      <c r="E287" s="214"/>
      <c r="F287" s="214"/>
      <c r="G287" s="214"/>
      <c r="H287" s="214"/>
      <c r="I287" s="413">
        <f>L287+M287</f>
        <v>215175092.61349341</v>
      </c>
      <c r="J287" s="414"/>
      <c r="K287" s="415"/>
      <c r="L287" s="387">
        <v>215175092.61349341</v>
      </c>
      <c r="M287" s="330">
        <v>0</v>
      </c>
    </row>
    <row r="288" spans="1:14">
      <c r="A288" s="277">
        <v>36</v>
      </c>
      <c r="B288" s="416" t="s">
        <v>697</v>
      </c>
      <c r="C288" s="416"/>
      <c r="D288" s="416"/>
      <c r="E288" s="416"/>
      <c r="F288" s="416"/>
      <c r="G288" s="268"/>
      <c r="H288" s="268"/>
      <c r="I288" s="413">
        <f>L288+M288</f>
        <v>72109690.280642405</v>
      </c>
      <c r="J288" s="414"/>
      <c r="K288" s="415"/>
      <c r="L288" s="387">
        <v>72109690.280642405</v>
      </c>
      <c r="M288" s="330">
        <v>0</v>
      </c>
    </row>
    <row r="289" spans="1:13">
      <c r="A289" s="277" t="s">
        <v>698</v>
      </c>
      <c r="B289" s="416" t="s">
        <v>900</v>
      </c>
      <c r="C289" s="416"/>
      <c r="D289" s="416"/>
      <c r="E289" s="416"/>
      <c r="F289" s="416"/>
      <c r="G289" s="268"/>
      <c r="H289" s="268"/>
      <c r="I289" s="413">
        <f>L289+M289</f>
        <v>62606770.58032091</v>
      </c>
      <c r="J289" s="414"/>
      <c r="K289" s="415"/>
      <c r="L289" s="387">
        <v>62606770.58032091</v>
      </c>
      <c r="M289" s="330">
        <v>0</v>
      </c>
    </row>
    <row r="290" spans="1:13" ht="16.5" thickBot="1">
      <c r="A290" s="277" t="s">
        <v>699</v>
      </c>
      <c r="B290" s="591" t="s">
        <v>901</v>
      </c>
      <c r="C290" s="591"/>
      <c r="D290" s="416"/>
      <c r="E290" s="416"/>
      <c r="F290" s="416"/>
      <c r="G290" s="268"/>
      <c r="H290" s="268"/>
      <c r="I290" s="418">
        <f>L290+M290</f>
        <v>52936598.640039086</v>
      </c>
      <c r="J290" s="414"/>
      <c r="K290" s="419"/>
      <c r="L290" s="387">
        <v>52936598.640039086</v>
      </c>
      <c r="M290" s="330">
        <v>0</v>
      </c>
    </row>
    <row r="291" spans="1:13">
      <c r="A291" s="277">
        <v>37</v>
      </c>
      <c r="B291" s="420" t="s">
        <v>700</v>
      </c>
      <c r="C291" s="277"/>
      <c r="D291" s="214"/>
      <c r="E291" s="214"/>
      <c r="F291" s="214"/>
      <c r="G291" s="214"/>
      <c r="H291" s="268"/>
      <c r="I291" s="421">
        <f>+I287-I288-I289-I290</f>
        <v>27522033.112490997</v>
      </c>
      <c r="J291" s="421"/>
      <c r="K291" s="419"/>
    </row>
    <row r="292" spans="1:13">
      <c r="A292" s="277"/>
      <c r="B292" s="420"/>
      <c r="C292" s="277"/>
      <c r="D292" s="214"/>
      <c r="E292" s="214"/>
      <c r="F292" s="214"/>
      <c r="G292" s="214"/>
      <c r="H292" s="268"/>
      <c r="I292" s="421"/>
      <c r="J292" s="421"/>
      <c r="K292" s="422"/>
    </row>
    <row r="293" spans="1:13">
      <c r="A293" s="277"/>
      <c r="B293" s="420"/>
      <c r="C293" s="277"/>
      <c r="D293" s="214"/>
      <c r="E293" s="214"/>
      <c r="F293" s="214"/>
      <c r="G293" s="214"/>
      <c r="H293" s="268"/>
      <c r="I293" s="421"/>
      <c r="J293" s="421"/>
      <c r="K293" s="422"/>
    </row>
    <row r="294" spans="1:13">
      <c r="A294" s="277"/>
      <c r="B294" s="420"/>
      <c r="C294" s="277"/>
      <c r="D294" s="214"/>
      <c r="E294" s="214"/>
      <c r="F294" s="214"/>
      <c r="G294" s="214"/>
      <c r="H294" s="268"/>
      <c r="I294" s="421"/>
      <c r="J294" s="421"/>
      <c r="K294" s="422"/>
    </row>
    <row r="295" spans="1:13">
      <c r="A295" s="277"/>
      <c r="B295" s="420"/>
      <c r="C295" s="277"/>
      <c r="D295" s="214"/>
      <c r="E295" s="214"/>
      <c r="F295" s="214"/>
      <c r="G295" s="214"/>
      <c r="H295" s="268"/>
      <c r="I295" s="421"/>
      <c r="J295" s="421"/>
      <c r="K295" s="422"/>
    </row>
    <row r="296" spans="1:13">
      <c r="A296" s="423"/>
      <c r="B296" s="424"/>
      <c r="C296" s="424"/>
      <c r="D296" s="424"/>
      <c r="E296" s="424"/>
      <c r="F296" s="424"/>
      <c r="G296" s="424"/>
      <c r="H296" s="424"/>
      <c r="I296" s="424"/>
      <c r="J296" s="424"/>
      <c r="K296" s="365"/>
    </row>
    <row r="297" spans="1:13">
      <c r="A297" s="424"/>
      <c r="B297" s="424"/>
      <c r="C297" s="424"/>
      <c r="D297" s="424"/>
      <c r="E297" s="424"/>
      <c r="F297" s="424"/>
      <c r="G297" s="424"/>
      <c r="H297" s="424"/>
      <c r="I297" s="424"/>
      <c r="J297" s="424"/>
      <c r="K297" s="424"/>
    </row>
    <row r="298" spans="1:13">
      <c r="B298" s="268"/>
      <c r="C298" s="268"/>
      <c r="D298" s="269"/>
      <c r="E298" s="268"/>
      <c r="F298" s="268"/>
      <c r="G298" s="268"/>
      <c r="H298" s="268"/>
      <c r="I298" s="268"/>
      <c r="J298" s="268"/>
      <c r="K298" s="316" t="s">
        <v>701</v>
      </c>
    </row>
    <row r="299" spans="1:13">
      <c r="B299" s="268" t="s">
        <v>389</v>
      </c>
      <c r="C299" s="268"/>
      <c r="D299" s="269" t="s">
        <v>390</v>
      </c>
      <c r="E299" s="268"/>
      <c r="F299" s="268"/>
      <c r="G299" s="268"/>
      <c r="H299" s="268"/>
      <c r="K299" s="271" t="str">
        <f>K222</f>
        <v>For the 12 months ended 12/31/14</v>
      </c>
    </row>
    <row r="300" spans="1:13">
      <c r="B300" s="268"/>
      <c r="C300" s="214" t="s">
        <v>124</v>
      </c>
      <c r="D300" s="214" t="s">
        <v>391</v>
      </c>
      <c r="E300" s="214"/>
      <c r="F300" s="214"/>
      <c r="G300" s="214"/>
      <c r="H300" s="268"/>
      <c r="I300" s="268"/>
      <c r="J300" s="268"/>
      <c r="K300" s="300"/>
    </row>
    <row r="301" spans="1:13" ht="7.5" customHeight="1">
      <c r="A301" s="277"/>
      <c r="B301" s="420"/>
      <c r="C301" s="277"/>
      <c r="D301" s="214"/>
      <c r="E301" s="214"/>
      <c r="F301" s="214"/>
      <c r="G301" s="214"/>
      <c r="H301" s="268"/>
      <c r="I301" s="592"/>
      <c r="J301" s="592"/>
      <c r="K301" s="300"/>
    </row>
    <row r="302" spans="1:13">
      <c r="A302" s="878" t="str">
        <f>A6</f>
        <v>Northern States Power Companies</v>
      </c>
      <c r="B302" s="878"/>
      <c r="C302" s="878"/>
      <c r="D302" s="878"/>
      <c r="E302" s="878"/>
      <c r="F302" s="878"/>
      <c r="G302" s="878"/>
      <c r="H302" s="878"/>
      <c r="I302" s="878"/>
      <c r="J302" s="878"/>
      <c r="K302" s="878"/>
    </row>
    <row r="303" spans="1:13" ht="6" customHeight="1">
      <c r="A303" s="277"/>
      <c r="B303" s="420"/>
      <c r="C303" s="277"/>
      <c r="D303" s="214"/>
      <c r="E303" s="214"/>
      <c r="F303" s="214"/>
      <c r="G303" s="214"/>
      <c r="H303" s="268"/>
      <c r="I303" s="592"/>
      <c r="J303" s="592"/>
      <c r="K303" s="422"/>
    </row>
    <row r="304" spans="1:13">
      <c r="A304" s="277"/>
      <c r="B304" s="268" t="s">
        <v>703</v>
      </c>
      <c r="C304" s="277"/>
      <c r="D304" s="214"/>
      <c r="E304" s="214"/>
      <c r="F304" s="214"/>
      <c r="G304" s="214"/>
      <c r="H304" s="268"/>
      <c r="I304" s="214"/>
      <c r="J304" s="214"/>
      <c r="K304" s="422"/>
    </row>
    <row r="305" spans="1:11">
      <c r="A305" s="277"/>
      <c r="B305" s="426" t="s">
        <v>704</v>
      </c>
      <c r="C305" s="277"/>
      <c r="D305" s="214"/>
      <c r="E305" s="214"/>
      <c r="F305" s="214"/>
      <c r="G305" s="214"/>
      <c r="H305" s="268"/>
      <c r="I305" s="214"/>
      <c r="J305" s="214"/>
      <c r="K305" s="284"/>
    </row>
    <row r="306" spans="1:11">
      <c r="A306" s="277" t="s">
        <v>705</v>
      </c>
      <c r="B306" s="268"/>
      <c r="C306" s="268"/>
      <c r="D306" s="214"/>
      <c r="E306" s="214"/>
      <c r="F306" s="214"/>
      <c r="G306" s="214"/>
      <c r="H306" s="268"/>
      <c r="I306" s="214"/>
      <c r="J306" s="214"/>
      <c r="K306" s="284"/>
    </row>
    <row r="307" spans="1:11" ht="16.5" thickBot="1">
      <c r="A307" s="279" t="s">
        <v>706</v>
      </c>
      <c r="B307" s="268"/>
      <c r="C307" s="268"/>
      <c r="D307" s="214"/>
      <c r="E307" s="214"/>
      <c r="F307" s="214"/>
      <c r="G307" s="214"/>
      <c r="H307" s="268"/>
      <c r="I307" s="214"/>
      <c r="J307" s="214"/>
      <c r="K307" s="284"/>
    </row>
    <row r="308" spans="1:11">
      <c r="A308" s="277" t="s">
        <v>707</v>
      </c>
      <c r="B308" s="342" t="s">
        <v>708</v>
      </c>
      <c r="C308" s="342"/>
      <c r="D308" s="284"/>
      <c r="E308" s="284"/>
      <c r="F308" s="284"/>
      <c r="G308" s="284"/>
      <c r="H308" s="342"/>
      <c r="I308" s="284"/>
      <c r="J308" s="284"/>
      <c r="K308" s="284"/>
    </row>
    <row r="309" spans="1:11">
      <c r="A309" s="277" t="s">
        <v>709</v>
      </c>
      <c r="B309" s="342" t="s">
        <v>710</v>
      </c>
      <c r="C309" s="342"/>
      <c r="D309" s="284"/>
      <c r="E309" s="284"/>
      <c r="F309" s="284"/>
      <c r="G309" s="284"/>
      <c r="H309" s="342"/>
      <c r="I309" s="284"/>
      <c r="J309" s="284"/>
      <c r="K309" s="284"/>
    </row>
    <row r="310" spans="1:11">
      <c r="A310" s="277" t="s">
        <v>711</v>
      </c>
      <c r="B310" s="342" t="s">
        <v>712</v>
      </c>
      <c r="C310" s="342"/>
      <c r="D310" s="342"/>
      <c r="E310" s="342"/>
      <c r="F310" s="342"/>
      <c r="G310" s="342"/>
      <c r="H310" s="342"/>
      <c r="I310" s="284"/>
      <c r="J310" s="284"/>
      <c r="K310" s="284"/>
    </row>
    <row r="311" spans="1:11">
      <c r="A311" s="277" t="s">
        <v>713</v>
      </c>
      <c r="B311" s="342" t="s">
        <v>714</v>
      </c>
      <c r="C311" s="342"/>
      <c r="D311" s="342"/>
      <c r="E311" s="342"/>
      <c r="F311" s="342"/>
      <c r="G311" s="342"/>
      <c r="H311" s="342"/>
      <c r="I311" s="284"/>
      <c r="J311" s="284"/>
      <c r="K311" s="342"/>
    </row>
    <row r="312" spans="1:11">
      <c r="A312" s="277" t="s">
        <v>715</v>
      </c>
      <c r="B312" s="342" t="s">
        <v>716</v>
      </c>
      <c r="C312" s="342"/>
      <c r="D312" s="342"/>
      <c r="E312" s="342"/>
      <c r="F312" s="342"/>
      <c r="G312" s="342"/>
      <c r="H312" s="342"/>
      <c r="I312" s="342"/>
      <c r="J312" s="342"/>
      <c r="K312" s="342"/>
    </row>
    <row r="313" spans="1:11">
      <c r="A313" s="277" t="s">
        <v>717</v>
      </c>
      <c r="B313" s="342" t="s">
        <v>718</v>
      </c>
      <c r="C313" s="342"/>
      <c r="D313" s="342"/>
      <c r="E313" s="342"/>
      <c r="F313" s="342"/>
      <c r="G313" s="342"/>
      <c r="H313" s="342"/>
      <c r="I313" s="342"/>
      <c r="J313" s="342"/>
      <c r="K313" s="342"/>
    </row>
    <row r="314" spans="1:11">
      <c r="A314" s="277"/>
      <c r="B314" s="342" t="s">
        <v>719</v>
      </c>
      <c r="C314" s="342"/>
      <c r="D314" s="342"/>
      <c r="E314" s="342"/>
      <c r="F314" s="342"/>
      <c r="G314" s="342"/>
      <c r="H314" s="342"/>
      <c r="I314" s="342"/>
      <c r="J314" s="342"/>
      <c r="K314" s="342"/>
    </row>
    <row r="315" spans="1:11">
      <c r="A315" s="277"/>
      <c r="B315" s="342" t="s">
        <v>720</v>
      </c>
      <c r="C315" s="342"/>
      <c r="D315" s="342"/>
      <c r="E315" s="342"/>
      <c r="F315" s="342"/>
      <c r="G315" s="342"/>
      <c r="H315" s="342"/>
      <c r="I315" s="342"/>
      <c r="J315" s="342"/>
      <c r="K315" s="342"/>
    </row>
    <row r="316" spans="1:11">
      <c r="A316" s="277" t="s">
        <v>721</v>
      </c>
      <c r="B316" s="342" t="s">
        <v>722</v>
      </c>
      <c r="C316" s="342"/>
      <c r="D316" s="342"/>
      <c r="E316" s="342"/>
      <c r="F316" s="342"/>
      <c r="G316" s="342"/>
      <c r="H316" s="342"/>
      <c r="I316" s="342"/>
      <c r="J316" s="342"/>
      <c r="K316" s="342"/>
    </row>
    <row r="317" spans="1:11">
      <c r="A317" s="277" t="s">
        <v>723</v>
      </c>
      <c r="B317" s="342" t="s">
        <v>724</v>
      </c>
      <c r="C317" s="342"/>
      <c r="D317" s="342"/>
      <c r="E317" s="342"/>
      <c r="F317" s="342"/>
      <c r="G317" s="342"/>
      <c r="H317" s="342"/>
      <c r="I317" s="342"/>
      <c r="J317" s="342"/>
      <c r="K317" s="342"/>
    </row>
    <row r="318" spans="1:11">
      <c r="A318" s="277"/>
      <c r="B318" s="342" t="s">
        <v>725</v>
      </c>
      <c r="C318" s="342"/>
      <c r="D318" s="342"/>
      <c r="E318" s="342"/>
      <c r="F318" s="342"/>
      <c r="G318" s="342"/>
      <c r="H318" s="342"/>
      <c r="I318" s="342"/>
      <c r="J318" s="342"/>
      <c r="K318" s="342"/>
    </row>
    <row r="319" spans="1:11">
      <c r="A319" s="277" t="s">
        <v>726</v>
      </c>
      <c r="B319" s="342" t="s">
        <v>730</v>
      </c>
      <c r="C319" s="342"/>
      <c r="D319" s="342"/>
      <c r="E319" s="342"/>
      <c r="F319" s="342"/>
      <c r="G319" s="342"/>
      <c r="H319" s="342"/>
      <c r="I319" s="342"/>
      <c r="J319" s="342"/>
      <c r="K319" s="342"/>
    </row>
    <row r="320" spans="1:11">
      <c r="A320" s="277"/>
      <c r="B320" s="274" t="s">
        <v>731</v>
      </c>
      <c r="C320" s="342"/>
      <c r="D320" s="342"/>
      <c r="E320" s="342"/>
      <c r="F320" s="342"/>
      <c r="G320" s="342"/>
      <c r="H320" s="342"/>
      <c r="I320" s="342"/>
      <c r="J320" s="342"/>
      <c r="K320" s="342"/>
    </row>
    <row r="321" spans="1:11">
      <c r="A321" s="277" t="s">
        <v>732</v>
      </c>
      <c r="B321" s="342" t="s">
        <v>733</v>
      </c>
      <c r="C321" s="342"/>
      <c r="D321" s="342"/>
      <c r="E321" s="342"/>
      <c r="F321" s="342"/>
      <c r="G321" s="342"/>
      <c r="H321" s="342"/>
      <c r="I321" s="342"/>
      <c r="J321" s="342"/>
      <c r="K321" s="342"/>
    </row>
    <row r="322" spans="1:11">
      <c r="A322" s="277"/>
      <c r="B322" s="342" t="s">
        <v>734</v>
      </c>
      <c r="C322" s="342"/>
      <c r="D322" s="342"/>
      <c r="E322" s="342"/>
      <c r="F322" s="342"/>
      <c r="G322" s="342"/>
      <c r="H322" s="342"/>
      <c r="I322" s="342"/>
      <c r="J322" s="342"/>
      <c r="K322" s="342"/>
    </row>
    <row r="323" spans="1:11">
      <c r="A323" s="277" t="s">
        <v>735</v>
      </c>
      <c r="B323" s="342" t="s">
        <v>736</v>
      </c>
      <c r="C323" s="342"/>
      <c r="D323" s="342"/>
      <c r="E323" s="342"/>
      <c r="F323" s="342"/>
      <c r="G323" s="342"/>
      <c r="H323" s="342"/>
      <c r="I323" s="342"/>
      <c r="J323" s="342"/>
      <c r="K323" s="342"/>
    </row>
    <row r="324" spans="1:11">
      <c r="A324" s="277"/>
      <c r="B324" s="342" t="s">
        <v>737</v>
      </c>
      <c r="C324" s="342"/>
      <c r="D324" s="342"/>
      <c r="E324" s="342"/>
      <c r="F324" s="342"/>
      <c r="G324" s="342"/>
      <c r="H324" s="342"/>
      <c r="I324" s="342"/>
      <c r="J324" s="342"/>
      <c r="K324" s="342"/>
    </row>
    <row r="325" spans="1:11">
      <c r="A325" s="277"/>
      <c r="B325" s="342" t="s">
        <v>738</v>
      </c>
      <c r="C325" s="342"/>
      <c r="D325" s="342"/>
      <c r="E325" s="342"/>
      <c r="F325" s="342"/>
      <c r="G325" s="342"/>
      <c r="H325" s="342"/>
      <c r="I325" s="342"/>
      <c r="J325" s="342"/>
      <c r="K325" s="342"/>
    </row>
    <row r="326" spans="1:11">
      <c r="A326" s="277"/>
      <c r="B326" s="342" t="s">
        <v>739</v>
      </c>
      <c r="C326" s="342"/>
      <c r="D326" s="342"/>
      <c r="E326" s="342"/>
      <c r="F326" s="342"/>
      <c r="G326" s="342"/>
      <c r="H326" s="342"/>
      <c r="I326" s="342"/>
      <c r="J326" s="342"/>
      <c r="K326" s="342"/>
    </row>
    <row r="327" spans="1:11">
      <c r="A327" s="277" t="s">
        <v>124</v>
      </c>
      <c r="B327" s="342" t="s">
        <v>740</v>
      </c>
      <c r="C327" s="342" t="s">
        <v>741</v>
      </c>
      <c r="D327" s="593">
        <v>0.35</v>
      </c>
      <c r="E327" s="342"/>
      <c r="F327" s="342"/>
      <c r="G327" s="342"/>
      <c r="H327" s="342"/>
      <c r="I327" s="342"/>
      <c r="J327" s="342"/>
      <c r="K327" s="342"/>
    </row>
    <row r="328" spans="1:11">
      <c r="A328" s="277"/>
      <c r="B328" s="342"/>
      <c r="C328" s="342" t="s">
        <v>742</v>
      </c>
      <c r="D328" s="593">
        <v>9.0289999999999995E-2</v>
      </c>
      <c r="E328" s="342" t="s">
        <v>743</v>
      </c>
      <c r="F328" s="342"/>
      <c r="G328" s="342"/>
      <c r="H328" s="342"/>
      <c r="I328" s="342"/>
      <c r="J328" s="342"/>
      <c r="K328" s="342"/>
    </row>
    <row r="329" spans="1:11">
      <c r="A329" s="277"/>
      <c r="B329" s="342"/>
      <c r="C329" s="342" t="s">
        <v>744</v>
      </c>
      <c r="D329" s="593">
        <v>0</v>
      </c>
      <c r="E329" s="342" t="s">
        <v>745</v>
      </c>
      <c r="F329" s="342"/>
      <c r="G329" s="342"/>
      <c r="H329" s="342"/>
      <c r="I329" s="342"/>
      <c r="J329" s="342"/>
      <c r="K329" s="342"/>
    </row>
    <row r="330" spans="1:11">
      <c r="A330" s="277" t="s">
        <v>746</v>
      </c>
      <c r="B330" s="342" t="s">
        <v>747</v>
      </c>
      <c r="C330" s="342"/>
      <c r="D330" s="342"/>
      <c r="E330" s="342"/>
      <c r="F330" s="342"/>
      <c r="G330" s="342"/>
      <c r="H330" s="342"/>
      <c r="I330" s="594"/>
      <c r="J330" s="594"/>
      <c r="K330" s="342"/>
    </row>
    <row r="331" spans="1:11">
      <c r="A331" s="277" t="s">
        <v>748</v>
      </c>
      <c r="B331" s="342" t="s">
        <v>749</v>
      </c>
      <c r="C331" s="342"/>
      <c r="D331" s="342"/>
      <c r="E331" s="342"/>
      <c r="F331" s="342"/>
      <c r="G331" s="342"/>
      <c r="H331" s="342"/>
      <c r="I331" s="342"/>
      <c r="J331" s="342"/>
      <c r="K331" s="342"/>
    </row>
    <row r="332" spans="1:11">
      <c r="A332" s="277"/>
      <c r="B332" s="342" t="s">
        <v>750</v>
      </c>
      <c r="C332" s="342"/>
      <c r="D332" s="342"/>
      <c r="E332" s="342"/>
      <c r="F332" s="342"/>
      <c r="G332" s="342"/>
      <c r="H332" s="342"/>
      <c r="I332" s="342"/>
      <c r="J332" s="342"/>
      <c r="K332" s="342"/>
    </row>
    <row r="333" spans="1:11">
      <c r="A333" s="277" t="s">
        <v>751</v>
      </c>
      <c r="B333" s="342" t="s">
        <v>752</v>
      </c>
      <c r="C333" s="342"/>
      <c r="D333" s="342"/>
      <c r="E333" s="342"/>
      <c r="F333" s="342"/>
      <c r="G333" s="342"/>
      <c r="H333" s="342"/>
      <c r="I333" s="342"/>
      <c r="J333" s="342"/>
      <c r="K333" s="342"/>
    </row>
    <row r="334" spans="1:11">
      <c r="A334" s="277"/>
      <c r="B334" s="342" t="s">
        <v>753</v>
      </c>
      <c r="C334" s="342"/>
      <c r="D334" s="342"/>
      <c r="E334" s="342"/>
      <c r="F334" s="342"/>
      <c r="G334" s="342"/>
      <c r="H334" s="342"/>
      <c r="I334" s="342"/>
      <c r="J334" s="342"/>
      <c r="K334" s="342"/>
    </row>
    <row r="335" spans="1:11">
      <c r="A335" s="277"/>
      <c r="B335" s="342" t="s">
        <v>754</v>
      </c>
      <c r="C335" s="342"/>
      <c r="D335" s="342"/>
      <c r="E335" s="342"/>
      <c r="F335" s="342"/>
      <c r="G335" s="342"/>
      <c r="H335" s="342"/>
      <c r="I335" s="342"/>
      <c r="J335" s="342"/>
      <c r="K335" s="342"/>
    </row>
    <row r="336" spans="1:11">
      <c r="A336" s="277" t="s">
        <v>755</v>
      </c>
      <c r="B336" s="342" t="s">
        <v>756</v>
      </c>
      <c r="C336" s="342"/>
      <c r="D336" s="342"/>
      <c r="E336" s="342"/>
      <c r="F336" s="342"/>
      <c r="G336" s="342"/>
      <c r="H336" s="342"/>
      <c r="I336" s="342"/>
      <c r="J336" s="342"/>
      <c r="K336" s="342"/>
    </row>
    <row r="337" spans="1:11">
      <c r="A337" s="277" t="s">
        <v>757</v>
      </c>
      <c r="B337" s="342" t="s">
        <v>758</v>
      </c>
      <c r="C337" s="342"/>
      <c r="D337" s="342"/>
      <c r="E337" s="342"/>
      <c r="F337" s="342"/>
      <c r="G337" s="342"/>
      <c r="H337" s="342"/>
      <c r="I337" s="342"/>
      <c r="J337" s="342"/>
      <c r="K337" s="342"/>
    </row>
    <row r="338" spans="1:11">
      <c r="A338" s="277"/>
      <c r="B338" s="342" t="s">
        <v>759</v>
      </c>
      <c r="C338" s="342"/>
      <c r="D338" s="342"/>
      <c r="E338" s="342"/>
      <c r="F338" s="342"/>
      <c r="G338" s="342"/>
      <c r="H338" s="342"/>
      <c r="I338" s="342"/>
      <c r="J338" s="342"/>
      <c r="K338" s="342"/>
    </row>
    <row r="339" spans="1:11">
      <c r="A339" s="277" t="s">
        <v>760</v>
      </c>
      <c r="B339" s="342" t="s">
        <v>761</v>
      </c>
      <c r="C339" s="342"/>
      <c r="D339" s="342"/>
      <c r="E339" s="342"/>
      <c r="F339" s="342"/>
      <c r="G339" s="342"/>
      <c r="H339" s="342"/>
      <c r="I339" s="342"/>
      <c r="J339" s="342"/>
      <c r="K339" s="342"/>
    </row>
    <row r="340" spans="1:11">
      <c r="A340" s="277"/>
      <c r="B340" s="342" t="s">
        <v>762</v>
      </c>
      <c r="C340" s="342"/>
      <c r="D340" s="342"/>
      <c r="E340" s="342"/>
      <c r="F340" s="342"/>
      <c r="G340" s="342"/>
      <c r="H340" s="342"/>
      <c r="I340" s="342"/>
      <c r="J340" s="342"/>
      <c r="K340" s="342"/>
    </row>
    <row r="341" spans="1:11">
      <c r="A341" s="277" t="s">
        <v>763</v>
      </c>
      <c r="B341" s="342" t="s">
        <v>764</v>
      </c>
      <c r="C341" s="342"/>
      <c r="D341" s="342"/>
      <c r="E341" s="342"/>
      <c r="F341" s="342"/>
      <c r="G341" s="342"/>
      <c r="H341" s="342"/>
      <c r="I341" s="342"/>
      <c r="J341" s="342"/>
      <c r="K341" s="342"/>
    </row>
    <row r="342" spans="1:11">
      <c r="A342" s="277" t="s">
        <v>765</v>
      </c>
      <c r="B342" s="342" t="s">
        <v>766</v>
      </c>
      <c r="C342" s="342"/>
      <c r="D342" s="342"/>
      <c r="E342" s="342"/>
      <c r="F342" s="342"/>
      <c r="G342" s="342"/>
      <c r="H342" s="342"/>
      <c r="I342" s="342"/>
      <c r="J342" s="342"/>
      <c r="K342" s="342"/>
    </row>
    <row r="343" spans="1:11">
      <c r="B343" s="342" t="s">
        <v>767</v>
      </c>
      <c r="C343" s="342"/>
      <c r="D343" s="342"/>
      <c r="E343" s="342"/>
      <c r="F343" s="342"/>
      <c r="G343" s="342"/>
      <c r="H343" s="342"/>
      <c r="I343" s="342"/>
      <c r="J343" s="342"/>
      <c r="K343" s="342"/>
    </row>
    <row r="344" spans="1:11">
      <c r="B344" s="300" t="s">
        <v>768</v>
      </c>
      <c r="C344" s="300"/>
      <c r="D344" s="300"/>
      <c r="E344" s="300"/>
      <c r="F344" s="300"/>
      <c r="G344" s="300"/>
      <c r="H344" s="300"/>
      <c r="I344" s="300"/>
      <c r="J344" s="300"/>
      <c r="K344" s="342"/>
    </row>
    <row r="345" spans="1:11">
      <c r="A345" s="309" t="s">
        <v>769</v>
      </c>
      <c r="B345" s="300" t="s">
        <v>770</v>
      </c>
      <c r="C345" s="300"/>
      <c r="D345" s="300"/>
      <c r="E345" s="300"/>
      <c r="F345" s="300"/>
      <c r="G345" s="300"/>
      <c r="H345" s="300"/>
      <c r="I345" s="300"/>
      <c r="J345" s="300"/>
      <c r="K345" s="300"/>
    </row>
    <row r="346" spans="1:11">
      <c r="B346" s="300" t="s">
        <v>771</v>
      </c>
      <c r="C346" s="595"/>
      <c r="D346" s="300"/>
      <c r="E346" s="300"/>
      <c r="F346" s="300"/>
      <c r="G346" s="300"/>
      <c r="H346" s="300"/>
      <c r="I346" s="300"/>
      <c r="J346" s="300"/>
      <c r="K346" s="300"/>
    </row>
    <row r="347" spans="1:11">
      <c r="B347" s="300" t="s">
        <v>772</v>
      </c>
      <c r="C347" s="300"/>
      <c r="D347" s="300"/>
      <c r="E347" s="300"/>
      <c r="F347" s="300"/>
      <c r="G347" s="300"/>
      <c r="H347" s="300"/>
      <c r="I347" s="300"/>
      <c r="J347" s="300"/>
      <c r="K347" s="300"/>
    </row>
    <row r="348" spans="1:11">
      <c r="A348" s="309" t="s">
        <v>773</v>
      </c>
      <c r="B348" s="300" t="s">
        <v>774</v>
      </c>
      <c r="C348" s="283"/>
      <c r="D348" s="283"/>
      <c r="E348" s="283"/>
      <c r="F348" s="283"/>
      <c r="G348" s="283"/>
      <c r="H348" s="283"/>
      <c r="I348" s="300"/>
      <c r="J348" s="300"/>
      <c r="K348" s="300"/>
    </row>
    <row r="349" spans="1:11">
      <c r="A349" s="555" t="s">
        <v>775</v>
      </c>
      <c r="B349" s="300" t="s">
        <v>776</v>
      </c>
      <c r="C349" s="300"/>
      <c r="D349" s="300"/>
      <c r="E349" s="300"/>
      <c r="F349" s="300"/>
      <c r="G349" s="300"/>
      <c r="H349" s="300"/>
      <c r="I349" s="300"/>
      <c r="J349" s="300"/>
      <c r="K349" s="300"/>
    </row>
    <row r="350" spans="1:11" s="274" customFormat="1">
      <c r="A350" s="555" t="s">
        <v>777</v>
      </c>
      <c r="B350" s="283" t="s">
        <v>778</v>
      </c>
      <c r="C350" s="300"/>
      <c r="D350" s="300"/>
      <c r="E350" s="300"/>
      <c r="F350" s="300"/>
      <c r="G350" s="300"/>
      <c r="H350" s="300"/>
      <c r="I350" s="300"/>
      <c r="J350" s="300"/>
      <c r="K350" s="300"/>
    </row>
    <row r="351" spans="1:11" s="274" customFormat="1">
      <c r="A351" s="555"/>
      <c r="B351" s="300" t="s">
        <v>779</v>
      </c>
      <c r="C351" s="300"/>
      <c r="D351" s="300"/>
      <c r="E351" s="300"/>
      <c r="F351" s="300"/>
      <c r="G351" s="283"/>
      <c r="H351" s="267"/>
      <c r="I351" s="300"/>
      <c r="J351" s="300"/>
      <c r="K351" s="300"/>
    </row>
    <row r="352" spans="1:11">
      <c r="A352" s="555"/>
      <c r="B352" s="300" t="s">
        <v>780</v>
      </c>
      <c r="C352" s="300"/>
      <c r="D352" s="300"/>
      <c r="E352" s="300"/>
      <c r="F352" s="300"/>
      <c r="G352" s="283"/>
      <c r="H352" s="283"/>
      <c r="I352" s="300"/>
      <c r="J352" s="300"/>
      <c r="K352" s="300"/>
    </row>
    <row r="353" spans="1:11">
      <c r="A353" s="555"/>
      <c r="B353" s="300" t="s">
        <v>781</v>
      </c>
      <c r="C353" s="300"/>
      <c r="D353" s="300"/>
      <c r="E353" s="300"/>
      <c r="F353" s="300"/>
      <c r="G353" s="283"/>
      <c r="H353" s="283"/>
      <c r="I353" s="300"/>
      <c r="J353" s="300"/>
      <c r="K353" s="300"/>
    </row>
    <row r="354" spans="1:11">
      <c r="A354" s="555"/>
      <c r="B354" s="300" t="s">
        <v>782</v>
      </c>
      <c r="C354" s="300"/>
      <c r="D354" s="300"/>
      <c r="E354" s="300"/>
      <c r="F354" s="300"/>
      <c r="G354" s="283"/>
      <c r="H354" s="283"/>
      <c r="I354" s="300"/>
      <c r="J354" s="300"/>
      <c r="K354" s="300"/>
    </row>
    <row r="355" spans="1:11">
      <c r="A355" s="555"/>
      <c r="B355" s="300" t="s">
        <v>783</v>
      </c>
      <c r="C355" s="300"/>
      <c r="D355" s="300"/>
      <c r="E355" s="300"/>
      <c r="F355" s="300"/>
      <c r="G355" s="283"/>
      <c r="H355" s="283"/>
      <c r="I355" s="300"/>
      <c r="J355" s="300"/>
      <c r="K355" s="300"/>
    </row>
    <row r="356" spans="1:11">
      <c r="A356" s="309" t="s">
        <v>784</v>
      </c>
      <c r="B356" s="300" t="s">
        <v>785</v>
      </c>
      <c r="C356" s="300"/>
      <c r="D356" s="300"/>
      <c r="E356" s="300"/>
      <c r="F356" s="300"/>
      <c r="G356" s="300"/>
      <c r="H356" s="283"/>
      <c r="I356" s="300"/>
      <c r="J356" s="300"/>
      <c r="K356" s="300"/>
    </row>
    <row r="357" spans="1:11">
      <c r="A357" s="309" t="s">
        <v>786</v>
      </c>
      <c r="B357" s="300" t="s">
        <v>0</v>
      </c>
      <c r="C357" s="300"/>
      <c r="D357" s="300"/>
      <c r="E357" s="300"/>
      <c r="F357" s="300"/>
      <c r="G357" s="300"/>
      <c r="H357" s="283"/>
      <c r="I357" s="300"/>
      <c r="J357" s="300"/>
      <c r="K357" s="300"/>
    </row>
    <row r="358" spans="1:11">
      <c r="A358" s="309"/>
      <c r="B358" s="300" t="s">
        <v>1</v>
      </c>
      <c r="C358" s="300"/>
      <c r="D358" s="300"/>
      <c r="E358" s="300"/>
      <c r="F358" s="300"/>
      <c r="G358" s="300"/>
      <c r="H358" s="283"/>
      <c r="I358" s="300"/>
      <c r="J358" s="300"/>
      <c r="K358" s="300"/>
    </row>
    <row r="359" spans="1:11">
      <c r="A359" s="309" t="s">
        <v>2</v>
      </c>
      <c r="B359" s="300" t="s">
        <v>3</v>
      </c>
      <c r="C359" s="274"/>
      <c r="D359" s="274"/>
      <c r="E359" s="274"/>
      <c r="F359" s="300"/>
      <c r="G359" s="300"/>
      <c r="H359" s="283"/>
      <c r="I359" s="300"/>
      <c r="J359" s="300"/>
      <c r="K359" s="300"/>
    </row>
    <row r="360" spans="1:11">
      <c r="A360" s="309"/>
      <c r="B360" s="430" t="s">
        <v>254</v>
      </c>
      <c r="C360" s="300" t="s">
        <v>4</v>
      </c>
      <c r="D360" s="596">
        <v>7325499.9999999991</v>
      </c>
      <c r="E360" s="274"/>
      <c r="F360" s="300"/>
      <c r="G360" s="300"/>
      <c r="H360" s="283"/>
      <c r="I360" s="300"/>
      <c r="J360" s="300"/>
      <c r="K360" s="300"/>
    </row>
    <row r="361" spans="1:11">
      <c r="A361" s="309"/>
      <c r="B361" s="430" t="s">
        <v>255</v>
      </c>
      <c r="C361" s="300" t="s">
        <v>4</v>
      </c>
      <c r="D361" s="597">
        <v>7397500</v>
      </c>
      <c r="E361" s="274"/>
      <c r="F361" s="300"/>
      <c r="G361" s="300"/>
      <c r="H361" s="283"/>
      <c r="I361" s="300"/>
      <c r="J361" s="300"/>
      <c r="K361" s="300"/>
    </row>
    <row r="362" spans="1:11">
      <c r="A362" s="309"/>
      <c r="B362" s="431" t="s">
        <v>256</v>
      </c>
      <c r="C362" s="300"/>
      <c r="D362" s="596">
        <f>D360-D361</f>
        <v>-72000.000000000931</v>
      </c>
      <c r="E362" s="274"/>
      <c r="F362" s="300"/>
      <c r="G362" s="300"/>
      <c r="H362" s="283"/>
      <c r="I362" s="300"/>
      <c r="J362" s="300"/>
      <c r="K362" s="300"/>
    </row>
    <row r="363" spans="1:11">
      <c r="A363" s="309"/>
      <c r="B363" s="430" t="s">
        <v>257</v>
      </c>
      <c r="C363" s="300" t="s">
        <v>5</v>
      </c>
      <c r="D363" s="598">
        <v>44.33850778</v>
      </c>
      <c r="E363" s="274"/>
      <c r="F363" s="300"/>
      <c r="G363" s="300"/>
      <c r="H363" s="283"/>
      <c r="I363" s="300"/>
      <c r="J363" s="300"/>
      <c r="K363" s="300"/>
    </row>
    <row r="364" spans="1:11">
      <c r="A364" s="309"/>
      <c r="B364" s="430" t="s">
        <v>258</v>
      </c>
      <c r="C364" s="300"/>
      <c r="D364" s="599">
        <f>D363*D362</f>
        <v>-3192372.5601600413</v>
      </c>
      <c r="E364" s="300"/>
      <c r="F364" s="300"/>
      <c r="G364" s="300"/>
      <c r="H364" s="283"/>
      <c r="I364" s="300"/>
      <c r="J364" s="300"/>
      <c r="K364" s="300"/>
    </row>
    <row r="365" spans="1:11">
      <c r="A365" s="309" t="s">
        <v>6</v>
      </c>
      <c r="B365" s="432" t="s">
        <v>887</v>
      </c>
      <c r="C365" s="300"/>
      <c r="D365" s="274"/>
      <c r="E365" s="300"/>
      <c r="F365" s="300"/>
      <c r="G365" s="300"/>
      <c r="H365" s="283"/>
      <c r="I365" s="300"/>
      <c r="J365" s="300"/>
      <c r="K365" s="300"/>
    </row>
    <row r="366" spans="1:11">
      <c r="A366" s="309" t="s">
        <v>7</v>
      </c>
      <c r="B366" s="432" t="s">
        <v>902</v>
      </c>
      <c r="C366" s="300"/>
      <c r="D366" s="274"/>
      <c r="E366" s="300"/>
      <c r="F366" s="300"/>
      <c r="G366" s="300"/>
      <c r="H366" s="283"/>
      <c r="I366" s="300"/>
      <c r="J366" s="300"/>
      <c r="K366" s="300"/>
    </row>
    <row r="367" spans="1:11">
      <c r="A367" s="309"/>
      <c r="B367" s="432" t="s">
        <v>903</v>
      </c>
      <c r="C367" s="300"/>
      <c r="D367" s="274"/>
      <c r="E367" s="300"/>
      <c r="F367" s="300"/>
      <c r="G367" s="300"/>
      <c r="H367" s="283"/>
      <c r="I367" s="300"/>
      <c r="J367" s="300"/>
      <c r="K367" s="300"/>
    </row>
    <row r="368" spans="1:11">
      <c r="A368" s="309" t="s">
        <v>8</v>
      </c>
      <c r="B368" s="432" t="s">
        <v>890</v>
      </c>
    </row>
    <row r="369" spans="1:11">
      <c r="A369" s="309" t="s">
        <v>9</v>
      </c>
      <c r="B369" s="432" t="s">
        <v>904</v>
      </c>
      <c r="C369" s="283"/>
      <c r="D369" s="283"/>
      <c r="E369" s="283"/>
      <c r="F369" s="283"/>
      <c r="G369" s="283"/>
      <c r="H369" s="283"/>
      <c r="I369" s="283"/>
      <c r="J369" s="283"/>
      <c r="K369" s="300"/>
    </row>
    <row r="370" spans="1:11">
      <c r="A370" s="309"/>
      <c r="B370" s="432" t="s">
        <v>905</v>
      </c>
      <c r="C370" s="283"/>
      <c r="D370" s="283"/>
      <c r="E370" s="283"/>
      <c r="F370" s="283"/>
      <c r="G370" s="283"/>
      <c r="H370" s="283"/>
      <c r="I370" s="283"/>
      <c r="J370" s="283"/>
      <c r="K370" s="300"/>
    </row>
    <row r="371" spans="1:11">
      <c r="A371" s="309" t="s">
        <v>10</v>
      </c>
      <c r="B371" s="433" t="s">
        <v>11</v>
      </c>
      <c r="K371" s="300"/>
    </row>
    <row r="372" spans="1:11">
      <c r="A372" s="309" t="s">
        <v>12</v>
      </c>
      <c r="B372" s="433" t="s">
        <v>906</v>
      </c>
    </row>
  </sheetData>
  <mergeCells count="7">
    <mergeCell ref="A302:K302"/>
    <mergeCell ref="A6:K6"/>
    <mergeCell ref="Q26:S26"/>
    <mergeCell ref="A78:K78"/>
    <mergeCell ref="A150:K150"/>
    <mergeCell ref="F155:G155"/>
    <mergeCell ref="A225:K225"/>
  </mergeCells>
  <conditionalFormatting sqref="N21">
    <cfRule type="cellIs" dxfId="1" priority="1" stopIfTrue="1" operator="equal">
      <formula>"ERROR in RR detail"</formula>
    </cfRule>
  </conditionalFormatting>
  <conditionalFormatting sqref="N25">
    <cfRule type="cellIs" dxfId="0" priority="2" stopIfTrue="1" operator="equal">
      <formula>"ERROR MW detail"</formula>
    </cfRule>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A1:J56"/>
  <sheetViews>
    <sheetView showGridLines="0" workbookViewId="0">
      <selection activeCell="A2" sqref="A2"/>
    </sheetView>
  </sheetViews>
  <sheetFormatPr defaultRowHeight="12"/>
  <cols>
    <col min="1" max="1" width="8.88671875" style="497"/>
    <col min="2" max="2" width="22.77734375" style="497" bestFit="1" customWidth="1"/>
    <col min="3" max="3" width="13.5546875" style="497" bestFit="1" customWidth="1"/>
    <col min="4" max="4" width="15.33203125" style="497" customWidth="1"/>
    <col min="5" max="5" width="13.6640625" style="496" bestFit="1" customWidth="1"/>
    <col min="6" max="6" width="8.88671875" style="497"/>
    <col min="7" max="7" width="11.21875" style="497" bestFit="1" customWidth="1"/>
    <col min="8" max="8" width="8.88671875" style="497"/>
    <col min="9" max="10" width="11.21875" style="497" bestFit="1" customWidth="1"/>
    <col min="11" max="16384" width="8.88671875" style="497"/>
  </cols>
  <sheetData>
    <row r="1" spans="1:10">
      <c r="A1" s="848" t="s">
        <v>1145</v>
      </c>
      <c r="E1" s="849" t="s">
        <v>1188</v>
      </c>
    </row>
    <row r="5" spans="1:10" ht="24">
      <c r="C5" s="850" t="s">
        <v>1146</v>
      </c>
      <c r="D5" s="850" t="s">
        <v>1147</v>
      </c>
      <c r="E5" s="851" t="s">
        <v>1148</v>
      </c>
    </row>
    <row r="7" spans="1:10">
      <c r="A7" s="497" t="s">
        <v>1067</v>
      </c>
      <c r="B7" s="497" t="s">
        <v>1100</v>
      </c>
      <c r="C7" s="852">
        <f>'WP Att GG Support Rev 1'!C23*2</f>
        <v>14145637.400000004</v>
      </c>
      <c r="D7" s="852">
        <f>C7*0.5</f>
        <v>7072818.700000002</v>
      </c>
      <c r="E7" s="852">
        <f>ROUND(C7-D7,0)</f>
        <v>7072819</v>
      </c>
      <c r="G7" s="858"/>
    </row>
    <row r="8" spans="1:10">
      <c r="A8" s="497" t="s">
        <v>1068</v>
      </c>
      <c r="B8" s="497" t="s">
        <v>1102</v>
      </c>
      <c r="C8" s="852">
        <f>'WP Att GG Support Rev 1'!D23*2</f>
        <v>6975795.0199999968</v>
      </c>
      <c r="D8" s="852">
        <f>C8*0.5</f>
        <v>3487897.5099999984</v>
      </c>
      <c r="E8" s="852">
        <f t="shared" ref="E8:E22" si="0">ROUND(C8-D8,0)</f>
        <v>3487898</v>
      </c>
      <c r="G8" s="858"/>
    </row>
    <row r="9" spans="1:10">
      <c r="A9" s="497" t="s">
        <v>1069</v>
      </c>
      <c r="B9" s="497" t="s">
        <v>1104</v>
      </c>
      <c r="C9" s="852">
        <f>'WP Att GG Support Rev 1'!E23*2</f>
        <v>8924590.5</v>
      </c>
      <c r="D9" s="852">
        <f>C9*0.5</f>
        <v>4462295.25</v>
      </c>
      <c r="E9" s="852">
        <f t="shared" si="0"/>
        <v>4462295</v>
      </c>
      <c r="G9" s="858"/>
    </row>
    <row r="10" spans="1:10">
      <c r="A10" s="497" t="s">
        <v>1070</v>
      </c>
      <c r="B10" s="497" t="s">
        <v>1106</v>
      </c>
      <c r="C10" s="852">
        <f>'WP Att GG Support Rev 1'!F23</f>
        <v>7706681.2699999968</v>
      </c>
      <c r="D10" s="852"/>
      <c r="E10" s="852">
        <f t="shared" si="0"/>
        <v>7706681</v>
      </c>
      <c r="G10" s="858"/>
    </row>
    <row r="11" spans="1:10">
      <c r="A11" s="497" t="s">
        <v>1071</v>
      </c>
      <c r="B11" s="497" t="s">
        <v>1108</v>
      </c>
      <c r="C11" s="853">
        <f>'WP Att GG Support Rev 1'!G23</f>
        <v>30458515.474915478</v>
      </c>
      <c r="D11" s="852"/>
      <c r="E11" s="852">
        <f t="shared" si="0"/>
        <v>30458515</v>
      </c>
      <c r="G11" s="858"/>
    </row>
    <row r="12" spans="1:10">
      <c r="A12" s="497" t="s">
        <v>1149</v>
      </c>
      <c r="B12" s="494" t="s">
        <v>1110</v>
      </c>
      <c r="C12" s="853">
        <f>'WP Att GG Support Rev 1'!H23</f>
        <v>187920084.73209459</v>
      </c>
      <c r="D12" s="852"/>
      <c r="E12" s="852">
        <f t="shared" si="0"/>
        <v>187920085</v>
      </c>
      <c r="G12" s="858"/>
    </row>
    <row r="13" spans="1:10">
      <c r="A13" s="497" t="s">
        <v>1150</v>
      </c>
      <c r="B13" s="494" t="s">
        <v>1112</v>
      </c>
      <c r="C13" s="853">
        <f>'WP Att GG Support Rev 1'!I23</f>
        <v>132170202.73352344</v>
      </c>
      <c r="D13" s="852"/>
      <c r="E13" s="852">
        <f t="shared" si="0"/>
        <v>132170203</v>
      </c>
      <c r="G13" s="858"/>
    </row>
    <row r="14" spans="1:10">
      <c r="A14" s="497" t="s">
        <v>1074</v>
      </c>
      <c r="B14" s="497" t="s">
        <v>1114</v>
      </c>
      <c r="C14" s="853">
        <f>'WP Att GG Support Rev 1'!J23</f>
        <v>468201.81000000023</v>
      </c>
      <c r="D14" s="852"/>
      <c r="E14" s="852">
        <f t="shared" si="0"/>
        <v>468202</v>
      </c>
      <c r="G14" s="858"/>
    </row>
    <row r="15" spans="1:10">
      <c r="A15" s="497" t="s">
        <v>1075</v>
      </c>
      <c r="B15" s="497" t="s">
        <v>1116</v>
      </c>
      <c r="C15" s="853">
        <f>'WP Att GG Support Rev 1'!K23</f>
        <v>127736.33000000006</v>
      </c>
      <c r="D15" s="852"/>
      <c r="E15" s="852">
        <f t="shared" si="0"/>
        <v>127736</v>
      </c>
      <c r="G15" s="858"/>
    </row>
    <row r="16" spans="1:10">
      <c r="A16" s="497" t="s">
        <v>1076</v>
      </c>
      <c r="B16" s="497" t="s">
        <v>1118</v>
      </c>
      <c r="C16" s="853">
        <f>'WP Att GG Support Rev 1'!L23</f>
        <v>47486.62999999999</v>
      </c>
      <c r="D16" s="852"/>
      <c r="E16" s="852">
        <f t="shared" si="0"/>
        <v>47487</v>
      </c>
      <c r="G16" s="858"/>
      <c r="J16" s="856"/>
    </row>
    <row r="17" spans="1:10">
      <c r="A17" s="497" t="s">
        <v>1077</v>
      </c>
      <c r="B17" s="497" t="s">
        <v>1120</v>
      </c>
      <c r="C17" s="853">
        <f>'WP Att GG Support Rev 1'!M23</f>
        <v>230828.43999999997</v>
      </c>
      <c r="D17" s="852"/>
      <c r="E17" s="852">
        <f t="shared" si="0"/>
        <v>230828</v>
      </c>
      <c r="G17" s="858"/>
      <c r="J17" s="856"/>
    </row>
    <row r="18" spans="1:10">
      <c r="A18" s="497" t="s">
        <v>1078</v>
      </c>
      <c r="B18" s="497" t="s">
        <v>1122</v>
      </c>
      <c r="C18" s="853">
        <f>'WP Att GG Support Rev 1'!N23</f>
        <v>3957255.7844287585</v>
      </c>
      <c r="D18" s="852"/>
      <c r="E18" s="852">
        <f t="shared" si="0"/>
        <v>3957256</v>
      </c>
      <c r="G18" s="858"/>
      <c r="J18" s="856"/>
    </row>
    <row r="19" spans="1:10">
      <c r="A19" s="497" t="s">
        <v>1079</v>
      </c>
      <c r="B19" s="497" t="s">
        <v>1124</v>
      </c>
      <c r="C19" s="853">
        <f>'WP Att GG Support Rev 1'!O23</f>
        <v>20463074.690626998</v>
      </c>
      <c r="D19" s="852"/>
      <c r="E19" s="852">
        <f t="shared" si="0"/>
        <v>20463075</v>
      </c>
      <c r="G19" s="858"/>
      <c r="J19" s="856"/>
    </row>
    <row r="20" spans="1:10">
      <c r="A20" s="497" t="s">
        <v>1081</v>
      </c>
      <c r="B20" s="497" t="s">
        <v>1126</v>
      </c>
      <c r="C20" s="853">
        <f>'WP Att GG Support Rev 1'!Q23</f>
        <v>4141814.8192307698</v>
      </c>
      <c r="D20" s="852"/>
      <c r="E20" s="852">
        <f t="shared" si="0"/>
        <v>4141815</v>
      </c>
      <c r="G20" s="858"/>
      <c r="J20" s="856"/>
    </row>
    <row r="21" spans="1:10">
      <c r="A21" s="497" t="s">
        <v>1082</v>
      </c>
      <c r="B21" s="497" t="s">
        <v>1128</v>
      </c>
      <c r="C21" s="853">
        <f>'WP Att GG Support Rev 1'!R23</f>
        <v>3361346.5200000005</v>
      </c>
      <c r="D21" s="852"/>
      <c r="E21" s="852">
        <f t="shared" si="0"/>
        <v>3361347</v>
      </c>
      <c r="G21" s="858"/>
      <c r="J21" s="856"/>
    </row>
    <row r="22" spans="1:10">
      <c r="A22" s="854" t="s">
        <v>1080</v>
      </c>
      <c r="B22" s="497" t="s">
        <v>1130</v>
      </c>
      <c r="C22" s="853">
        <f>'WP Att GG Support Rev 1'!P23</f>
        <v>262037.76923076922</v>
      </c>
      <c r="D22" s="852"/>
      <c r="E22" s="852">
        <f t="shared" si="0"/>
        <v>262038</v>
      </c>
      <c r="G22" s="858"/>
      <c r="J22" s="856"/>
    </row>
    <row r="23" spans="1:10">
      <c r="A23" s="854"/>
      <c r="C23" s="853"/>
      <c r="D23" s="852"/>
      <c r="E23" s="852"/>
    </row>
    <row r="25" spans="1:10">
      <c r="A25" s="497" t="s">
        <v>142</v>
      </c>
      <c r="C25" s="852"/>
      <c r="D25" s="852"/>
      <c r="E25" s="855">
        <f>SUM(E7:E24)-2</f>
        <v>406338278</v>
      </c>
      <c r="G25" s="858"/>
      <c r="J25" s="856"/>
    </row>
    <row r="27" spans="1:10">
      <c r="D27" s="497" t="s">
        <v>1151</v>
      </c>
      <c r="E27" s="852">
        <f>E25-E28</f>
        <v>193740489</v>
      </c>
    </row>
    <row r="28" spans="1:10">
      <c r="D28" s="497" t="s">
        <v>1152</v>
      </c>
      <c r="E28" s="852">
        <f>104018560+52985406+55593823</f>
        <v>212597789</v>
      </c>
    </row>
    <row r="31" spans="1:10">
      <c r="A31" s="848" t="s">
        <v>1153</v>
      </c>
      <c r="E31" s="849" t="str">
        <f>E1</f>
        <v>2014 Workpapers</v>
      </c>
    </row>
    <row r="33" spans="1:10">
      <c r="A33" s="854" t="s">
        <v>933</v>
      </c>
      <c r="B33" s="497" t="s">
        <v>1052</v>
      </c>
      <c r="C33" s="852">
        <f>'WP Att MM Support Rev 1'!C23</f>
        <v>385654486.91082692</v>
      </c>
      <c r="E33" s="852">
        <f>ROUND(C33-D33,0)</f>
        <v>385654487</v>
      </c>
      <c r="J33" s="856"/>
    </row>
    <row r="34" spans="1:10">
      <c r="E34" s="852"/>
      <c r="J34" s="856"/>
    </row>
    <row r="35" spans="1:10">
      <c r="A35" s="497" t="s">
        <v>142</v>
      </c>
      <c r="E35" s="855">
        <f>SUM(E33:E34)</f>
        <v>385654487</v>
      </c>
      <c r="J35" s="856"/>
    </row>
    <row r="36" spans="1:10">
      <c r="J36" s="856"/>
    </row>
    <row r="37" spans="1:10">
      <c r="D37" s="497" t="s">
        <v>1151</v>
      </c>
      <c r="E37" s="852">
        <f>E35-E38</f>
        <v>216918154.70769221</v>
      </c>
      <c r="J37" s="856"/>
    </row>
    <row r="38" spans="1:10">
      <c r="D38" s="497" t="s">
        <v>1152</v>
      </c>
      <c r="E38" s="852">
        <v>168736332.29230779</v>
      </c>
      <c r="F38" s="497" t="s">
        <v>124</v>
      </c>
      <c r="J38" s="856"/>
    </row>
    <row r="39" spans="1:10">
      <c r="J39" s="856"/>
    </row>
    <row r="40" spans="1:10">
      <c r="A40" s="497" t="s">
        <v>1154</v>
      </c>
      <c r="D40" s="497" t="s">
        <v>1155</v>
      </c>
      <c r="E40" s="852">
        <f>E27+E37</f>
        <v>410658643.70769221</v>
      </c>
      <c r="J40" s="856"/>
    </row>
    <row r="41" spans="1:10">
      <c r="D41" s="497" t="s">
        <v>1156</v>
      </c>
      <c r="E41" s="852">
        <f>'WP PreFunded AFUDC Rev 1'!H40+'WP PreFunded AFUDC Rev 1'!H41+'WP PreFunded AFUDC Rev 1'!H42+'WP PreFunded AFUDC Rev 1'!H43</f>
        <v>23760385.631857526</v>
      </c>
      <c r="J41" s="856"/>
    </row>
    <row r="42" spans="1:10">
      <c r="D42" s="497" t="s">
        <v>1157</v>
      </c>
      <c r="E42" s="855">
        <f>E40+E41</f>
        <v>434419029.33954972</v>
      </c>
      <c r="J42" s="856"/>
    </row>
    <row r="43" spans="1:10">
      <c r="J43" s="856"/>
    </row>
    <row r="44" spans="1:10">
      <c r="J44" s="856"/>
    </row>
    <row r="45" spans="1:10">
      <c r="J45" s="856"/>
    </row>
    <row r="46" spans="1:10">
      <c r="I46" s="856"/>
      <c r="J46" s="856"/>
    </row>
    <row r="47" spans="1:10">
      <c r="I47" s="856"/>
      <c r="J47" s="856"/>
    </row>
    <row r="48" spans="1:10">
      <c r="I48" s="856"/>
      <c r="J48" s="856"/>
    </row>
    <row r="49" spans="5:10">
      <c r="I49" s="856"/>
      <c r="J49" s="856"/>
    </row>
    <row r="50" spans="5:10">
      <c r="I50" s="856"/>
      <c r="J50" s="856"/>
    </row>
    <row r="51" spans="5:10">
      <c r="I51" s="856"/>
      <c r="J51" s="856"/>
    </row>
    <row r="56" spans="5:10">
      <c r="E56" s="496">
        <v>168736332.29230779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BFFFF"/>
    <pageSetUpPr fitToPage="1"/>
  </sheetPr>
  <dimension ref="A1:D25"/>
  <sheetViews>
    <sheetView showGridLines="0" workbookViewId="0"/>
  </sheetViews>
  <sheetFormatPr defaultRowHeight="15"/>
  <cols>
    <col min="1" max="1" width="88.5546875" style="473" customWidth="1"/>
    <col min="2" max="16384" width="8.88671875" style="473"/>
  </cols>
  <sheetData>
    <row r="1" spans="1:4" ht="15.75">
      <c r="A1" s="456" t="s">
        <v>537</v>
      </c>
    </row>
    <row r="2" spans="1:4" ht="15.75">
      <c r="A2" s="456" t="s">
        <v>538</v>
      </c>
    </row>
    <row r="3" spans="1:4" ht="15.75">
      <c r="A3" s="456" t="s">
        <v>787</v>
      </c>
    </row>
    <row r="4" spans="1:4" ht="15.75">
      <c r="A4" s="267"/>
    </row>
    <row r="5" spans="1:4" s="475" customFormat="1" ht="47.25">
      <c r="A5" s="612" t="s">
        <v>1191</v>
      </c>
    </row>
    <row r="6" spans="1:4" s="475" customFormat="1" ht="15.75">
      <c r="A6" s="457"/>
    </row>
    <row r="7" spans="1:4" s="475" customFormat="1" ht="31.5">
      <c r="A7" s="612" t="s">
        <v>1192</v>
      </c>
      <c r="D7" s="478"/>
    </row>
    <row r="8" spans="1:4" s="475" customFormat="1" ht="15.75">
      <c r="A8" s="457"/>
    </row>
    <row r="9" spans="1:4" s="475" customFormat="1" ht="47.25">
      <c r="A9" s="612" t="s">
        <v>1193</v>
      </c>
    </row>
    <row r="10" spans="1:4" s="475" customFormat="1" ht="15.75">
      <c r="A10" s="457"/>
    </row>
    <row r="11" spans="1:4" s="475" customFormat="1" ht="47.25">
      <c r="A11" s="612" t="s">
        <v>922</v>
      </c>
    </row>
    <row r="12" spans="1:4" s="475" customFormat="1" ht="15.75">
      <c r="A12" s="457"/>
    </row>
    <row r="13" spans="1:4" s="475" customFormat="1" ht="47.25">
      <c r="A13" s="612" t="s">
        <v>923</v>
      </c>
    </row>
    <row r="14" spans="1:4" s="475" customFormat="1" ht="15.75">
      <c r="A14" s="457"/>
    </row>
    <row r="15" spans="1:4" s="475" customFormat="1" ht="47.25">
      <c r="A15" s="612" t="s">
        <v>924</v>
      </c>
    </row>
    <row r="16" spans="1:4" s="475" customFormat="1" ht="15.75">
      <c r="A16" s="457"/>
    </row>
    <row r="17" spans="1:1" s="475" customFormat="1" ht="47.25">
      <c r="A17" s="612" t="s">
        <v>908</v>
      </c>
    </row>
    <row r="18" spans="1:1" s="475" customFormat="1" ht="15.75">
      <c r="A18" s="457"/>
    </row>
    <row r="19" spans="1:1" s="475" customFormat="1" ht="31.5">
      <c r="A19" s="612" t="s">
        <v>909</v>
      </c>
    </row>
    <row r="20" spans="1:1" s="475" customFormat="1" ht="15.75">
      <c r="A20" s="474"/>
    </row>
    <row r="21" spans="1:1">
      <c r="A21" s="475"/>
    </row>
    <row r="22" spans="1:1">
      <c r="A22" s="475"/>
    </row>
    <row r="23" spans="1:1">
      <c r="A23" s="475"/>
    </row>
    <row r="24" spans="1:1">
      <c r="A24" s="475"/>
    </row>
    <row r="25" spans="1:1">
      <c r="A25" s="475"/>
    </row>
  </sheetData>
  <phoneticPr fontId="13" type="noConversion"/>
  <pageMargins left="0.75" right="0.75" top="1" bottom="1" header="0.5"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BFFFF"/>
  </sheetPr>
  <dimension ref="A1:U375"/>
  <sheetViews>
    <sheetView showGridLines="0" zoomScale="80" zoomScaleNormal="80" workbookViewId="0"/>
  </sheetViews>
  <sheetFormatPr defaultRowHeight="15.75"/>
  <cols>
    <col min="1" max="1" width="4.6640625" style="267" customWidth="1"/>
    <col min="2" max="2" width="42.6640625" style="267" customWidth="1"/>
    <col min="3" max="3" width="35" style="267" customWidth="1"/>
    <col min="4" max="4" width="14.6640625" style="267" customWidth="1"/>
    <col min="5" max="5" width="5.5546875" style="267" customWidth="1"/>
    <col min="6" max="6" width="3.6640625" style="267" customWidth="1"/>
    <col min="7" max="7" width="11.33203125" style="267" customWidth="1"/>
    <col min="8" max="8" width="3.44140625" style="267" customWidth="1"/>
    <col min="9" max="9" width="14.6640625" style="267" customWidth="1"/>
    <col min="10" max="10" width="1.77734375" style="267" customWidth="1"/>
    <col min="11" max="11" width="8.6640625" style="274" customWidth="1"/>
    <col min="12" max="12" width="16" style="267" customWidth="1"/>
    <col min="13" max="13" width="15.6640625" style="267" customWidth="1"/>
    <col min="14" max="14" width="15" style="267" customWidth="1"/>
    <col min="15" max="15" width="42.109375" style="267" customWidth="1"/>
    <col min="16" max="16" width="12" style="267" customWidth="1"/>
    <col min="17" max="17" width="13.21875" style="267" customWidth="1"/>
    <col min="18" max="18" width="18.88671875" style="267" bestFit="1" customWidth="1"/>
    <col min="19" max="19" width="8" style="267" customWidth="1"/>
    <col min="20" max="20" width="5.21875" style="267" customWidth="1"/>
    <col min="21" max="16384" width="8.88671875" style="267"/>
  </cols>
  <sheetData>
    <row r="1" spans="1:21">
      <c r="K1" s="551" t="s">
        <v>884</v>
      </c>
    </row>
    <row r="2" spans="1:21">
      <c r="B2" s="268"/>
      <c r="C2" s="268"/>
      <c r="D2" s="269"/>
      <c r="E2" s="268"/>
      <c r="F2" s="268"/>
      <c r="G2" s="268"/>
      <c r="H2" s="270"/>
      <c r="I2" s="271"/>
      <c r="J2" s="271"/>
      <c r="K2" s="272" t="s">
        <v>388</v>
      </c>
      <c r="M2" s="303"/>
      <c r="N2" s="458"/>
      <c r="O2" s="458"/>
      <c r="P2" s="458"/>
      <c r="Q2" s="458"/>
      <c r="R2" s="458"/>
      <c r="S2" s="458"/>
      <c r="T2" s="458"/>
      <c r="U2" s="303"/>
    </row>
    <row r="3" spans="1:21">
      <c r="B3" s="268"/>
      <c r="C3" s="268"/>
      <c r="D3" s="269"/>
      <c r="E3" s="268"/>
      <c r="F3" s="268"/>
      <c r="G3" s="268"/>
      <c r="H3" s="270"/>
      <c r="I3" s="270"/>
      <c r="J3" s="270"/>
      <c r="K3" s="273"/>
      <c r="M3" s="303"/>
      <c r="N3" s="458"/>
      <c r="O3" s="458"/>
      <c r="P3" s="458"/>
      <c r="Q3" s="458"/>
      <c r="R3" s="458"/>
      <c r="S3" s="458"/>
      <c r="T3" s="458"/>
      <c r="U3" s="303"/>
    </row>
    <row r="4" spans="1:21">
      <c r="B4" s="268" t="s">
        <v>389</v>
      </c>
      <c r="C4" s="268"/>
      <c r="D4" s="269" t="s">
        <v>390</v>
      </c>
      <c r="E4" s="268"/>
      <c r="F4" s="268"/>
      <c r="G4" s="268"/>
      <c r="H4" s="270"/>
      <c r="K4" s="272" t="s">
        <v>788</v>
      </c>
      <c r="L4" s="274"/>
      <c r="M4" s="368"/>
      <c r="N4" s="458"/>
      <c r="O4" s="458"/>
      <c r="P4" s="458"/>
      <c r="Q4" s="458"/>
      <c r="R4" s="458"/>
      <c r="S4" s="458"/>
      <c r="T4" s="458"/>
      <c r="U4" s="303"/>
    </row>
    <row r="5" spans="1:21">
      <c r="B5" s="268"/>
      <c r="C5" s="214" t="s">
        <v>124</v>
      </c>
      <c r="D5" s="214" t="s">
        <v>391</v>
      </c>
      <c r="E5" s="214"/>
      <c r="F5" s="214"/>
      <c r="G5" s="214"/>
      <c r="H5" s="270"/>
      <c r="I5" s="270"/>
      <c r="J5" s="270"/>
      <c r="K5" s="273"/>
      <c r="L5" s="274"/>
      <c r="M5" s="368"/>
      <c r="N5" s="458"/>
      <c r="O5" s="458"/>
      <c r="P5" s="458"/>
      <c r="Q5" s="458"/>
      <c r="R5" s="458"/>
      <c r="S5" s="458"/>
      <c r="T5" s="458"/>
      <c r="U5" s="303"/>
    </row>
    <row r="6" spans="1:21">
      <c r="B6" s="275"/>
      <c r="C6" s="275"/>
      <c r="D6" s="275"/>
      <c r="E6" s="275"/>
      <c r="F6" s="275"/>
      <c r="G6" s="275"/>
      <c r="H6" s="275"/>
      <c r="I6" s="275"/>
      <c r="J6" s="275"/>
      <c r="K6" s="273"/>
      <c r="M6" s="303"/>
      <c r="N6" s="458"/>
      <c r="O6" s="458"/>
      <c r="P6" s="458"/>
      <c r="Q6" s="458"/>
      <c r="R6" s="458"/>
      <c r="S6" s="458"/>
      <c r="T6" s="458"/>
      <c r="U6" s="303"/>
    </row>
    <row r="7" spans="1:21">
      <c r="A7" s="879" t="s">
        <v>240</v>
      </c>
      <c r="B7" s="879"/>
      <c r="C7" s="879"/>
      <c r="D7" s="879"/>
      <c r="E7" s="879"/>
      <c r="F7" s="879"/>
      <c r="G7" s="879"/>
      <c r="H7" s="879"/>
      <c r="I7" s="879"/>
      <c r="J7" s="879"/>
      <c r="K7" s="879"/>
      <c r="L7" s="481"/>
      <c r="M7" s="303"/>
      <c r="N7" s="459"/>
      <c r="O7" s="458"/>
      <c r="P7" s="458"/>
      <c r="Q7" s="458"/>
      <c r="R7" s="458"/>
      <c r="S7" s="458"/>
      <c r="T7" s="458"/>
      <c r="U7" s="303"/>
    </row>
    <row r="8" spans="1:21">
      <c r="A8" s="277"/>
      <c r="B8" s="275"/>
      <c r="C8" s="275"/>
      <c r="D8" s="278"/>
      <c r="E8" s="275"/>
      <c r="F8" s="275"/>
      <c r="G8" s="275"/>
      <c r="H8" s="275"/>
      <c r="I8" s="275"/>
      <c r="J8" s="275"/>
      <c r="K8" s="273"/>
      <c r="M8" s="303"/>
      <c r="N8" s="458"/>
      <c r="O8" s="458"/>
      <c r="P8" s="458"/>
      <c r="Q8" s="458"/>
      <c r="R8" s="458"/>
      <c r="S8" s="458"/>
      <c r="T8" s="458"/>
      <c r="U8" s="303"/>
    </row>
    <row r="9" spans="1:21">
      <c r="A9" s="277" t="s">
        <v>165</v>
      </c>
      <c r="B9" s="275"/>
      <c r="C9" s="275"/>
      <c r="D9" s="278"/>
      <c r="E9" s="275"/>
      <c r="F9" s="275"/>
      <c r="G9" s="275"/>
      <c r="H9" s="275"/>
      <c r="I9" s="277" t="s">
        <v>392</v>
      </c>
      <c r="J9" s="277"/>
      <c r="K9" s="273"/>
      <c r="M9" s="303"/>
      <c r="N9" s="458"/>
      <c r="O9" s="458"/>
      <c r="P9" s="458"/>
      <c r="Q9" s="458"/>
      <c r="R9" s="458"/>
      <c r="S9" s="458"/>
      <c r="T9" s="458"/>
      <c r="U9" s="303"/>
    </row>
    <row r="10" spans="1:21" ht="16.5" thickBot="1">
      <c r="A10" s="279" t="s">
        <v>141</v>
      </c>
      <c r="B10" s="275"/>
      <c r="C10" s="275"/>
      <c r="D10" s="275"/>
      <c r="E10" s="275"/>
      <c r="F10" s="275"/>
      <c r="G10" s="275"/>
      <c r="H10" s="275"/>
      <c r="I10" s="279" t="s">
        <v>393</v>
      </c>
      <c r="J10" s="280"/>
      <c r="K10" s="273"/>
      <c r="M10" s="303"/>
      <c r="N10" s="458"/>
      <c r="O10" s="458"/>
      <c r="P10" s="458"/>
      <c r="Q10" s="458"/>
      <c r="R10" s="458"/>
      <c r="S10" s="458"/>
      <c r="T10" s="458"/>
      <c r="U10" s="303"/>
    </row>
    <row r="11" spans="1:21">
      <c r="A11" s="277">
        <v>1</v>
      </c>
      <c r="B11" s="275" t="s">
        <v>394</v>
      </c>
      <c r="C11" s="275"/>
      <c r="D11" s="281"/>
      <c r="E11" s="275"/>
      <c r="F11" s="275"/>
      <c r="G11" s="275"/>
      <c r="H11" s="275"/>
      <c r="I11" s="282">
        <f>+I212</f>
        <v>343009625.89740354</v>
      </c>
      <c r="J11" s="282"/>
      <c r="K11" s="273"/>
      <c r="M11" s="303"/>
      <c r="N11" s="458"/>
      <c r="O11" s="458"/>
      <c r="P11" s="458"/>
      <c r="Q11" s="458"/>
      <c r="R11" s="458"/>
      <c r="S11" s="458"/>
      <c r="T11" s="458"/>
      <c r="U11" s="303"/>
    </row>
    <row r="12" spans="1:21">
      <c r="A12" s="277"/>
      <c r="B12" s="275"/>
      <c r="C12" s="275"/>
      <c r="D12" s="275"/>
      <c r="E12" s="275"/>
      <c r="F12" s="275"/>
      <c r="G12" s="275"/>
      <c r="H12" s="275"/>
      <c r="I12" s="281"/>
      <c r="J12" s="281"/>
      <c r="K12" s="273"/>
      <c r="M12" s="303"/>
      <c r="N12" s="458"/>
      <c r="O12" s="458"/>
      <c r="P12" s="458"/>
      <c r="Q12" s="458"/>
      <c r="R12" s="458"/>
      <c r="S12" s="458"/>
      <c r="T12" s="458"/>
      <c r="U12" s="303"/>
    </row>
    <row r="13" spans="1:21" ht="16.5" thickBot="1">
      <c r="A13" s="277" t="s">
        <v>124</v>
      </c>
      <c r="B13" s="283" t="s">
        <v>395</v>
      </c>
      <c r="C13" s="284" t="s">
        <v>396</v>
      </c>
      <c r="D13" s="279" t="s">
        <v>142</v>
      </c>
      <c r="E13" s="214"/>
      <c r="F13" s="285" t="s">
        <v>397</v>
      </c>
      <c r="G13" s="285"/>
      <c r="H13" s="275"/>
      <c r="I13" s="281"/>
      <c r="J13" s="281"/>
      <c r="K13" s="273"/>
      <c r="M13" s="303"/>
      <c r="N13" s="458"/>
      <c r="O13" s="458"/>
      <c r="P13" s="458"/>
      <c r="Q13" s="458"/>
      <c r="R13" s="458"/>
      <c r="S13" s="458"/>
      <c r="T13" s="458"/>
      <c r="U13" s="303"/>
    </row>
    <row r="14" spans="1:21">
      <c r="A14" s="277">
        <v>2</v>
      </c>
      <c r="B14" s="283" t="s">
        <v>398</v>
      </c>
      <c r="C14" s="214" t="s">
        <v>399</v>
      </c>
      <c r="D14" s="214">
        <f>I285</f>
        <v>864358.89</v>
      </c>
      <c r="E14" s="214"/>
      <c r="F14" s="214" t="s">
        <v>400</v>
      </c>
      <c r="G14" s="286">
        <f>I235</f>
        <v>0.97463758648696985</v>
      </c>
      <c r="H14" s="214"/>
      <c r="I14" s="214">
        <f>+G14*D14</f>
        <v>842436.66240815632</v>
      </c>
      <c r="J14" s="214"/>
      <c r="K14" s="273"/>
      <c r="M14" s="303"/>
      <c r="N14" s="458"/>
      <c r="O14" s="458"/>
      <c r="P14" s="458"/>
      <c r="Q14" s="458"/>
      <c r="R14" s="458"/>
      <c r="S14" s="458"/>
      <c r="T14" s="458"/>
      <c r="U14" s="303"/>
    </row>
    <row r="15" spans="1:21">
      <c r="A15" s="277">
        <v>3</v>
      </c>
      <c r="B15" s="283" t="s">
        <v>401</v>
      </c>
      <c r="C15" s="214" t="s">
        <v>402</v>
      </c>
      <c r="D15" s="214">
        <f>I292</f>
        <v>29768458.410000004</v>
      </c>
      <c r="E15" s="214"/>
      <c r="F15" s="214" t="str">
        <f t="shared" ref="F15:G17" si="0">+F14</f>
        <v>TP</v>
      </c>
      <c r="G15" s="286">
        <f t="shared" si="0"/>
        <v>0.97463758648696985</v>
      </c>
      <c r="H15" s="214"/>
      <c r="I15" s="214">
        <f>+G15*D15</f>
        <v>29013458.458160143</v>
      </c>
      <c r="J15" s="214"/>
      <c r="K15" s="273"/>
      <c r="M15" s="303"/>
      <c r="T15" s="458"/>
      <c r="U15" s="303"/>
    </row>
    <row r="16" spans="1:21">
      <c r="A16" s="277">
        <v>4</v>
      </c>
      <c r="B16" s="287" t="s">
        <v>403</v>
      </c>
      <c r="C16" s="214"/>
      <c r="D16" s="288">
        <v>0</v>
      </c>
      <c r="E16" s="214"/>
      <c r="F16" s="214" t="str">
        <f t="shared" si="0"/>
        <v>TP</v>
      </c>
      <c r="G16" s="286">
        <f t="shared" si="0"/>
        <v>0.97463758648696985</v>
      </c>
      <c r="H16" s="214"/>
      <c r="I16" s="214">
        <f>+G16*D16</f>
        <v>0</v>
      </c>
      <c r="J16" s="214"/>
      <c r="K16" s="273"/>
      <c r="M16" s="303"/>
      <c r="P16" s="559" t="s">
        <v>407</v>
      </c>
      <c r="Q16" s="559" t="s">
        <v>407</v>
      </c>
      <c r="R16" s="559" t="s">
        <v>1139</v>
      </c>
      <c r="T16" s="458"/>
      <c r="U16" s="303"/>
    </row>
    <row r="17" spans="1:21" ht="16.5" thickBot="1">
      <c r="A17" s="277">
        <v>5</v>
      </c>
      <c r="B17" s="287" t="s">
        <v>404</v>
      </c>
      <c r="C17" s="214"/>
      <c r="D17" s="288">
        <v>0</v>
      </c>
      <c r="E17" s="214"/>
      <c r="F17" s="214" t="str">
        <f t="shared" si="0"/>
        <v>TP</v>
      </c>
      <c r="G17" s="286">
        <f t="shared" si="0"/>
        <v>0.97463758648696985</v>
      </c>
      <c r="H17" s="214"/>
      <c r="I17" s="289">
        <f>+G17*D17</f>
        <v>0</v>
      </c>
      <c r="J17" s="290"/>
      <c r="K17" s="273"/>
      <c r="M17" s="303"/>
      <c r="P17" s="559" t="s">
        <v>1140</v>
      </c>
      <c r="Q17" s="559" t="s">
        <v>1140</v>
      </c>
      <c r="R17" s="559" t="s">
        <v>1141</v>
      </c>
      <c r="T17" s="458"/>
      <c r="U17" s="303"/>
    </row>
    <row r="18" spans="1:21">
      <c r="A18" s="277">
        <v>6</v>
      </c>
      <c r="B18" s="283" t="s">
        <v>405</v>
      </c>
      <c r="C18" s="275"/>
      <c r="D18" s="291" t="s">
        <v>124</v>
      </c>
      <c r="E18" s="214"/>
      <c r="F18" s="214"/>
      <c r="G18" s="286"/>
      <c r="H18" s="214"/>
      <c r="I18" s="214">
        <f>SUM(I14:I17)</f>
        <v>29855895.120568298</v>
      </c>
      <c r="J18" s="214"/>
      <c r="K18" s="273"/>
      <c r="M18" s="303"/>
      <c r="N18" s="267" t="s">
        <v>406</v>
      </c>
      <c r="O18" s="267" t="s">
        <v>407</v>
      </c>
      <c r="P18" s="559" t="s">
        <v>1142</v>
      </c>
      <c r="Q18" s="559" t="s">
        <v>1143</v>
      </c>
      <c r="R18" s="559" t="s">
        <v>648</v>
      </c>
      <c r="T18" s="458"/>
      <c r="U18" s="303"/>
    </row>
    <row r="19" spans="1:21">
      <c r="A19" s="277"/>
      <c r="B19" s="283"/>
      <c r="C19" s="275"/>
      <c r="D19" s="291"/>
      <c r="E19" s="214"/>
      <c r="F19" s="214"/>
      <c r="G19" s="286"/>
      <c r="H19" s="214"/>
      <c r="I19" s="214"/>
      <c r="J19" s="284"/>
      <c r="K19" s="273"/>
      <c r="M19" s="303"/>
      <c r="N19" s="267" t="s">
        <v>410</v>
      </c>
      <c r="O19" s="821">
        <f>Q28</f>
        <v>12606864.090000002</v>
      </c>
      <c r="P19" s="821">
        <v>0</v>
      </c>
      <c r="Q19" s="821">
        <f>O19-P19</f>
        <v>12606864.090000002</v>
      </c>
      <c r="R19" s="822">
        <f>Q19/Q21</f>
        <v>4.6251386106163101E-3</v>
      </c>
      <c r="T19" s="458"/>
      <c r="U19" s="303"/>
    </row>
    <row r="20" spans="1:21">
      <c r="A20" s="292" t="s">
        <v>408</v>
      </c>
      <c r="B20" s="274" t="s">
        <v>409</v>
      </c>
      <c r="C20" s="273"/>
      <c r="D20" s="284" t="s">
        <v>124</v>
      </c>
      <c r="E20" s="273"/>
      <c r="F20" s="273"/>
      <c r="G20" s="293"/>
      <c r="H20" s="273"/>
      <c r="I20" s="294">
        <f>'WP True Up Calc in 2014 Formula'!$D$10</f>
        <v>315706117</v>
      </c>
      <c r="J20" s="295"/>
      <c r="K20" s="273"/>
      <c r="M20" s="303"/>
      <c r="N20" s="267" t="s">
        <v>414</v>
      </c>
      <c r="O20" s="823">
        <f>+O21-O19</f>
        <v>3147538927.4838405</v>
      </c>
      <c r="P20" s="824">
        <f>'WP GG and MM Projects Rev 1'!E42</f>
        <v>434419029.33954972</v>
      </c>
      <c r="Q20" s="823">
        <f>O20-P20</f>
        <v>2713119898.1442909</v>
      </c>
      <c r="R20" s="825">
        <f>Q20/Q21</f>
        <v>0.99537486138938358</v>
      </c>
      <c r="T20" s="458"/>
      <c r="U20" s="303"/>
    </row>
    <row r="21" spans="1:21" ht="16.5" thickBot="1">
      <c r="A21" s="292" t="s">
        <v>411</v>
      </c>
      <c r="B21" s="274" t="s">
        <v>412</v>
      </c>
      <c r="C21" s="273" t="s">
        <v>413</v>
      </c>
      <c r="D21" s="284"/>
      <c r="E21" s="273"/>
      <c r="F21" s="273"/>
      <c r="G21" s="293"/>
      <c r="H21" s="273"/>
      <c r="I21" s="296">
        <f>'WP True Up Calc in 2014 Formula'!$F$10</f>
        <v>327994111.33553702</v>
      </c>
      <c r="J21" s="295"/>
      <c r="K21" s="273"/>
      <c r="M21" s="303"/>
      <c r="N21" s="267" t="s">
        <v>142</v>
      </c>
      <c r="O21" s="826">
        <f>+I87</f>
        <v>3160145791.5738406</v>
      </c>
      <c r="P21" s="826">
        <f>SUM(P19:P20)</f>
        <v>434419029.33954972</v>
      </c>
      <c r="Q21" s="826">
        <f>SUM(Q19:Q20)</f>
        <v>2725726762.2342911</v>
      </c>
      <c r="R21" s="825">
        <f>SUM(R19:R20)</f>
        <v>0.99999999999999989</v>
      </c>
      <c r="T21" s="458"/>
      <c r="U21" s="303"/>
    </row>
    <row r="22" spans="1:21">
      <c r="A22" s="292" t="s">
        <v>415</v>
      </c>
      <c r="B22" s="274" t="s">
        <v>416</v>
      </c>
      <c r="C22" s="273" t="s">
        <v>417</v>
      </c>
      <c r="D22" s="284"/>
      <c r="E22" s="273"/>
      <c r="F22" s="273"/>
      <c r="G22" s="293"/>
      <c r="H22" s="273"/>
      <c r="I22" s="295">
        <f>I20-I21</f>
        <v>-12287994.335537016</v>
      </c>
      <c r="J22" s="295"/>
      <c r="K22" s="273"/>
      <c r="M22" s="303"/>
      <c r="T22" s="458"/>
      <c r="U22" s="303"/>
    </row>
    <row r="23" spans="1:21">
      <c r="A23" s="292" t="s">
        <v>418</v>
      </c>
      <c r="B23" s="274" t="s">
        <v>419</v>
      </c>
      <c r="C23" s="273" t="s">
        <v>420</v>
      </c>
      <c r="D23" s="284"/>
      <c r="E23" s="273"/>
      <c r="F23" s="273"/>
      <c r="G23" s="293"/>
      <c r="H23" s="273"/>
      <c r="I23" s="294">
        <f>-'WP True Up Calc in 2014 Formula'!$H$26</f>
        <v>3192372.5601600413</v>
      </c>
      <c r="J23" s="295"/>
      <c r="K23" s="273"/>
      <c r="M23" s="303"/>
      <c r="T23" s="458"/>
      <c r="U23" s="303"/>
    </row>
    <row r="24" spans="1:21" ht="16.5" thickBot="1">
      <c r="A24" s="292" t="s">
        <v>421</v>
      </c>
      <c r="B24" s="274" t="s">
        <v>422</v>
      </c>
      <c r="C24" s="273"/>
      <c r="D24" s="284"/>
      <c r="E24" s="273"/>
      <c r="F24" s="273"/>
      <c r="G24" s="293"/>
      <c r="H24" s="273"/>
      <c r="I24" s="296">
        <f>'WP True Up Interest'!$C$14</f>
        <v>-608304.10282067326</v>
      </c>
      <c r="J24" s="295"/>
      <c r="K24" s="273"/>
      <c r="M24" s="303"/>
      <c r="T24" s="458"/>
      <c r="U24" s="303"/>
    </row>
    <row r="25" spans="1:21">
      <c r="A25" s="277"/>
      <c r="B25" s="283"/>
      <c r="C25" s="275"/>
      <c r="I25" s="214"/>
      <c r="J25" s="284"/>
      <c r="K25" s="273"/>
      <c r="M25" s="303"/>
      <c r="T25" s="458"/>
      <c r="U25" s="303"/>
    </row>
    <row r="26" spans="1:21" ht="16.5" thickBot="1">
      <c r="A26" s="277">
        <v>7</v>
      </c>
      <c r="B26" s="283" t="s">
        <v>248</v>
      </c>
      <c r="C26" s="273" t="s">
        <v>423</v>
      </c>
      <c r="D26" s="291"/>
      <c r="E26" s="214"/>
      <c r="F26" s="214"/>
      <c r="G26" s="214"/>
      <c r="H26" s="214"/>
      <c r="I26" s="297">
        <f>+I11-I18+I22+I23+I24</f>
        <v>303449804.89863759</v>
      </c>
      <c r="J26" s="298"/>
      <c r="K26" s="273"/>
      <c r="M26" s="303"/>
      <c r="T26" s="458"/>
      <c r="U26" s="303"/>
    </row>
    <row r="27" spans="1:21" ht="16.5" thickTop="1">
      <c r="A27" s="277"/>
      <c r="C27" s="275"/>
      <c r="D27" s="291"/>
      <c r="E27" s="214"/>
      <c r="F27" s="214"/>
      <c r="G27" s="214"/>
      <c r="H27" s="214"/>
      <c r="J27" s="274"/>
      <c r="K27" s="273"/>
      <c r="M27" s="303"/>
      <c r="Q27" s="880"/>
      <c r="R27" s="880"/>
      <c r="S27" s="880"/>
      <c r="T27" s="458"/>
      <c r="U27" s="303"/>
    </row>
    <row r="28" spans="1:21">
      <c r="A28" s="277"/>
      <c r="B28" s="283" t="s">
        <v>424</v>
      </c>
      <c r="C28" s="275"/>
      <c r="D28" s="281"/>
      <c r="E28" s="275"/>
      <c r="F28" s="275"/>
      <c r="G28" s="275"/>
      <c r="H28" s="275"/>
      <c r="I28" s="281"/>
      <c r="J28" s="299"/>
      <c r="K28" s="273"/>
      <c r="M28" s="303"/>
      <c r="N28" s="827">
        <v>9332851.2487900145</v>
      </c>
      <c r="O28" s="799" t="s">
        <v>427</v>
      </c>
      <c r="P28" s="800"/>
      <c r="Q28" s="827">
        <v>12606864.090000002</v>
      </c>
      <c r="R28" s="799" t="s">
        <v>428</v>
      </c>
      <c r="S28" s="800"/>
      <c r="T28" s="458"/>
      <c r="U28" s="303"/>
    </row>
    <row r="29" spans="1:21">
      <c r="A29" s="277">
        <v>8</v>
      </c>
      <c r="B29" s="300" t="s">
        <v>425</v>
      </c>
      <c r="C29" s="274"/>
      <c r="D29" s="281"/>
      <c r="E29" s="275"/>
      <c r="F29" s="275"/>
      <c r="G29" s="301" t="s">
        <v>426</v>
      </c>
      <c r="H29" s="275"/>
      <c r="I29" s="302">
        <f>'WP Divisor'!$H$25</f>
        <v>6587000</v>
      </c>
      <c r="J29" s="299"/>
      <c r="K29" s="273"/>
      <c r="M29" s="303"/>
      <c r="N29" s="828">
        <f>N28/I103</f>
        <v>4.101579796663226E-3</v>
      </c>
      <c r="O29" s="303" t="s">
        <v>1144</v>
      </c>
      <c r="P29" s="829"/>
      <c r="Q29" s="830">
        <f>R19</f>
        <v>4.6251386106163101E-3</v>
      </c>
      <c r="R29" s="303" t="s">
        <v>431</v>
      </c>
      <c r="S29" s="801"/>
      <c r="T29" s="458"/>
      <c r="U29" s="303"/>
    </row>
    <row r="30" spans="1:21">
      <c r="A30" s="277">
        <v>9</v>
      </c>
      <c r="B30" s="283" t="s">
        <v>429</v>
      </c>
      <c r="C30" s="214"/>
      <c r="D30" s="214"/>
      <c r="E30" s="214"/>
      <c r="F30" s="214"/>
      <c r="G30" s="284" t="s">
        <v>430</v>
      </c>
      <c r="H30" s="214"/>
      <c r="I30" s="302">
        <v>0</v>
      </c>
      <c r="J30" s="299"/>
      <c r="K30" s="273"/>
      <c r="M30" s="303"/>
      <c r="N30" s="831">
        <f>P32/P34</f>
        <v>8.93868633715467E-3</v>
      </c>
      <c r="O30" s="802" t="s">
        <v>433</v>
      </c>
      <c r="P30" s="832"/>
      <c r="Q30" s="833"/>
      <c r="R30" s="802"/>
      <c r="S30" s="803"/>
      <c r="T30" s="458"/>
      <c r="U30" s="303"/>
    </row>
    <row r="31" spans="1:21">
      <c r="A31" s="277">
        <v>10</v>
      </c>
      <c r="B31" s="287" t="s">
        <v>250</v>
      </c>
      <c r="C31" s="275"/>
      <c r="D31" s="275"/>
      <c r="E31" s="275"/>
      <c r="G31" s="301" t="s">
        <v>432</v>
      </c>
      <c r="H31" s="275"/>
      <c r="I31" s="302">
        <f>'WP Divisor'!$J$25</f>
        <v>507666.66666666669</v>
      </c>
      <c r="J31" s="299"/>
      <c r="K31" s="273"/>
      <c r="M31" s="303"/>
      <c r="N31" s="834" t="s">
        <v>406</v>
      </c>
      <c r="O31" s="835" t="s">
        <v>436</v>
      </c>
      <c r="P31" s="836" t="s">
        <v>218</v>
      </c>
      <c r="Q31" s="834" t="s">
        <v>406</v>
      </c>
      <c r="R31" s="835" t="s">
        <v>436</v>
      </c>
      <c r="S31" s="836" t="s">
        <v>218</v>
      </c>
      <c r="T31" s="458"/>
      <c r="U31" s="303"/>
    </row>
    <row r="32" spans="1:21">
      <c r="A32" s="277">
        <v>11</v>
      </c>
      <c r="B32" s="283" t="s">
        <v>434</v>
      </c>
      <c r="C32" s="275"/>
      <c r="D32" s="275"/>
      <c r="E32" s="275"/>
      <c r="G32" s="301" t="s">
        <v>435</v>
      </c>
      <c r="H32" s="275"/>
      <c r="I32" s="304">
        <v>0</v>
      </c>
      <c r="J32" s="287"/>
      <c r="K32" s="273"/>
      <c r="M32" s="303"/>
      <c r="N32" s="804" t="s">
        <v>410</v>
      </c>
      <c r="O32" s="837">
        <f>N29*I26</f>
        <v>1244623.5890736496</v>
      </c>
      <c r="P32" s="838">
        <v>63417</v>
      </c>
      <c r="Q32" s="839" t="s">
        <v>410</v>
      </c>
      <c r="R32" s="840">
        <f>Q29*I26</f>
        <v>1403497.4090206751</v>
      </c>
      <c r="S32" s="841">
        <f>P32</f>
        <v>63417</v>
      </c>
      <c r="T32" s="458"/>
      <c r="U32" s="303"/>
    </row>
    <row r="33" spans="1:21">
      <c r="A33" s="277">
        <v>12</v>
      </c>
      <c r="B33" s="287" t="s">
        <v>251</v>
      </c>
      <c r="C33" s="275"/>
      <c r="D33" s="275"/>
      <c r="E33" s="275"/>
      <c r="F33" s="275"/>
      <c r="G33" s="270"/>
      <c r="H33" s="275"/>
      <c r="I33" s="304">
        <v>0</v>
      </c>
      <c r="J33" s="287"/>
      <c r="K33" s="273"/>
      <c r="M33" s="303"/>
      <c r="N33" s="804" t="s">
        <v>414</v>
      </c>
      <c r="O33" s="837">
        <f>O34-O32</f>
        <v>302205181.30956393</v>
      </c>
      <c r="P33" s="842">
        <f>P34-P32</f>
        <v>7031249.666666667</v>
      </c>
      <c r="Q33" s="804" t="s">
        <v>414</v>
      </c>
      <c r="R33" s="837">
        <f>R34-R32</f>
        <v>302046307.48961693</v>
      </c>
      <c r="S33" s="843">
        <f>P33</f>
        <v>7031249.666666667</v>
      </c>
      <c r="T33" s="458"/>
      <c r="U33" s="303"/>
    </row>
    <row r="34" spans="1:21">
      <c r="A34" s="277">
        <v>13</v>
      </c>
      <c r="B34" s="287" t="s">
        <v>437</v>
      </c>
      <c r="C34" s="275"/>
      <c r="D34" s="275"/>
      <c r="E34" s="275"/>
      <c r="F34" s="275"/>
      <c r="G34" s="301"/>
      <c r="H34" s="275"/>
      <c r="I34" s="304">
        <v>0</v>
      </c>
      <c r="J34" s="287"/>
      <c r="K34" s="273"/>
      <c r="M34" s="303"/>
      <c r="N34" s="844" t="s">
        <v>142</v>
      </c>
      <c r="O34" s="845">
        <f>I26</f>
        <v>303449804.89863759</v>
      </c>
      <c r="P34" s="846">
        <f>I37</f>
        <v>7094666.666666667</v>
      </c>
      <c r="Q34" s="844" t="s">
        <v>142</v>
      </c>
      <c r="R34" s="845">
        <f>I26</f>
        <v>303449804.89863759</v>
      </c>
      <c r="S34" s="847">
        <f>SUM(S32:S33)</f>
        <v>7094666.666666667</v>
      </c>
      <c r="T34" s="458"/>
      <c r="U34" s="303"/>
    </row>
    <row r="35" spans="1:21" ht="16.5" thickBot="1">
      <c r="A35" s="277">
        <v>14</v>
      </c>
      <c r="B35" s="287" t="s">
        <v>438</v>
      </c>
      <c r="C35" s="275"/>
      <c r="D35" s="275"/>
      <c r="E35" s="275"/>
      <c r="F35" s="275"/>
      <c r="G35" s="270"/>
      <c r="H35" s="275"/>
      <c r="I35" s="305">
        <v>0</v>
      </c>
      <c r="J35" s="287"/>
      <c r="K35" s="273"/>
      <c r="M35" s="303"/>
      <c r="T35" s="458"/>
      <c r="U35" s="303"/>
    </row>
    <row r="36" spans="1:21" s="274" customFormat="1">
      <c r="A36" s="292"/>
      <c r="B36" s="287"/>
      <c r="C36" s="273"/>
      <c r="D36" s="273"/>
      <c r="E36" s="273"/>
      <c r="F36" s="273"/>
      <c r="G36" s="301"/>
      <c r="H36" s="273"/>
      <c r="I36" s="287"/>
      <c r="J36" s="287"/>
      <c r="K36" s="273"/>
      <c r="M36" s="303"/>
      <c r="N36" s="458"/>
      <c r="O36" s="458"/>
      <c r="P36" s="458"/>
      <c r="Q36" s="458"/>
      <c r="R36" s="458"/>
      <c r="S36" s="458"/>
      <c r="T36" s="458"/>
      <c r="U36" s="368"/>
    </row>
    <row r="37" spans="1:21">
      <c r="A37" s="277">
        <v>15</v>
      </c>
      <c r="B37" s="268" t="s">
        <v>252</v>
      </c>
      <c r="C37" s="275"/>
      <c r="D37" s="275"/>
      <c r="E37" s="275"/>
      <c r="F37" s="275"/>
      <c r="G37" s="275"/>
      <c r="H37" s="275"/>
      <c r="I37" s="299">
        <f>SUM(I29:I35)</f>
        <v>7094666.666666667</v>
      </c>
      <c r="J37" s="299"/>
      <c r="K37" s="273"/>
      <c r="M37" s="303"/>
      <c r="N37" s="458"/>
      <c r="O37" s="458"/>
      <c r="P37" s="458"/>
      <c r="Q37" s="458"/>
      <c r="R37" s="458"/>
      <c r="S37" s="458"/>
      <c r="T37" s="458"/>
      <c r="U37" s="303"/>
    </row>
    <row r="38" spans="1:21">
      <c r="A38" s="277">
        <v>16</v>
      </c>
      <c r="B38" s="283" t="s">
        <v>253</v>
      </c>
      <c r="C38" s="275" t="s">
        <v>439</v>
      </c>
      <c r="D38" s="306">
        <f>IF(I37&gt;0,I26/I37,0)</f>
        <v>42.771537995485467</v>
      </c>
      <c r="E38" s="275"/>
      <c r="F38" s="275"/>
      <c r="G38" s="275"/>
      <c r="H38" s="275"/>
      <c r="J38" s="274"/>
      <c r="K38" s="273"/>
      <c r="M38" s="303"/>
      <c r="N38" s="458"/>
      <c r="O38" s="458"/>
      <c r="P38" s="458"/>
      <c r="Q38" s="458"/>
      <c r="R38" s="458"/>
      <c r="S38" s="458"/>
      <c r="T38" s="458"/>
      <c r="U38" s="303"/>
    </row>
    <row r="39" spans="1:21">
      <c r="A39" s="277">
        <v>17</v>
      </c>
      <c r="B39" s="283" t="s">
        <v>440</v>
      </c>
      <c r="C39" s="275" t="s">
        <v>441</v>
      </c>
      <c r="D39" s="307">
        <f>+D38/12</f>
        <v>3.5642948329571222</v>
      </c>
      <c r="E39" s="275"/>
      <c r="F39" s="275"/>
      <c r="G39" s="275"/>
      <c r="H39" s="275"/>
      <c r="K39" s="273"/>
      <c r="M39" s="303"/>
      <c r="N39" s="303"/>
      <c r="O39" s="303"/>
      <c r="P39" s="303"/>
      <c r="Q39" s="303"/>
      <c r="R39" s="303"/>
      <c r="S39" s="303"/>
      <c r="T39" s="303"/>
    </row>
    <row r="40" spans="1:21">
      <c r="A40" s="277"/>
      <c r="B40" s="283"/>
      <c r="C40" s="275"/>
      <c r="D40" s="307"/>
      <c r="E40" s="275"/>
      <c r="F40" s="275"/>
      <c r="G40" s="275"/>
      <c r="H40" s="275"/>
      <c r="K40" s="273"/>
      <c r="M40" s="303"/>
    </row>
    <row r="41" spans="1:21">
      <c r="A41" s="277"/>
      <c r="B41" s="283"/>
      <c r="C41" s="275"/>
      <c r="D41" s="308" t="s">
        <v>442</v>
      </c>
      <c r="E41" s="275"/>
      <c r="F41" s="275"/>
      <c r="G41" s="275"/>
      <c r="H41" s="275"/>
      <c r="I41" s="309" t="s">
        <v>443</v>
      </c>
      <c r="J41" s="309"/>
      <c r="K41" s="273"/>
      <c r="M41" s="303"/>
    </row>
    <row r="42" spans="1:21">
      <c r="A42" s="277">
        <v>18</v>
      </c>
      <c r="B42" s="283" t="s">
        <v>444</v>
      </c>
      <c r="C42" s="310" t="s">
        <v>445</v>
      </c>
      <c r="D42" s="307">
        <f>+D38/52</f>
        <v>0.82252957683625894</v>
      </c>
      <c r="E42" s="275"/>
      <c r="F42" s="275"/>
      <c r="G42" s="275"/>
      <c r="H42" s="275"/>
      <c r="I42" s="311">
        <f>+D38/52</f>
        <v>0.82252957683625894</v>
      </c>
      <c r="J42" s="311"/>
      <c r="K42" s="273"/>
      <c r="M42" s="303"/>
    </row>
    <row r="43" spans="1:21">
      <c r="A43" s="277">
        <v>19</v>
      </c>
      <c r="B43" s="283" t="s">
        <v>446</v>
      </c>
      <c r="C43" s="275" t="s">
        <v>447</v>
      </c>
      <c r="D43" s="307">
        <f>+D38/260</f>
        <v>0.16450591536725179</v>
      </c>
      <c r="E43" s="275" t="s">
        <v>448</v>
      </c>
      <c r="G43" s="275"/>
      <c r="H43" s="275"/>
      <c r="I43" s="311">
        <f>D38/365</f>
        <v>0.11718229587804238</v>
      </c>
      <c r="J43" s="311"/>
      <c r="K43" s="273"/>
      <c r="M43" s="303"/>
    </row>
    <row r="44" spans="1:21">
      <c r="A44" s="277">
        <v>20</v>
      </c>
      <c r="B44" s="283" t="s">
        <v>449</v>
      </c>
      <c r="C44" s="275" t="s">
        <v>450</v>
      </c>
      <c r="D44" s="307">
        <f>+D38/4160*1000</f>
        <v>10.281619710453237</v>
      </c>
      <c r="E44" s="275" t="s">
        <v>451</v>
      </c>
      <c r="G44" s="275"/>
      <c r="H44" s="275"/>
      <c r="I44" s="311">
        <f>+D38/8760*1000</f>
        <v>4.8825956615850989</v>
      </c>
      <c r="J44" s="311"/>
      <c r="K44" s="273" t="s">
        <v>124</v>
      </c>
    </row>
    <row r="45" spans="1:21">
      <c r="A45" s="277"/>
      <c r="B45" s="283"/>
      <c r="C45" s="275" t="s">
        <v>452</v>
      </c>
      <c r="D45" s="275"/>
      <c r="E45" s="275" t="s">
        <v>453</v>
      </c>
      <c r="G45" s="275"/>
      <c r="H45" s="275"/>
      <c r="K45" s="273" t="s">
        <v>124</v>
      </c>
    </row>
    <row r="46" spans="1:21">
      <c r="A46" s="277"/>
      <c r="B46" s="283"/>
      <c r="C46" s="275"/>
      <c r="D46" s="275"/>
      <c r="E46" s="275"/>
      <c r="G46" s="275"/>
      <c r="H46" s="275"/>
      <c r="K46" s="273" t="s">
        <v>124</v>
      </c>
    </row>
    <row r="47" spans="1:21">
      <c r="A47" s="277">
        <v>21</v>
      </c>
      <c r="B47" s="283" t="s">
        <v>454</v>
      </c>
      <c r="C47" s="275" t="s">
        <v>455</v>
      </c>
      <c r="D47" s="312">
        <v>0</v>
      </c>
      <c r="E47" s="313" t="s">
        <v>456</v>
      </c>
      <c r="F47" s="313"/>
      <c r="G47" s="313"/>
      <c r="H47" s="313"/>
      <c r="I47" s="313">
        <f>D47</f>
        <v>0</v>
      </c>
      <c r="J47" s="313" t="s">
        <v>456</v>
      </c>
    </row>
    <row r="48" spans="1:21">
      <c r="A48" s="277">
        <v>22</v>
      </c>
      <c r="B48" s="283"/>
      <c r="C48" s="275"/>
      <c r="D48" s="312">
        <v>0</v>
      </c>
      <c r="E48" s="313" t="s">
        <v>457</v>
      </c>
      <c r="F48" s="313"/>
      <c r="G48" s="313"/>
      <c r="H48" s="313"/>
      <c r="I48" s="313">
        <f>D48</f>
        <v>0</v>
      </c>
      <c r="J48" s="313" t="s">
        <v>457</v>
      </c>
    </row>
    <row r="49" spans="1:11" s="274" customFormat="1">
      <c r="A49" s="292"/>
      <c r="B49" s="300"/>
      <c r="C49" s="273"/>
      <c r="D49" s="314"/>
      <c r="E49" s="314"/>
      <c r="F49" s="314"/>
      <c r="G49" s="314"/>
      <c r="H49" s="314"/>
      <c r="I49" s="314"/>
      <c r="J49" s="314"/>
      <c r="K49" s="273"/>
    </row>
    <row r="50" spans="1:11" s="274" customFormat="1">
      <c r="A50" s="292"/>
      <c r="B50" s="300"/>
      <c r="C50" s="273"/>
      <c r="D50" s="314"/>
      <c r="E50" s="314"/>
      <c r="F50" s="314"/>
      <c r="G50" s="314"/>
      <c r="H50" s="314"/>
      <c r="I50" s="314"/>
      <c r="J50" s="314"/>
      <c r="K50" s="273"/>
    </row>
    <row r="51" spans="1:11" s="274" customFormat="1">
      <c r="A51" s="292"/>
      <c r="B51" s="300"/>
      <c r="C51" s="273"/>
      <c r="D51" s="314"/>
      <c r="E51" s="314"/>
      <c r="F51" s="314"/>
      <c r="G51" s="314"/>
      <c r="H51" s="314"/>
      <c r="I51" s="314"/>
      <c r="J51" s="314"/>
      <c r="K51" s="273"/>
    </row>
    <row r="52" spans="1:11" s="274" customFormat="1">
      <c r="A52" s="292"/>
      <c r="B52" s="300"/>
      <c r="C52" s="273"/>
      <c r="D52" s="314"/>
      <c r="E52" s="314"/>
      <c r="F52" s="314"/>
      <c r="G52" s="314"/>
      <c r="H52" s="314"/>
      <c r="I52" s="314"/>
      <c r="J52" s="314"/>
      <c r="K52" s="273"/>
    </row>
    <row r="53" spans="1:11" s="274" customFormat="1">
      <c r="A53" s="292"/>
      <c r="B53" s="300"/>
      <c r="C53" s="273"/>
      <c r="D53" s="314"/>
      <c r="E53" s="314"/>
      <c r="F53" s="314"/>
      <c r="G53" s="314"/>
      <c r="H53" s="314"/>
      <c r="I53" s="314"/>
      <c r="J53" s="314"/>
      <c r="K53" s="273"/>
    </row>
    <row r="54" spans="1:11" s="274" customFormat="1">
      <c r="A54" s="292"/>
      <c r="B54" s="300"/>
      <c r="C54" s="273"/>
      <c r="D54" s="314"/>
      <c r="E54" s="314"/>
      <c r="F54" s="314"/>
      <c r="G54" s="314"/>
      <c r="H54" s="314"/>
      <c r="I54" s="314"/>
      <c r="J54" s="314"/>
      <c r="K54" s="273"/>
    </row>
    <row r="55" spans="1:11" s="274" customFormat="1">
      <c r="A55" s="292"/>
      <c r="B55" s="300"/>
      <c r="C55" s="273"/>
      <c r="D55" s="314"/>
      <c r="E55" s="314"/>
      <c r="F55" s="314"/>
      <c r="G55" s="314"/>
      <c r="H55" s="314"/>
      <c r="I55" s="314"/>
      <c r="J55" s="314"/>
      <c r="K55" s="273"/>
    </row>
    <row r="56" spans="1:11" s="274" customFormat="1">
      <c r="A56" s="292"/>
      <c r="B56" s="300"/>
      <c r="C56" s="273"/>
      <c r="D56" s="314"/>
      <c r="E56" s="314"/>
      <c r="F56" s="314"/>
      <c r="G56" s="314"/>
      <c r="H56" s="314"/>
      <c r="I56" s="314"/>
      <c r="J56" s="314"/>
      <c r="K56" s="273"/>
    </row>
    <row r="57" spans="1:11" s="274" customFormat="1">
      <c r="A57" s="292"/>
      <c r="B57" s="300"/>
      <c r="C57" s="273"/>
      <c r="D57" s="314"/>
      <c r="E57" s="314"/>
      <c r="F57" s="314"/>
      <c r="G57" s="314"/>
      <c r="H57" s="314"/>
      <c r="I57" s="314"/>
      <c r="J57" s="314"/>
      <c r="K57" s="273"/>
    </row>
    <row r="58" spans="1:11" s="274" customFormat="1">
      <c r="A58" s="292"/>
      <c r="B58" s="300"/>
      <c r="C58" s="273"/>
      <c r="D58" s="314"/>
      <c r="E58" s="314"/>
      <c r="F58" s="314"/>
      <c r="G58" s="314"/>
      <c r="H58" s="314"/>
      <c r="I58" s="314"/>
      <c r="J58" s="314"/>
      <c r="K58" s="273"/>
    </row>
    <row r="59" spans="1:11" s="274" customFormat="1">
      <c r="A59" s="292"/>
      <c r="B59" s="300"/>
      <c r="C59" s="273"/>
      <c r="D59" s="314"/>
      <c r="E59" s="314"/>
      <c r="F59" s="314"/>
      <c r="G59" s="314"/>
      <c r="H59" s="314"/>
      <c r="I59" s="314"/>
      <c r="J59" s="314"/>
      <c r="K59" s="273"/>
    </row>
    <row r="60" spans="1:11" s="274" customFormat="1">
      <c r="A60" s="292"/>
      <c r="B60" s="300"/>
      <c r="C60" s="273"/>
      <c r="D60" s="314"/>
      <c r="E60" s="314"/>
      <c r="F60" s="314"/>
      <c r="G60" s="314"/>
      <c r="H60" s="314"/>
      <c r="I60" s="314"/>
      <c r="J60" s="314"/>
      <c r="K60" s="273"/>
    </row>
    <row r="61" spans="1:11" s="274" customFormat="1">
      <c r="A61" s="292"/>
      <c r="B61" s="300"/>
      <c r="C61" s="273"/>
      <c r="D61" s="314"/>
      <c r="E61" s="314"/>
      <c r="F61" s="314"/>
      <c r="G61" s="314"/>
      <c r="H61" s="314"/>
      <c r="I61" s="314"/>
      <c r="J61" s="314"/>
      <c r="K61" s="273"/>
    </row>
    <row r="62" spans="1:11" s="274" customFormat="1">
      <c r="A62" s="292"/>
      <c r="B62" s="300"/>
      <c r="C62" s="273"/>
      <c r="D62" s="314"/>
      <c r="E62" s="314"/>
      <c r="F62" s="314"/>
      <c r="G62" s="314"/>
      <c r="H62" s="314"/>
      <c r="I62" s="314"/>
      <c r="J62" s="314"/>
      <c r="K62" s="273"/>
    </row>
    <row r="63" spans="1:11" s="274" customFormat="1">
      <c r="A63" s="292"/>
      <c r="B63" s="300"/>
      <c r="C63" s="273"/>
      <c r="D63" s="314"/>
      <c r="E63" s="314"/>
      <c r="F63" s="314"/>
      <c r="G63" s="314"/>
      <c r="H63" s="314"/>
      <c r="I63" s="314"/>
      <c r="J63" s="314"/>
      <c r="K63" s="273"/>
    </row>
    <row r="64" spans="1:11" s="274" customFormat="1">
      <c r="A64" s="292"/>
      <c r="B64" s="300"/>
      <c r="C64" s="273"/>
      <c r="D64" s="314"/>
      <c r="E64" s="314"/>
      <c r="F64" s="314"/>
      <c r="G64" s="314"/>
      <c r="H64" s="314"/>
      <c r="I64" s="314"/>
      <c r="J64" s="314"/>
      <c r="K64" s="273"/>
    </row>
    <row r="65" spans="1:11" s="274" customFormat="1">
      <c r="A65" s="292"/>
      <c r="B65" s="300"/>
      <c r="C65" s="273"/>
      <c r="D65" s="314"/>
      <c r="E65" s="314"/>
      <c r="F65" s="314"/>
      <c r="G65" s="314"/>
      <c r="H65" s="314"/>
      <c r="I65" s="314"/>
      <c r="J65" s="314"/>
      <c r="K65" s="273"/>
    </row>
    <row r="66" spans="1:11" s="274" customFormat="1">
      <c r="A66" s="292"/>
      <c r="B66" s="300"/>
      <c r="C66" s="273"/>
      <c r="D66" s="314"/>
      <c r="E66" s="314"/>
      <c r="F66" s="314"/>
      <c r="G66" s="314"/>
      <c r="H66" s="314"/>
      <c r="I66" s="314"/>
      <c r="J66" s="314"/>
      <c r="K66" s="273"/>
    </row>
    <row r="67" spans="1:11" s="274" customFormat="1">
      <c r="A67" s="292"/>
      <c r="B67" s="300"/>
      <c r="C67" s="273"/>
      <c r="D67" s="314"/>
      <c r="E67" s="314"/>
      <c r="F67" s="314"/>
      <c r="G67" s="314"/>
      <c r="H67" s="314"/>
      <c r="I67" s="314"/>
      <c r="J67" s="314"/>
      <c r="K67" s="273"/>
    </row>
    <row r="68" spans="1:11" s="274" customFormat="1">
      <c r="A68" s="292"/>
      <c r="B68" s="300"/>
      <c r="C68" s="273"/>
      <c r="D68" s="314"/>
      <c r="E68" s="314"/>
      <c r="F68" s="314"/>
      <c r="G68" s="314"/>
      <c r="H68" s="314"/>
      <c r="I68" s="314"/>
      <c r="J68" s="314"/>
      <c r="K68" s="273"/>
    </row>
    <row r="69" spans="1:11" s="274" customFormat="1">
      <c r="A69" s="292"/>
      <c r="B69" s="300"/>
      <c r="C69" s="273"/>
      <c r="D69" s="314"/>
      <c r="E69" s="314"/>
      <c r="F69" s="314"/>
      <c r="G69" s="314"/>
      <c r="H69" s="314"/>
      <c r="I69" s="314"/>
      <c r="J69" s="314"/>
      <c r="K69" s="273"/>
    </row>
    <row r="70" spans="1:11" s="274" customFormat="1">
      <c r="A70" s="292"/>
      <c r="B70" s="300"/>
      <c r="C70" s="273"/>
      <c r="D70" s="314"/>
      <c r="E70" s="314"/>
      <c r="F70" s="314"/>
      <c r="G70" s="314"/>
      <c r="H70" s="314"/>
      <c r="I70" s="314"/>
      <c r="J70" s="314"/>
      <c r="K70" s="273"/>
    </row>
    <row r="71" spans="1:11" s="274" customFormat="1">
      <c r="A71" s="292"/>
      <c r="B71" s="300"/>
      <c r="C71" s="273"/>
      <c r="D71" s="314"/>
      <c r="E71" s="314"/>
      <c r="F71" s="314"/>
      <c r="G71" s="314"/>
      <c r="H71" s="314"/>
      <c r="I71" s="314"/>
      <c r="J71" s="314"/>
      <c r="K71" s="273"/>
    </row>
    <row r="72" spans="1:11" s="274" customFormat="1">
      <c r="A72" s="292"/>
      <c r="B72" s="300"/>
      <c r="C72" s="273"/>
      <c r="D72" s="314"/>
      <c r="E72" s="314"/>
      <c r="F72" s="314"/>
      <c r="G72" s="314"/>
      <c r="H72" s="314"/>
      <c r="I72" s="314"/>
      <c r="J72" s="314"/>
      <c r="K72" s="273"/>
    </row>
    <row r="73" spans="1:11" s="274" customFormat="1">
      <c r="A73" s="292"/>
      <c r="B73" s="300"/>
      <c r="C73" s="273"/>
      <c r="D73" s="314"/>
      <c r="E73" s="314"/>
      <c r="F73" s="314"/>
      <c r="G73" s="314"/>
      <c r="H73" s="314"/>
      <c r="I73" s="314"/>
      <c r="J73" s="314"/>
      <c r="K73" s="551" t="s">
        <v>884</v>
      </c>
    </row>
    <row r="74" spans="1:11">
      <c r="B74" s="268"/>
      <c r="C74" s="268"/>
      <c r="D74" s="269"/>
      <c r="E74" s="268"/>
      <c r="F74" s="268"/>
      <c r="G74" s="268"/>
      <c r="H74" s="270"/>
      <c r="I74" s="270"/>
      <c r="J74" s="270"/>
      <c r="K74" s="315" t="s">
        <v>458</v>
      </c>
    </row>
    <row r="75" spans="1:11">
      <c r="B75" s="268"/>
      <c r="C75" s="268"/>
      <c r="D75" s="269"/>
      <c r="E75" s="268"/>
      <c r="F75" s="268"/>
      <c r="G75" s="268"/>
      <c r="H75" s="270"/>
      <c r="I75" s="270"/>
      <c r="J75" s="270"/>
      <c r="K75" s="316"/>
    </row>
    <row r="76" spans="1:11">
      <c r="B76" s="268" t="s">
        <v>389</v>
      </c>
      <c r="C76" s="268"/>
      <c r="D76" s="269" t="s">
        <v>390</v>
      </c>
      <c r="E76" s="268"/>
      <c r="F76" s="268"/>
      <c r="G76" s="268"/>
      <c r="H76" s="270"/>
      <c r="K76" s="271" t="str">
        <f>K4</f>
        <v>For the 12 months ended 12/31/14</v>
      </c>
    </row>
    <row r="77" spans="1:11">
      <c r="B77" s="268"/>
      <c r="C77" s="214" t="s">
        <v>124</v>
      </c>
      <c r="D77" s="214" t="s">
        <v>391</v>
      </c>
      <c r="E77" s="214"/>
      <c r="F77" s="214"/>
      <c r="G77" s="214"/>
      <c r="H77" s="270"/>
      <c r="I77" s="270"/>
      <c r="J77" s="270"/>
      <c r="K77" s="273"/>
    </row>
    <row r="78" spans="1:11">
      <c r="B78" s="268"/>
      <c r="C78" s="214"/>
      <c r="D78" s="214"/>
      <c r="E78" s="214"/>
      <c r="F78" s="214"/>
      <c r="G78" s="214"/>
      <c r="H78" s="270"/>
      <c r="I78" s="270"/>
      <c r="J78" s="270"/>
      <c r="K78" s="273"/>
    </row>
    <row r="79" spans="1:11">
      <c r="A79" s="878" t="str">
        <f>A7</f>
        <v>Northern States Power Companies</v>
      </c>
      <c r="B79" s="878"/>
      <c r="C79" s="878"/>
      <c r="D79" s="878"/>
      <c r="E79" s="878"/>
      <c r="F79" s="878"/>
      <c r="G79" s="878"/>
      <c r="H79" s="878"/>
      <c r="I79" s="878"/>
      <c r="J79" s="878"/>
      <c r="K79" s="878"/>
    </row>
    <row r="80" spans="1:11">
      <c r="B80" s="283"/>
      <c r="C80" s="275"/>
      <c r="D80" s="284"/>
      <c r="E80" s="284"/>
      <c r="F80" s="284"/>
      <c r="G80" s="284"/>
      <c r="H80" s="214"/>
      <c r="I80" s="214"/>
      <c r="J80" s="214"/>
      <c r="K80" s="284"/>
    </row>
    <row r="81" spans="1:14">
      <c r="B81" s="318" t="s">
        <v>459</v>
      </c>
      <c r="C81" s="318" t="s">
        <v>460</v>
      </c>
      <c r="D81" s="318" t="s">
        <v>461</v>
      </c>
      <c r="E81" s="214" t="s">
        <v>124</v>
      </c>
      <c r="F81" s="214"/>
      <c r="G81" s="319" t="s">
        <v>462</v>
      </c>
      <c r="H81" s="214"/>
      <c r="I81" s="320" t="s">
        <v>463</v>
      </c>
      <c r="J81" s="320"/>
      <c r="K81" s="321"/>
    </row>
    <row r="82" spans="1:14">
      <c r="B82" s="283"/>
      <c r="C82" s="322" t="s">
        <v>464</v>
      </c>
      <c r="D82" s="214"/>
      <c r="E82" s="214"/>
      <c r="F82" s="214"/>
      <c r="G82" s="277"/>
      <c r="H82" s="214"/>
      <c r="I82" s="323" t="s">
        <v>143</v>
      </c>
      <c r="J82" s="323"/>
      <c r="K82" s="321"/>
      <c r="L82" s="613" t="s">
        <v>465</v>
      </c>
      <c r="M82" s="613" t="s">
        <v>466</v>
      </c>
    </row>
    <row r="83" spans="1:14">
      <c r="A83" s="277" t="s">
        <v>165</v>
      </c>
      <c r="B83" s="283"/>
      <c r="C83" s="324" t="s">
        <v>467</v>
      </c>
      <c r="D83" s="325" t="s">
        <v>468</v>
      </c>
      <c r="E83" s="326"/>
      <c r="F83" s="323" t="s">
        <v>469</v>
      </c>
      <c r="H83" s="326"/>
      <c r="I83" s="277" t="s">
        <v>470</v>
      </c>
      <c r="J83" s="277"/>
      <c r="K83" s="321"/>
      <c r="L83" s="613" t="s">
        <v>142</v>
      </c>
      <c r="M83" s="613" t="s">
        <v>142</v>
      </c>
    </row>
    <row r="84" spans="1:14" ht="16.5" thickBot="1">
      <c r="A84" s="279" t="s">
        <v>141</v>
      </c>
      <c r="B84" s="327" t="s">
        <v>471</v>
      </c>
      <c r="C84" s="214"/>
      <c r="D84" s="214"/>
      <c r="E84" s="214"/>
      <c r="F84" s="214"/>
      <c r="G84" s="214"/>
      <c r="H84" s="214"/>
      <c r="I84" s="214"/>
      <c r="J84" s="214"/>
      <c r="K84" s="284"/>
    </row>
    <row r="85" spans="1:14">
      <c r="A85" s="277"/>
      <c r="B85" s="283" t="s">
        <v>472</v>
      </c>
      <c r="C85" s="328"/>
      <c r="D85" s="214"/>
      <c r="E85" s="214"/>
      <c r="F85" s="214"/>
      <c r="G85" s="214"/>
      <c r="H85" s="214"/>
      <c r="I85" s="214"/>
      <c r="J85" s="214"/>
      <c r="K85" s="284"/>
    </row>
    <row r="86" spans="1:14">
      <c r="A86" s="277">
        <v>1</v>
      </c>
      <c r="B86" s="283" t="s">
        <v>473</v>
      </c>
      <c r="C86" s="284" t="s">
        <v>474</v>
      </c>
      <c r="D86" s="288">
        <f>L86+M86</f>
        <v>7697477186.9884624</v>
      </c>
      <c r="E86" s="214"/>
      <c r="F86" s="214" t="s">
        <v>475</v>
      </c>
      <c r="G86" s="329" t="s">
        <v>124</v>
      </c>
      <c r="H86" s="214"/>
      <c r="I86" s="214" t="s">
        <v>124</v>
      </c>
      <c r="J86" s="214"/>
      <c r="K86" s="284"/>
      <c r="L86" s="330">
        <f>'WP Gross Plant'!$D$42</f>
        <v>7250099001.5276928</v>
      </c>
      <c r="M86" s="330">
        <f>'WP Gross Plant'!$D$62</f>
        <v>447378185.4607693</v>
      </c>
    </row>
    <row r="87" spans="1:14">
      <c r="A87" s="277">
        <v>2</v>
      </c>
      <c r="B87" s="283" t="s">
        <v>476</v>
      </c>
      <c r="C87" s="284" t="s">
        <v>477</v>
      </c>
      <c r="D87" s="288">
        <f>L87+M87</f>
        <v>3242380383.630002</v>
      </c>
      <c r="E87" s="214"/>
      <c r="F87" s="214" t="s">
        <v>400</v>
      </c>
      <c r="G87" s="329">
        <f>I235</f>
        <v>0.97463758648696985</v>
      </c>
      <c r="H87" s="214"/>
      <c r="I87" s="214">
        <f>+G87*D87</f>
        <v>3160145791.5738406</v>
      </c>
      <c r="J87" s="214"/>
      <c r="K87" s="284"/>
      <c r="L87" s="330">
        <f>'WP Gross Plant'!$F$42</f>
        <v>2571684403.4576941</v>
      </c>
      <c r="M87" s="330">
        <f>'WP Gross Plant'!$F$62</f>
        <v>670695980.17230773</v>
      </c>
      <c r="N87" s="274"/>
    </row>
    <row r="88" spans="1:14">
      <c r="A88" s="277">
        <v>3</v>
      </c>
      <c r="B88" s="283" t="s">
        <v>478</v>
      </c>
      <c r="C88" s="284" t="s">
        <v>479</v>
      </c>
      <c r="D88" s="288">
        <f>L88+M88</f>
        <v>4194693381.5684614</v>
      </c>
      <c r="E88" s="214"/>
      <c r="F88" s="214" t="s">
        <v>475</v>
      </c>
      <c r="G88" s="329" t="s">
        <v>124</v>
      </c>
      <c r="H88" s="214"/>
      <c r="I88" s="214" t="s">
        <v>124</v>
      </c>
      <c r="J88" s="214"/>
      <c r="K88" s="284"/>
      <c r="L88" s="330">
        <f>'WP Gross Plant'!$H$42</f>
        <v>3440224282.1546149</v>
      </c>
      <c r="M88" s="330">
        <f>'WP Gross Plant'!$H$62</f>
        <v>754469099.41384625</v>
      </c>
      <c r="N88" s="283"/>
    </row>
    <row r="89" spans="1:14">
      <c r="A89" s="277">
        <v>4</v>
      </c>
      <c r="B89" s="283" t="s">
        <v>480</v>
      </c>
      <c r="C89" s="284" t="s">
        <v>481</v>
      </c>
      <c r="D89" s="288">
        <f>L89+M89</f>
        <v>715007816.44153845</v>
      </c>
      <c r="E89" s="214"/>
      <c r="F89" s="214" t="s">
        <v>482</v>
      </c>
      <c r="G89" s="329">
        <f>I253</f>
        <v>5.4258984178965124E-2</v>
      </c>
      <c r="H89" s="214"/>
      <c r="I89" s="214">
        <f>+G89*D89</f>
        <v>38795597.800137833</v>
      </c>
      <c r="J89" s="214"/>
      <c r="K89" s="284"/>
      <c r="L89" s="330">
        <f>'WP Gross Plant'!$J$42</f>
        <v>624068532.83769226</v>
      </c>
      <c r="M89" s="330">
        <f>'WP Gross Plant'!$J$62</f>
        <v>90939283.603846148</v>
      </c>
      <c r="N89" s="283"/>
    </row>
    <row r="90" spans="1:14" ht="16.5" thickBot="1">
      <c r="A90" s="277">
        <v>5</v>
      </c>
      <c r="B90" s="283" t="s">
        <v>483</v>
      </c>
      <c r="C90" s="284" t="s">
        <v>484</v>
      </c>
      <c r="D90" s="296">
        <f>L90+M90</f>
        <v>615478732.92307687</v>
      </c>
      <c r="E90" s="214"/>
      <c r="F90" s="214" t="s">
        <v>485</v>
      </c>
      <c r="G90" s="329">
        <f>K258</f>
        <v>5.0854550942371055E-2</v>
      </c>
      <c r="H90" s="214"/>
      <c r="I90" s="289">
        <f>+G90*D90</f>
        <v>31299894.577382602</v>
      </c>
      <c r="J90" s="290"/>
      <c r="K90" s="284"/>
      <c r="L90" s="331">
        <f>'WP Gross Plant'!$L$42</f>
        <v>508295034.28230762</v>
      </c>
      <c r="M90" s="331">
        <f>'WP Gross Plant'!$L$62</f>
        <v>107183698.64076924</v>
      </c>
      <c r="N90" s="332"/>
    </row>
    <row r="91" spans="1:14">
      <c r="A91" s="277">
        <v>6</v>
      </c>
      <c r="B91" s="268" t="s">
        <v>486</v>
      </c>
      <c r="C91" s="284"/>
      <c r="D91" s="214">
        <f>SUM(D86:D90)</f>
        <v>16465037501.551542</v>
      </c>
      <c r="E91" s="214"/>
      <c r="F91" s="214" t="s">
        <v>487</v>
      </c>
      <c r="G91" s="333">
        <f>IF(I91&gt;0,I91/D91,0)</f>
        <v>0.19618790929853439</v>
      </c>
      <c r="H91" s="214"/>
      <c r="I91" s="214">
        <f>SUM(I86:I90)</f>
        <v>3230241283.9513612</v>
      </c>
      <c r="J91" s="214"/>
      <c r="K91" s="334"/>
      <c r="L91" s="214">
        <f>SUM(L86:L90)</f>
        <v>14394371254.260002</v>
      </c>
      <c r="M91" s="214">
        <f>SUM(M86:M90)</f>
        <v>2070666247.2915387</v>
      </c>
      <c r="N91" s="283"/>
    </row>
    <row r="92" spans="1:14">
      <c r="B92" s="283"/>
      <c r="C92" s="214"/>
      <c r="D92" s="214"/>
      <c r="E92" s="214"/>
      <c r="F92" s="214"/>
      <c r="G92" s="333"/>
      <c r="H92" s="214"/>
      <c r="I92" s="214"/>
      <c r="J92" s="214"/>
      <c r="K92" s="334"/>
      <c r="L92" s="214"/>
      <c r="M92" s="214"/>
      <c r="N92" s="283"/>
    </row>
    <row r="93" spans="1:14">
      <c r="B93" s="283" t="s">
        <v>488</v>
      </c>
      <c r="C93" s="214"/>
      <c r="D93" s="214"/>
      <c r="E93" s="214"/>
      <c r="F93" s="214"/>
      <c r="G93" s="214"/>
      <c r="H93" s="214"/>
      <c r="I93" s="214"/>
      <c r="J93" s="214"/>
      <c r="K93" s="284"/>
      <c r="L93" s="214"/>
      <c r="M93" s="214"/>
      <c r="N93" s="283"/>
    </row>
    <row r="94" spans="1:14">
      <c r="A94" s="277">
        <v>7</v>
      </c>
      <c r="B94" s="283" t="str">
        <f>+B86</f>
        <v xml:space="preserve">  Production</v>
      </c>
      <c r="C94" s="214" t="s">
        <v>489</v>
      </c>
      <c r="D94" s="288">
        <f>L94+M94</f>
        <v>3467679607.3663659</v>
      </c>
      <c r="E94" s="214"/>
      <c r="F94" s="214" t="str">
        <f>+F86</f>
        <v>NA</v>
      </c>
      <c r="G94" s="329" t="str">
        <f>+G86</f>
        <v xml:space="preserve"> </v>
      </c>
      <c r="H94" s="214"/>
      <c r="I94" s="214" t="s">
        <v>124</v>
      </c>
      <c r="J94" s="214"/>
      <c r="K94" s="284"/>
      <c r="L94" s="330">
        <f>'WP Accum Deprec'!$D$43</f>
        <v>3189429725.3240581</v>
      </c>
      <c r="M94" s="330">
        <f>'WP Accum Deprec'!$D$64</f>
        <v>278249882.04230767</v>
      </c>
      <c r="N94" s="283"/>
    </row>
    <row r="95" spans="1:14">
      <c r="A95" s="277">
        <v>8</v>
      </c>
      <c r="B95" s="283" t="str">
        <f>+B87</f>
        <v xml:space="preserve">  Transmission</v>
      </c>
      <c r="C95" s="214" t="s">
        <v>490</v>
      </c>
      <c r="D95" s="288">
        <f>L95+M95</f>
        <v>907739841.73889732</v>
      </c>
      <c r="E95" s="214"/>
      <c r="F95" s="214" t="str">
        <f>+F87</f>
        <v>TP</v>
      </c>
      <c r="G95" s="329">
        <f>+G87</f>
        <v>0.97463758648696985</v>
      </c>
      <c r="H95" s="214"/>
      <c r="I95" s="214">
        <f>+G95*D95</f>
        <v>884717368.51046288</v>
      </c>
      <c r="J95" s="214"/>
      <c r="K95" s="284"/>
      <c r="L95" s="330">
        <f>'WP Accum Deprec'!$F$43</f>
        <v>698006874.5896666</v>
      </c>
      <c r="M95" s="330">
        <f>'WP Accum Deprec'!$F$64</f>
        <v>209732967.14923078</v>
      </c>
      <c r="N95" s="283"/>
    </row>
    <row r="96" spans="1:14">
      <c r="A96" s="277">
        <v>9</v>
      </c>
      <c r="B96" s="283" t="str">
        <f>+B88</f>
        <v xml:space="preserve">  Distribution</v>
      </c>
      <c r="C96" s="214" t="s">
        <v>491</v>
      </c>
      <c r="D96" s="288">
        <f>L96+M96</f>
        <v>1753937293.7904885</v>
      </c>
      <c r="E96" s="214"/>
      <c r="F96" s="214" t="str">
        <f t="shared" ref="F96:G98" si="1">+F88</f>
        <v>NA</v>
      </c>
      <c r="G96" s="329" t="str">
        <f t="shared" si="1"/>
        <v xml:space="preserve"> </v>
      </c>
      <c r="H96" s="214"/>
      <c r="I96" s="214" t="s">
        <v>124</v>
      </c>
      <c r="J96" s="214"/>
      <c r="K96" s="284"/>
      <c r="L96" s="330">
        <f>'WP Accum Deprec'!$H$43</f>
        <v>1388687016.5135653</v>
      </c>
      <c r="M96" s="330">
        <f>'WP Accum Deprec'!$H$64</f>
        <v>365250277.27692312</v>
      </c>
      <c r="N96" s="283"/>
    </row>
    <row r="97" spans="1:14">
      <c r="A97" s="277">
        <v>10</v>
      </c>
      <c r="B97" s="283" t="str">
        <f>+B89</f>
        <v xml:space="preserve">  General &amp; Intangible</v>
      </c>
      <c r="C97" s="214" t="s">
        <v>492</v>
      </c>
      <c r="D97" s="288">
        <f>L97+M97</f>
        <v>236948831.62010252</v>
      </c>
      <c r="E97" s="214"/>
      <c r="F97" s="214" t="str">
        <f t="shared" si="1"/>
        <v>W/S</v>
      </c>
      <c r="G97" s="329">
        <f t="shared" si="1"/>
        <v>5.4258984178965124E-2</v>
      </c>
      <c r="H97" s="214"/>
      <c r="I97" s="214">
        <f>+G97*D97</f>
        <v>12856602.906099414</v>
      </c>
      <c r="J97" s="214"/>
      <c r="K97" s="284"/>
      <c r="L97" s="330">
        <f>'WP Accum Deprec'!$J$43</f>
        <v>200174565.89548713</v>
      </c>
      <c r="M97" s="330">
        <f>'WP Accum Deprec'!$J$64</f>
        <v>36774265.72461538</v>
      </c>
      <c r="N97" s="335"/>
    </row>
    <row r="98" spans="1:14" ht="16.5" thickBot="1">
      <c r="A98" s="277">
        <v>11</v>
      </c>
      <c r="B98" s="283" t="str">
        <f>+B90</f>
        <v xml:space="preserve">  Common</v>
      </c>
      <c r="C98" s="214" t="s">
        <v>484</v>
      </c>
      <c r="D98" s="288">
        <f>L98+M98</f>
        <v>320068674.64177746</v>
      </c>
      <c r="E98" s="214"/>
      <c r="F98" s="214" t="str">
        <f t="shared" si="1"/>
        <v>CE</v>
      </c>
      <c r="G98" s="329">
        <f t="shared" si="1"/>
        <v>5.0854550942371055E-2</v>
      </c>
      <c r="H98" s="214"/>
      <c r="I98" s="289">
        <f>+G98*D98</f>
        <v>16276948.719627459</v>
      </c>
      <c r="J98" s="290"/>
      <c r="K98" s="284"/>
      <c r="L98" s="331">
        <f>'WP Accum Deprec'!$L$43</f>
        <v>266248828.420239</v>
      </c>
      <c r="M98" s="331">
        <f>'WP Accum Deprec'!$L$64</f>
        <v>53819846.221538469</v>
      </c>
      <c r="N98" s="332"/>
    </row>
    <row r="99" spans="1:14">
      <c r="A99" s="277">
        <v>12</v>
      </c>
      <c r="B99" s="283" t="s">
        <v>493</v>
      </c>
      <c r="C99" s="214"/>
      <c r="D99" s="336">
        <f>SUM(D94:D98)</f>
        <v>6686374249.1576309</v>
      </c>
      <c r="E99" s="214"/>
      <c r="F99" s="214"/>
      <c r="G99" s="214"/>
      <c r="H99" s="214"/>
      <c r="I99" s="214">
        <f>SUM(I94:I98)</f>
        <v>913850920.13618982</v>
      </c>
      <c r="J99" s="214"/>
      <c r="K99" s="284"/>
      <c r="L99" s="214">
        <f>SUM(L94:L98)</f>
        <v>5742547010.7430162</v>
      </c>
      <c r="M99" s="214">
        <f>SUM(M94:M98)</f>
        <v>943827238.41461527</v>
      </c>
      <c r="N99" s="283"/>
    </row>
    <row r="100" spans="1:14">
      <c r="A100" s="277"/>
      <c r="C100" s="214" t="s">
        <v>124</v>
      </c>
      <c r="E100" s="214"/>
      <c r="F100" s="214"/>
      <c r="G100" s="333"/>
      <c r="H100" s="214"/>
      <c r="K100" s="334"/>
      <c r="L100" s="214"/>
      <c r="M100" s="214"/>
      <c r="N100" s="283"/>
    </row>
    <row r="101" spans="1:14">
      <c r="A101" s="277"/>
      <c r="B101" s="283" t="s">
        <v>494</v>
      </c>
      <c r="C101" s="214"/>
      <c r="D101" s="214"/>
      <c r="E101" s="214"/>
      <c r="F101" s="214"/>
      <c r="G101" s="214"/>
      <c r="H101" s="214"/>
      <c r="I101" s="214"/>
      <c r="J101" s="214"/>
      <c r="K101" s="284"/>
      <c r="L101" s="214"/>
      <c r="M101" s="214"/>
      <c r="N101" s="283"/>
    </row>
    <row r="102" spans="1:14">
      <c r="A102" s="277">
        <v>13</v>
      </c>
      <c r="B102" s="283" t="str">
        <f>+B94</f>
        <v xml:space="preserve">  Production</v>
      </c>
      <c r="C102" s="214" t="s">
        <v>495</v>
      </c>
      <c r="D102" s="214">
        <f>D86-D94</f>
        <v>4229797579.6220965</v>
      </c>
      <c r="E102" s="214"/>
      <c r="F102" s="214"/>
      <c r="G102" s="333"/>
      <c r="H102" s="214"/>
      <c r="I102" s="214" t="s">
        <v>124</v>
      </c>
      <c r="J102" s="214"/>
      <c r="K102" s="334"/>
      <c r="L102" s="290">
        <f t="shared" ref="L102:M106" si="2">L86-L94</f>
        <v>4060669276.2036347</v>
      </c>
      <c r="M102" s="290">
        <f t="shared" si="2"/>
        <v>169128303.41846162</v>
      </c>
      <c r="N102" s="283"/>
    </row>
    <row r="103" spans="1:14">
      <c r="A103" s="277">
        <v>14</v>
      </c>
      <c r="B103" s="283" t="str">
        <f>+B95</f>
        <v xml:space="preserve">  Transmission</v>
      </c>
      <c r="C103" s="284" t="s">
        <v>496</v>
      </c>
      <c r="D103" s="284">
        <f>D87-D95</f>
        <v>2334640541.8911047</v>
      </c>
      <c r="E103" s="214"/>
      <c r="F103" s="214"/>
      <c r="G103" s="329"/>
      <c r="H103" s="214"/>
      <c r="I103" s="284">
        <f>I87-I95</f>
        <v>2275428423.0633779</v>
      </c>
      <c r="J103" s="284"/>
      <c r="K103" s="334"/>
      <c r="L103" s="284">
        <f t="shared" si="2"/>
        <v>1873677528.8680274</v>
      </c>
      <c r="M103" s="284">
        <f t="shared" si="2"/>
        <v>460963013.02307695</v>
      </c>
      <c r="N103" s="283"/>
    </row>
    <row r="104" spans="1:14">
      <c r="A104" s="277">
        <v>15</v>
      </c>
      <c r="B104" s="283" t="str">
        <f>+B96</f>
        <v xml:space="preserve">  Distribution</v>
      </c>
      <c r="C104" s="214" t="s">
        <v>497</v>
      </c>
      <c r="D104" s="214">
        <f>D88-D96</f>
        <v>2440756087.7779732</v>
      </c>
      <c r="E104" s="214"/>
      <c r="F104" s="214"/>
      <c r="G104" s="333"/>
      <c r="H104" s="214"/>
      <c r="I104" s="214" t="s">
        <v>124</v>
      </c>
      <c r="J104" s="214"/>
      <c r="K104" s="334"/>
      <c r="L104" s="290">
        <f t="shared" si="2"/>
        <v>2051537265.6410496</v>
      </c>
      <c r="M104" s="290">
        <f t="shared" si="2"/>
        <v>389218822.13692313</v>
      </c>
      <c r="N104" s="283"/>
    </row>
    <row r="105" spans="1:14">
      <c r="A105" s="277">
        <v>16</v>
      </c>
      <c r="B105" s="283" t="str">
        <f>+B97</f>
        <v xml:space="preserve">  General &amp; Intangible</v>
      </c>
      <c r="C105" s="214" t="s">
        <v>498</v>
      </c>
      <c r="D105" s="214">
        <f>D89-D97</f>
        <v>478058984.82143593</v>
      </c>
      <c r="E105" s="214"/>
      <c r="F105" s="214"/>
      <c r="G105" s="333"/>
      <c r="H105" s="214"/>
      <c r="I105" s="214">
        <f>I89-I97</f>
        <v>25938994.894038416</v>
      </c>
      <c r="J105" s="214"/>
      <c r="K105" s="334"/>
      <c r="L105" s="290">
        <f t="shared" si="2"/>
        <v>423893966.94220513</v>
      </c>
      <c r="M105" s="290">
        <f t="shared" si="2"/>
        <v>54165017.879230767</v>
      </c>
      <c r="N105" s="283"/>
    </row>
    <row r="106" spans="1:14" ht="16.5" thickBot="1">
      <c r="A106" s="277">
        <v>17</v>
      </c>
      <c r="B106" s="283" t="str">
        <f>+B98</f>
        <v xml:space="preserve">  Common</v>
      </c>
      <c r="C106" s="214" t="s">
        <v>499</v>
      </c>
      <c r="D106" s="289">
        <f>D90-D98</f>
        <v>295410058.28129941</v>
      </c>
      <c r="E106" s="214"/>
      <c r="F106" s="214"/>
      <c r="G106" s="333"/>
      <c r="H106" s="214"/>
      <c r="I106" s="289">
        <f>I90-I98</f>
        <v>15022945.857755143</v>
      </c>
      <c r="J106" s="290"/>
      <c r="K106" s="334"/>
      <c r="L106" s="289">
        <f t="shared" si="2"/>
        <v>242046205.86206862</v>
      </c>
      <c r="M106" s="289">
        <f t="shared" si="2"/>
        <v>53363852.419230774</v>
      </c>
      <c r="N106" s="283"/>
    </row>
    <row r="107" spans="1:14">
      <c r="A107" s="277">
        <v>18</v>
      </c>
      <c r="B107" s="283" t="s">
        <v>500</v>
      </c>
      <c r="C107" s="214"/>
      <c r="D107" s="214">
        <f>SUM(D102:D106)</f>
        <v>9778663252.3939095</v>
      </c>
      <c r="E107" s="214"/>
      <c r="F107" s="214" t="s">
        <v>501</v>
      </c>
      <c r="G107" s="333">
        <f>IF(I107&gt;0,I107/D107,0)</f>
        <v>0.23688210791470879</v>
      </c>
      <c r="H107" s="214"/>
      <c r="I107" s="214">
        <f>SUM(I102:I106)</f>
        <v>2316390363.8151712</v>
      </c>
      <c r="J107" s="214"/>
      <c r="K107" s="284"/>
      <c r="L107" s="214">
        <f>SUM(L102:L106)</f>
        <v>8651824243.5169849</v>
      </c>
      <c r="M107" s="214">
        <f>SUM(M102:M106)</f>
        <v>1126839008.8769231</v>
      </c>
      <c r="N107" s="283"/>
    </row>
    <row r="108" spans="1:14">
      <c r="A108" s="277"/>
      <c r="B108" s="283"/>
      <c r="C108" s="214"/>
      <c r="D108" s="214"/>
      <c r="E108" s="214"/>
      <c r="F108" s="214"/>
      <c r="G108" s="333"/>
      <c r="H108" s="214"/>
      <c r="I108" s="214"/>
      <c r="J108" s="214"/>
      <c r="K108" s="284"/>
      <c r="L108" s="214"/>
      <c r="M108" s="337"/>
      <c r="N108" s="283"/>
    </row>
    <row r="109" spans="1:14" s="274" customFormat="1">
      <c r="A109" s="292" t="s">
        <v>502</v>
      </c>
      <c r="B109" s="300" t="s">
        <v>503</v>
      </c>
      <c r="C109" s="284" t="s">
        <v>504</v>
      </c>
      <c r="D109" s="288">
        <f>L109+M109</f>
        <v>393128094.84615397</v>
      </c>
      <c r="E109" s="284"/>
      <c r="F109" s="284" t="s">
        <v>400</v>
      </c>
      <c r="G109" s="338">
        <f>+I235</f>
        <v>0.97463758648696985</v>
      </c>
      <c r="H109" s="284"/>
      <c r="I109" s="284">
        <f>+G109*D109</f>
        <v>383157417.54107606</v>
      </c>
      <c r="J109" s="284"/>
      <c r="K109" s="284"/>
      <c r="L109" s="330">
        <f>'WP CWIP'!$I$59</f>
        <v>337534271.84230781</v>
      </c>
      <c r="M109" s="330">
        <f>'WP CWIP'!$I$81</f>
        <v>55593823.003846154</v>
      </c>
      <c r="N109" s="300"/>
    </row>
    <row r="110" spans="1:14">
      <c r="A110" s="277"/>
      <c r="C110" s="214"/>
      <c r="E110" s="214"/>
      <c r="H110" s="214"/>
      <c r="K110" s="334"/>
      <c r="L110" s="214"/>
      <c r="M110" s="214"/>
      <c r="N110" s="283"/>
    </row>
    <row r="111" spans="1:14">
      <c r="A111" s="277"/>
      <c r="B111" s="268" t="s">
        <v>505</v>
      </c>
      <c r="C111" s="214"/>
      <c r="D111" s="214"/>
      <c r="E111" s="214"/>
      <c r="F111" s="214"/>
      <c r="G111" s="214"/>
      <c r="H111" s="214"/>
      <c r="I111" s="214"/>
      <c r="J111" s="214"/>
      <c r="K111" s="284"/>
      <c r="L111" s="214"/>
      <c r="M111" s="214"/>
      <c r="N111" s="283"/>
    </row>
    <row r="112" spans="1:14">
      <c r="A112" s="277">
        <v>19</v>
      </c>
      <c r="B112" s="283" t="s">
        <v>506</v>
      </c>
      <c r="C112" s="214" t="s">
        <v>507</v>
      </c>
      <c r="D112" s="288">
        <f t="shared" ref="D112:D117" si="3">L112+M112</f>
        <v>-38365361</v>
      </c>
      <c r="E112" s="284"/>
      <c r="F112" s="284" t="str">
        <f>+F94</f>
        <v>NA</v>
      </c>
      <c r="G112" s="339" t="s">
        <v>508</v>
      </c>
      <c r="H112" s="214"/>
      <c r="I112" s="214">
        <v>0</v>
      </c>
      <c r="J112" s="214"/>
      <c r="K112" s="334"/>
      <c r="L112" s="330">
        <f>'WP Adj to Rate Base Rev 1'!$D$55</f>
        <v>-37603368.5</v>
      </c>
      <c r="M112" s="330">
        <f>'WP Adj to Rate Base Rev 1'!$D$80</f>
        <v>-761992.5</v>
      </c>
      <c r="N112" s="283"/>
    </row>
    <row r="113" spans="1:14">
      <c r="A113" s="277">
        <v>20</v>
      </c>
      <c r="B113" s="283" t="s">
        <v>509</v>
      </c>
      <c r="C113" s="214" t="s">
        <v>510</v>
      </c>
      <c r="D113" s="288">
        <f t="shared" si="3"/>
        <v>-2747570793.5</v>
      </c>
      <c r="E113" s="214"/>
      <c r="F113" s="214" t="s">
        <v>511</v>
      </c>
      <c r="G113" s="329">
        <f>+G107</f>
        <v>0.23688210791470879</v>
      </c>
      <c r="H113" s="214"/>
      <c r="I113" s="214">
        <f t="shared" ref="I113:I118" si="4">D113*G113</f>
        <v>-650850361.20916903</v>
      </c>
      <c r="J113" s="214"/>
      <c r="K113" s="334"/>
      <c r="L113" s="330">
        <f>'WP Adj to Rate Base Rev 1'!$F$55</f>
        <v>-2456853052</v>
      </c>
      <c r="M113" s="330">
        <f>'WP Adj to Rate Base Rev 1'!$F$80</f>
        <v>-290717741.5</v>
      </c>
      <c r="N113" s="283"/>
    </row>
    <row r="114" spans="1:14">
      <c r="A114" s="277">
        <v>21</v>
      </c>
      <c r="B114" s="283" t="s">
        <v>512</v>
      </c>
      <c r="C114" s="214" t="s">
        <v>513</v>
      </c>
      <c r="D114" s="288">
        <f t="shared" si="3"/>
        <v>-202776574</v>
      </c>
      <c r="E114" s="214"/>
      <c r="F114" s="214" t="s">
        <v>511</v>
      </c>
      <c r="G114" s="329">
        <f>+G113</f>
        <v>0.23688210791470879</v>
      </c>
      <c r="H114" s="214"/>
      <c r="I114" s="214">
        <f t="shared" si="4"/>
        <v>-48034142.284842931</v>
      </c>
      <c r="J114" s="214"/>
      <c r="K114" s="334"/>
      <c r="L114" s="340">
        <f>'WP Adj to Rate Base Rev 1'!$H$55</f>
        <v>-167081107</v>
      </c>
      <c r="M114" s="340">
        <f>'WP Adj to Rate Base Rev 1'!$H$80</f>
        <v>-35695467</v>
      </c>
      <c r="N114" s="283"/>
    </row>
    <row r="115" spans="1:14">
      <c r="A115" s="277">
        <v>22</v>
      </c>
      <c r="B115" s="283" t="s">
        <v>514</v>
      </c>
      <c r="C115" s="214" t="s">
        <v>515</v>
      </c>
      <c r="D115" s="288">
        <f t="shared" si="3"/>
        <v>707890118.5</v>
      </c>
      <c r="E115" s="214"/>
      <c r="F115" s="214" t="str">
        <f>+F114</f>
        <v>NP</v>
      </c>
      <c r="G115" s="329">
        <f>+G114</f>
        <v>0.23688210791470879</v>
      </c>
      <c r="H115" s="214"/>
      <c r="I115" s="214">
        <f t="shared" si="4"/>
        <v>167686503.44227299</v>
      </c>
      <c r="J115" s="214"/>
      <c r="K115" s="334"/>
      <c r="L115" s="340">
        <f>'WP Adj to Rate Base Rev 1'!$J$55</f>
        <v>658159886</v>
      </c>
      <c r="M115" s="340">
        <f>'WP Adj to Rate Base Rev 1'!$J$80</f>
        <v>49730232.5</v>
      </c>
      <c r="N115" s="283"/>
    </row>
    <row r="116" spans="1:14">
      <c r="A116" s="277">
        <v>23</v>
      </c>
      <c r="B116" s="267" t="s">
        <v>516</v>
      </c>
      <c r="C116" s="267" t="s">
        <v>517</v>
      </c>
      <c r="D116" s="288">
        <f t="shared" si="3"/>
        <v>0</v>
      </c>
      <c r="E116" s="214"/>
      <c r="F116" s="214" t="s">
        <v>511</v>
      </c>
      <c r="G116" s="329">
        <f>+G114</f>
        <v>0.23688210791470879</v>
      </c>
      <c r="H116" s="214"/>
      <c r="I116" s="290">
        <f t="shared" si="4"/>
        <v>0</v>
      </c>
      <c r="J116" s="290"/>
      <c r="K116" s="334"/>
      <c r="L116" s="340">
        <v>0</v>
      </c>
      <c r="M116" s="340">
        <v>0</v>
      </c>
      <c r="N116" s="332"/>
    </row>
    <row r="117" spans="1:14">
      <c r="A117" s="292" t="s">
        <v>518</v>
      </c>
      <c r="B117" s="274" t="s">
        <v>519</v>
      </c>
      <c r="C117" s="274" t="s">
        <v>520</v>
      </c>
      <c r="D117" s="288">
        <f t="shared" si="3"/>
        <v>-28378998.868661217</v>
      </c>
      <c r="E117" s="284"/>
      <c r="F117" s="284" t="s">
        <v>400</v>
      </c>
      <c r="G117" s="341">
        <f>I235</f>
        <v>0.97463758648696985</v>
      </c>
      <c r="H117" s="284"/>
      <c r="I117" s="290">
        <f t="shared" si="4"/>
        <v>-27659238.964268416</v>
      </c>
      <c r="J117" s="290"/>
      <c r="K117" s="334"/>
      <c r="L117" s="340">
        <f>'WP Adj to Rate Base Rev 1'!$P$55</f>
        <v>-28378998.868661217</v>
      </c>
      <c r="M117" s="340">
        <v>0</v>
      </c>
      <c r="N117" s="332"/>
    </row>
    <row r="118" spans="1:14" ht="16.5" thickBot="1">
      <c r="A118" s="292" t="s">
        <v>521</v>
      </c>
      <c r="B118" s="274" t="s">
        <v>522</v>
      </c>
      <c r="C118" s="274" t="s">
        <v>520</v>
      </c>
      <c r="D118" s="288">
        <f>L118+M118</f>
        <v>0</v>
      </c>
      <c r="E118" s="284"/>
      <c r="F118" s="284" t="s">
        <v>400</v>
      </c>
      <c r="G118" s="341">
        <f>I235</f>
        <v>0.97463758648696985</v>
      </c>
      <c r="H118" s="284"/>
      <c r="I118" s="290">
        <f t="shared" si="4"/>
        <v>0</v>
      </c>
      <c r="J118" s="290"/>
      <c r="K118" s="334"/>
      <c r="L118" s="284">
        <v>0</v>
      </c>
      <c r="M118" s="284">
        <v>0</v>
      </c>
      <c r="N118" s="332"/>
    </row>
    <row r="119" spans="1:14">
      <c r="A119" s="277">
        <v>24</v>
      </c>
      <c r="B119" s="283" t="s">
        <v>523</v>
      </c>
      <c r="C119" s="214"/>
      <c r="D119" s="336">
        <f>SUM(D112:D118)</f>
        <v>-2309201608.8686614</v>
      </c>
      <c r="E119" s="214"/>
      <c r="F119" s="214"/>
      <c r="G119" s="214"/>
      <c r="H119" s="214"/>
      <c r="I119" s="336">
        <f>SUM(I112:I118)</f>
        <v>-558857239.01600742</v>
      </c>
      <c r="J119" s="290"/>
      <c r="K119" s="284"/>
      <c r="L119" s="336">
        <f>SUM(L112:L118)</f>
        <v>-2031756640.3686612</v>
      </c>
      <c r="M119" s="336">
        <f>SUM(M112:M118)</f>
        <v>-277444968.5</v>
      </c>
      <c r="N119" s="283"/>
    </row>
    <row r="120" spans="1:14">
      <c r="A120" s="277"/>
      <c r="B120" s="283"/>
      <c r="C120" s="214"/>
      <c r="D120" s="290"/>
      <c r="E120" s="214"/>
      <c r="F120" s="214"/>
      <c r="G120" s="214"/>
      <c r="H120" s="214"/>
      <c r="I120" s="214"/>
      <c r="J120" s="214"/>
      <c r="K120" s="284"/>
      <c r="L120" s="214"/>
      <c r="M120" s="214"/>
      <c r="N120" s="283"/>
    </row>
    <row r="121" spans="1:14">
      <c r="A121" s="277">
        <v>25</v>
      </c>
      <c r="B121" s="342" t="s">
        <v>524</v>
      </c>
      <c r="C121" s="214" t="s">
        <v>525</v>
      </c>
      <c r="D121" s="288">
        <f>L121+M121</f>
        <v>8103</v>
      </c>
      <c r="E121" s="214"/>
      <c r="F121" s="214" t="str">
        <f>+F95</f>
        <v>TP</v>
      </c>
      <c r="G121" s="329">
        <f>+G95</f>
        <v>0.97463758648696985</v>
      </c>
      <c r="H121" s="214"/>
      <c r="I121" s="214">
        <f>+G121*D121</f>
        <v>7897.4883633039171</v>
      </c>
      <c r="J121" s="214"/>
      <c r="K121" s="284"/>
      <c r="L121" s="330">
        <f>'WP Land HFFU'!$D$42</f>
        <v>0</v>
      </c>
      <c r="M121" s="330">
        <f>'WP Land HFFU'!$D$61</f>
        <v>8103</v>
      </c>
      <c r="N121" s="283"/>
    </row>
    <row r="122" spans="1:14">
      <c r="A122" s="277"/>
      <c r="B122" s="283"/>
      <c r="C122" s="214"/>
      <c r="D122" s="214"/>
      <c r="E122" s="214"/>
      <c r="F122" s="214"/>
      <c r="G122" s="214"/>
      <c r="H122" s="214"/>
      <c r="I122" s="214"/>
      <c r="J122" s="214"/>
      <c r="K122" s="284"/>
      <c r="L122" s="214"/>
      <c r="M122" s="214"/>
      <c r="N122" s="283"/>
    </row>
    <row r="123" spans="1:14">
      <c r="A123" s="277"/>
      <c r="B123" s="283" t="s">
        <v>547</v>
      </c>
      <c r="C123" s="214" t="s">
        <v>124</v>
      </c>
      <c r="D123" s="214"/>
      <c r="E123" s="214"/>
      <c r="F123" s="214"/>
      <c r="G123" s="214"/>
      <c r="H123" s="214"/>
      <c r="I123" s="214"/>
      <c r="J123" s="214"/>
      <c r="K123" s="284"/>
      <c r="L123" s="214"/>
      <c r="M123" s="214"/>
      <c r="N123" s="283"/>
    </row>
    <row r="124" spans="1:14">
      <c r="A124" s="277">
        <v>26</v>
      </c>
      <c r="B124" s="283" t="s">
        <v>548</v>
      </c>
      <c r="C124" s="267" t="s">
        <v>549</v>
      </c>
      <c r="D124" s="214">
        <f>+D167/8</f>
        <v>41728091.625</v>
      </c>
      <c r="E124" s="214"/>
      <c r="F124" s="214"/>
      <c r="G124" s="333"/>
      <c r="H124" s="214"/>
      <c r="I124" s="214">
        <f>+I167/8</f>
        <v>8049646.0328342421</v>
      </c>
      <c r="J124" s="214"/>
      <c r="K124" s="334"/>
      <c r="L124" s="343"/>
      <c r="M124" s="318"/>
      <c r="N124" s="283"/>
    </row>
    <row r="125" spans="1:14">
      <c r="A125" s="277">
        <v>27</v>
      </c>
      <c r="B125" s="300" t="s">
        <v>550</v>
      </c>
      <c r="C125" s="214" t="s">
        <v>551</v>
      </c>
      <c r="D125" s="288">
        <f>L125+M125</f>
        <v>582991.5</v>
      </c>
      <c r="E125" s="214"/>
      <c r="F125" s="214" t="s">
        <v>552</v>
      </c>
      <c r="G125" s="329">
        <f>I245</f>
        <v>0.93660943189348822</v>
      </c>
      <c r="H125" s="214"/>
      <c r="I125" s="214">
        <f>+G125*D125</f>
        <v>546035.33761373255</v>
      </c>
      <c r="J125" s="214"/>
      <c r="K125" s="334"/>
      <c r="L125" s="330">
        <f>'WP Working Capital'!$D$26</f>
        <v>560297</v>
      </c>
      <c r="M125" s="330">
        <f>'WP Working Capital'!$D$38</f>
        <v>22694.5</v>
      </c>
      <c r="N125" s="283"/>
    </row>
    <row r="126" spans="1:14" ht="16.5" thickBot="1">
      <c r="A126" s="277">
        <v>28</v>
      </c>
      <c r="B126" s="300" t="s">
        <v>553</v>
      </c>
      <c r="C126" s="214" t="s">
        <v>554</v>
      </c>
      <c r="D126" s="288">
        <f>L126+M126</f>
        <v>79528117.544368953</v>
      </c>
      <c r="E126" s="214"/>
      <c r="F126" s="214" t="s">
        <v>555</v>
      </c>
      <c r="G126" s="329">
        <f>+G91</f>
        <v>0.19618790929853439</v>
      </c>
      <c r="H126" s="214"/>
      <c r="I126" s="289">
        <f>+G126*D126</f>
        <v>15602455.111477837</v>
      </c>
      <c r="J126" s="290"/>
      <c r="K126" s="334"/>
      <c r="L126" s="331">
        <f>'WP Working Capital'!$F$26</f>
        <v>53825032.74816636</v>
      </c>
      <c r="M126" s="331">
        <f>'WP Working Capital'!$F$38</f>
        <v>25703084.796202589</v>
      </c>
      <c r="N126" s="344"/>
    </row>
    <row r="127" spans="1:14">
      <c r="A127" s="277">
        <v>29</v>
      </c>
      <c r="B127" s="283" t="s">
        <v>556</v>
      </c>
      <c r="C127" s="275"/>
      <c r="D127" s="336">
        <f>D124+D125+D126</f>
        <v>121839200.66936895</v>
      </c>
      <c r="E127" s="275"/>
      <c r="F127" s="275"/>
      <c r="G127" s="275"/>
      <c r="H127" s="275"/>
      <c r="I127" s="214">
        <f>I124+I125+I126</f>
        <v>24198136.481925812</v>
      </c>
      <c r="J127" s="214"/>
      <c r="K127" s="273"/>
      <c r="L127" s="214">
        <f>SUM(L125:L126)</f>
        <v>54385329.74816636</v>
      </c>
      <c r="M127" s="214">
        <f>SUM(M125:M126)</f>
        <v>25725779.296202589</v>
      </c>
    </row>
    <row r="128" spans="1:14" ht="16.5" thickBot="1">
      <c r="C128" s="214"/>
      <c r="D128" s="345"/>
      <c r="E128" s="214"/>
      <c r="F128" s="214"/>
      <c r="G128" s="214"/>
      <c r="H128" s="214"/>
      <c r="I128" s="345"/>
      <c r="J128" s="303"/>
      <c r="K128" s="284"/>
      <c r="L128" s="303"/>
      <c r="M128" s="303"/>
    </row>
    <row r="129" spans="1:13" ht="16.5" thickBot="1">
      <c r="A129" s="277">
        <v>30</v>
      </c>
      <c r="B129" s="283" t="s">
        <v>557</v>
      </c>
      <c r="C129" s="214"/>
      <c r="D129" s="346">
        <f>+D127+D121+D119+D107+D109</f>
        <v>7984437042.0407705</v>
      </c>
      <c r="E129" s="214"/>
      <c r="F129" s="214"/>
      <c r="G129" s="333"/>
      <c r="H129" s="214"/>
      <c r="I129" s="346">
        <f>+I127+I121+I119+I107+I109</f>
        <v>2164896576.3105292</v>
      </c>
      <c r="J129" s="290"/>
      <c r="K129" s="347"/>
      <c r="L129" s="346">
        <f>+L127+L121+L119+L107+L109</f>
        <v>7011987204.7387981</v>
      </c>
      <c r="M129" s="346">
        <f>+M127+M121+M119+M107+M109</f>
        <v>930721745.67697191</v>
      </c>
    </row>
    <row r="130" spans="1:13" ht="16.5" thickTop="1">
      <c r="A130" s="277"/>
      <c r="B130" s="283"/>
      <c r="C130" s="214"/>
      <c r="D130" s="290"/>
      <c r="E130" s="214"/>
      <c r="F130" s="214"/>
      <c r="G130" s="333"/>
      <c r="H130" s="214"/>
      <c r="I130" s="290"/>
      <c r="J130" s="290"/>
      <c r="K130" s="347"/>
      <c r="L130" s="290"/>
      <c r="M130" s="290"/>
    </row>
    <row r="131" spans="1:13">
      <c r="A131" s="277"/>
      <c r="B131" s="283"/>
      <c r="C131" s="214"/>
      <c r="D131" s="290"/>
      <c r="E131" s="214"/>
      <c r="F131" s="214"/>
      <c r="G131" s="333"/>
      <c r="H131" s="214"/>
      <c r="I131" s="290"/>
      <c r="J131" s="290"/>
      <c r="K131" s="347"/>
      <c r="L131" s="290"/>
      <c r="M131" s="290"/>
    </row>
    <row r="132" spans="1:13">
      <c r="A132" s="277"/>
      <c r="B132" s="283"/>
      <c r="C132" s="214"/>
      <c r="D132" s="290"/>
      <c r="E132" s="214"/>
      <c r="F132" s="214"/>
      <c r="G132" s="333"/>
      <c r="H132" s="214"/>
      <c r="I132" s="290"/>
      <c r="J132" s="290"/>
      <c r="K132" s="347"/>
      <c r="L132" s="290"/>
      <c r="M132" s="290"/>
    </row>
    <row r="133" spans="1:13">
      <c r="A133" s="277"/>
      <c r="B133" s="283"/>
      <c r="C133" s="214"/>
      <c r="D133" s="290"/>
      <c r="E133" s="214"/>
      <c r="F133" s="214"/>
      <c r="G133" s="333"/>
      <c r="H133" s="214"/>
      <c r="I133" s="290"/>
      <c r="J133" s="290"/>
      <c r="K133" s="347"/>
      <c r="L133" s="290"/>
      <c r="M133" s="290"/>
    </row>
    <row r="134" spans="1:13">
      <c r="A134" s="277"/>
      <c r="B134" s="283"/>
      <c r="C134" s="214"/>
      <c r="D134" s="290"/>
      <c r="E134" s="214"/>
      <c r="F134" s="214"/>
      <c r="G134" s="333"/>
      <c r="H134" s="214"/>
      <c r="I134" s="290"/>
      <c r="J134" s="290"/>
      <c r="K134" s="347"/>
      <c r="L134" s="290"/>
      <c r="M134" s="290"/>
    </row>
    <row r="135" spans="1:13">
      <c r="A135" s="277"/>
      <c r="B135" s="283"/>
      <c r="C135" s="214"/>
      <c r="D135" s="290"/>
      <c r="E135" s="214"/>
      <c r="F135" s="214"/>
      <c r="G135" s="333"/>
      <c r="H135" s="214"/>
      <c r="I135" s="290"/>
      <c r="J135" s="290"/>
      <c r="K135" s="347"/>
      <c r="L135" s="290"/>
      <c r="M135" s="290"/>
    </row>
    <row r="136" spans="1:13">
      <c r="A136" s="277"/>
      <c r="B136" s="283"/>
      <c r="C136" s="214"/>
      <c r="D136" s="290"/>
      <c r="E136" s="214"/>
      <c r="F136" s="214"/>
      <c r="G136" s="333"/>
      <c r="H136" s="214"/>
      <c r="I136" s="290"/>
      <c r="J136" s="290"/>
      <c r="K136" s="347"/>
      <c r="L136" s="290"/>
      <c r="M136" s="290"/>
    </row>
    <row r="137" spans="1:13">
      <c r="A137" s="277"/>
      <c r="B137" s="283"/>
      <c r="C137" s="214"/>
      <c r="D137" s="290"/>
      <c r="E137" s="214"/>
      <c r="F137" s="214"/>
      <c r="G137" s="333"/>
      <c r="H137" s="214"/>
      <c r="I137" s="290"/>
      <c r="J137" s="290"/>
      <c r="K137" s="347"/>
      <c r="L137" s="290"/>
      <c r="M137" s="290"/>
    </row>
    <row r="138" spans="1:13">
      <c r="A138" s="277"/>
      <c r="B138" s="283"/>
      <c r="C138" s="214"/>
      <c r="D138" s="290"/>
      <c r="E138" s="214"/>
      <c r="F138" s="214"/>
      <c r="G138" s="333"/>
      <c r="H138" s="214"/>
      <c r="I138" s="290"/>
      <c r="J138" s="290"/>
      <c r="K138" s="347"/>
      <c r="L138" s="290"/>
      <c r="M138" s="290"/>
    </row>
    <row r="139" spans="1:13">
      <c r="A139" s="277"/>
      <c r="B139" s="283"/>
      <c r="C139" s="214"/>
      <c r="D139" s="290"/>
      <c r="E139" s="214"/>
      <c r="F139" s="214"/>
      <c r="G139" s="333"/>
      <c r="H139" s="214"/>
      <c r="I139" s="290"/>
      <c r="J139" s="290"/>
      <c r="K139" s="347"/>
      <c r="L139" s="290"/>
      <c r="M139" s="290"/>
    </row>
    <row r="140" spans="1:13">
      <c r="A140" s="277"/>
      <c r="B140" s="283"/>
      <c r="C140" s="214"/>
      <c r="D140" s="290"/>
      <c r="E140" s="214"/>
      <c r="F140" s="214"/>
      <c r="G140" s="333"/>
      <c r="H140" s="214"/>
      <c r="I140" s="290"/>
      <c r="J140" s="290"/>
      <c r="K140" s="347"/>
      <c r="L140" s="290"/>
      <c r="M140" s="290"/>
    </row>
    <row r="141" spans="1:13">
      <c r="A141" s="277"/>
      <c r="B141" s="283"/>
      <c r="C141" s="214"/>
      <c r="D141" s="290"/>
      <c r="E141" s="214"/>
      <c r="F141" s="214"/>
      <c r="G141" s="333"/>
      <c r="H141" s="214"/>
      <c r="I141" s="290"/>
      <c r="J141" s="290"/>
      <c r="K141" s="347"/>
      <c r="L141" s="290"/>
      <c r="M141" s="290"/>
    </row>
    <row r="142" spans="1:13">
      <c r="A142" s="277"/>
      <c r="B142" s="283"/>
      <c r="C142" s="214"/>
      <c r="D142" s="290"/>
      <c r="E142" s="214"/>
      <c r="F142" s="214"/>
      <c r="G142" s="333"/>
      <c r="H142" s="214"/>
      <c r="I142" s="290"/>
      <c r="J142" s="290"/>
      <c r="K142" s="347"/>
      <c r="L142" s="290"/>
      <c r="M142" s="290"/>
    </row>
    <row r="143" spans="1:13">
      <c r="A143" s="277"/>
      <c r="B143" s="283"/>
      <c r="C143" s="214"/>
      <c r="D143" s="290"/>
      <c r="E143" s="214"/>
      <c r="F143" s="214"/>
      <c r="G143" s="333"/>
      <c r="H143" s="214"/>
      <c r="I143" s="290"/>
      <c r="J143" s="290"/>
      <c r="K143" s="347"/>
      <c r="L143" s="290"/>
      <c r="M143" s="290"/>
    </row>
    <row r="144" spans="1:13">
      <c r="A144" s="277"/>
      <c r="B144" s="283"/>
      <c r="C144" s="214"/>
      <c r="D144" s="290"/>
      <c r="E144" s="214"/>
      <c r="F144" s="214"/>
      <c r="G144" s="333"/>
      <c r="H144" s="214"/>
      <c r="I144" s="290"/>
      <c r="J144" s="290"/>
      <c r="K144" s="347"/>
      <c r="L144" s="290"/>
      <c r="M144" s="290"/>
    </row>
    <row r="145" spans="1:15">
      <c r="A145" s="277"/>
      <c r="B145" s="283"/>
      <c r="C145" s="214"/>
      <c r="D145" s="290"/>
      <c r="E145" s="214"/>
      <c r="F145" s="214"/>
      <c r="G145" s="333"/>
      <c r="H145" s="214"/>
      <c r="I145" s="290"/>
      <c r="J145" s="290"/>
      <c r="K145" s="551" t="s">
        <v>884</v>
      </c>
      <c r="L145" s="290"/>
      <c r="M145" s="290"/>
    </row>
    <row r="146" spans="1:15">
      <c r="B146" s="268"/>
      <c r="C146" s="268"/>
      <c r="D146" s="269"/>
      <c r="E146" s="268"/>
      <c r="F146" s="268"/>
      <c r="G146" s="268"/>
      <c r="H146" s="270"/>
      <c r="I146" s="270"/>
      <c r="J146" s="270"/>
      <c r="K146" s="315" t="s">
        <v>558</v>
      </c>
    </row>
    <row r="147" spans="1:15">
      <c r="B147" s="268"/>
      <c r="C147" s="268"/>
      <c r="D147" s="269"/>
      <c r="E147" s="268"/>
      <c r="F147" s="268"/>
      <c r="G147" s="268"/>
      <c r="H147" s="270"/>
      <c r="I147" s="270"/>
      <c r="J147" s="270"/>
      <c r="K147" s="316"/>
    </row>
    <row r="148" spans="1:15">
      <c r="B148" s="268" t="s">
        <v>389</v>
      </c>
      <c r="C148" s="268"/>
      <c r="D148" s="269" t="s">
        <v>390</v>
      </c>
      <c r="E148" s="268"/>
      <c r="F148" s="268"/>
      <c r="G148" s="268"/>
      <c r="H148" s="270"/>
      <c r="K148" s="271" t="str">
        <f>K4</f>
        <v>For the 12 months ended 12/31/14</v>
      </c>
    </row>
    <row r="149" spans="1:15">
      <c r="B149" s="268"/>
      <c r="C149" s="214" t="s">
        <v>124</v>
      </c>
      <c r="D149" s="214" t="s">
        <v>391</v>
      </c>
      <c r="E149" s="214"/>
      <c r="F149" s="214"/>
      <c r="G149" s="214"/>
      <c r="H149" s="270"/>
      <c r="I149" s="270"/>
      <c r="J149" s="270"/>
      <c r="K149" s="273"/>
    </row>
    <row r="150" spans="1:15">
      <c r="B150" s="268"/>
      <c r="C150" s="214"/>
      <c r="D150" s="214"/>
      <c r="E150" s="214"/>
      <c r="F150" s="214"/>
      <c r="G150" s="214"/>
      <c r="H150" s="270"/>
      <c r="I150" s="270"/>
      <c r="J150" s="270"/>
      <c r="K150" s="273"/>
    </row>
    <row r="151" spans="1:15">
      <c r="A151" s="874" t="str">
        <f>A7</f>
        <v>Northern States Power Companies</v>
      </c>
      <c r="B151" s="874"/>
      <c r="C151" s="874"/>
      <c r="D151" s="874"/>
      <c r="E151" s="874"/>
      <c r="F151" s="874"/>
      <c r="G151" s="874"/>
      <c r="H151" s="874"/>
      <c r="I151" s="874"/>
      <c r="J151" s="874"/>
      <c r="K151" s="874"/>
    </row>
    <row r="152" spans="1:15">
      <c r="A152" s="277"/>
      <c r="D152" s="274"/>
      <c r="E152" s="274"/>
      <c r="F152" s="274"/>
      <c r="G152" s="274"/>
      <c r="K152" s="284"/>
    </row>
    <row r="153" spans="1:15">
      <c r="A153" s="277"/>
      <c r="B153" s="318" t="s">
        <v>459</v>
      </c>
      <c r="C153" s="318" t="s">
        <v>460</v>
      </c>
      <c r="D153" s="318" t="s">
        <v>461</v>
      </c>
      <c r="E153" s="214" t="s">
        <v>124</v>
      </c>
      <c r="F153" s="214"/>
      <c r="G153" s="319" t="s">
        <v>462</v>
      </c>
      <c r="H153" s="214"/>
      <c r="I153" s="320" t="s">
        <v>463</v>
      </c>
      <c r="J153" s="320"/>
      <c r="K153" s="284"/>
    </row>
    <row r="154" spans="1:15">
      <c r="A154" s="277"/>
      <c r="B154" s="318"/>
      <c r="C154" s="270"/>
      <c r="D154" s="270"/>
      <c r="E154" s="270"/>
      <c r="F154" s="270"/>
      <c r="G154" s="270"/>
      <c r="H154" s="270"/>
      <c r="I154" s="270"/>
      <c r="J154" s="270"/>
      <c r="K154" s="349"/>
    </row>
    <row r="155" spans="1:15">
      <c r="A155" s="277" t="s">
        <v>165</v>
      </c>
      <c r="B155" s="283"/>
      <c r="C155" s="322" t="s">
        <v>464</v>
      </c>
      <c r="D155" s="214"/>
      <c r="E155" s="214"/>
      <c r="F155" s="214"/>
      <c r="G155" s="277"/>
      <c r="H155" s="214"/>
      <c r="I155" s="323" t="s">
        <v>143</v>
      </c>
      <c r="J155" s="323"/>
      <c r="K155" s="349"/>
      <c r="L155" s="613" t="s">
        <v>465</v>
      </c>
      <c r="M155" s="613" t="s">
        <v>466</v>
      </c>
    </row>
    <row r="156" spans="1:15" ht="16.5" thickBot="1">
      <c r="A156" s="279" t="s">
        <v>141</v>
      </c>
      <c r="B156" s="283"/>
      <c r="C156" s="324" t="s">
        <v>467</v>
      </c>
      <c r="D156" s="325" t="s">
        <v>468</v>
      </c>
      <c r="E156" s="326"/>
      <c r="F156" s="873" t="s">
        <v>397</v>
      </c>
      <c r="G156" s="873"/>
      <c r="H156" s="326"/>
      <c r="I156" s="277" t="s">
        <v>470</v>
      </c>
      <c r="J156" s="277"/>
      <c r="K156" s="349"/>
      <c r="L156" s="613" t="s">
        <v>142</v>
      </c>
      <c r="M156" s="613" t="s">
        <v>142</v>
      </c>
    </row>
    <row r="157" spans="1:15">
      <c r="A157" s="277"/>
      <c r="B157" s="283" t="s">
        <v>559</v>
      </c>
      <c r="C157" s="214"/>
      <c r="D157" s="214"/>
      <c r="E157" s="214"/>
      <c r="F157" s="214"/>
      <c r="G157" s="214"/>
      <c r="H157" s="214"/>
      <c r="I157" s="214"/>
      <c r="J157" s="214"/>
      <c r="K157" s="284"/>
    </row>
    <row r="158" spans="1:15">
      <c r="A158" s="277">
        <v>1</v>
      </c>
      <c r="B158" s="283" t="s">
        <v>560</v>
      </c>
      <c r="C158" s="214" t="s">
        <v>561</v>
      </c>
      <c r="D158" s="288">
        <f t="shared" ref="D158:D165" si="5">L158+M158</f>
        <v>207363094</v>
      </c>
      <c r="E158" s="214"/>
      <c r="F158" s="214" t="s">
        <v>552</v>
      </c>
      <c r="G158" s="329">
        <f>I245</f>
        <v>0.93660943189348822</v>
      </c>
      <c r="H158" s="214"/>
      <c r="I158" s="214">
        <f t="shared" ref="I158:I166" si="6">+G158*D158</f>
        <v>194218229.667016</v>
      </c>
      <c r="J158" s="214"/>
      <c r="K158" s="284"/>
      <c r="L158" s="330">
        <f>'WP O&amp;M'!$F$46</f>
        <v>196449679</v>
      </c>
      <c r="M158" s="330">
        <f>'WP O&amp;M'!$H$46</f>
        <v>10913415</v>
      </c>
    </row>
    <row r="159" spans="1:15">
      <c r="A159" s="292" t="s">
        <v>562</v>
      </c>
      <c r="B159" s="300" t="s">
        <v>563</v>
      </c>
      <c r="C159" s="284"/>
      <c r="D159" s="288">
        <f t="shared" si="5"/>
        <v>8681362</v>
      </c>
      <c r="E159" s="214"/>
      <c r="F159" s="350"/>
      <c r="G159" s="329">
        <v>1</v>
      </c>
      <c r="H159" s="214"/>
      <c r="I159" s="214">
        <f t="shared" si="6"/>
        <v>8681362</v>
      </c>
      <c r="J159" s="214"/>
      <c r="K159" s="284"/>
      <c r="L159" s="330">
        <f>'WP O&amp;M'!$F$50</f>
        <v>8681362</v>
      </c>
      <c r="M159" s="330">
        <f>'WP O&amp;M'!$H$50</f>
        <v>0</v>
      </c>
      <c r="N159" s="351"/>
      <c r="O159" s="352"/>
    </row>
    <row r="160" spans="1:15">
      <c r="A160" s="277">
        <v>2</v>
      </c>
      <c r="B160" s="283" t="s">
        <v>564</v>
      </c>
      <c r="C160" s="214" t="s">
        <v>565</v>
      </c>
      <c r="D160" s="288">
        <f t="shared" si="5"/>
        <v>145642831</v>
      </c>
      <c r="E160" s="214"/>
      <c r="F160" s="214" t="s">
        <v>552</v>
      </c>
      <c r="G160" s="329">
        <f>+G158</f>
        <v>0.93660943189348822</v>
      </c>
      <c r="H160" s="214"/>
      <c r="I160" s="214">
        <f t="shared" si="6"/>
        <v>136410449.20226932</v>
      </c>
      <c r="J160" s="214"/>
      <c r="K160" s="284"/>
      <c r="L160" s="330">
        <f>'WP O&amp;M'!$F$52</f>
        <v>145642831</v>
      </c>
      <c r="M160" s="330">
        <f>'WP O&amp;M'!$H$52</f>
        <v>0</v>
      </c>
      <c r="O160" s="214"/>
    </row>
    <row r="161" spans="1:14">
      <c r="A161" s="277">
        <v>3</v>
      </c>
      <c r="B161" s="283" t="s">
        <v>566</v>
      </c>
      <c r="C161" s="214" t="s">
        <v>567</v>
      </c>
      <c r="D161" s="288">
        <f t="shared" si="5"/>
        <v>299007678</v>
      </c>
      <c r="E161" s="214"/>
      <c r="F161" s="214" t="s">
        <v>482</v>
      </c>
      <c r="G161" s="329">
        <f>+G97</f>
        <v>5.4258984178965124E-2</v>
      </c>
      <c r="H161" s="214"/>
      <c r="I161" s="214">
        <f t="shared" si="6"/>
        <v>16223852.869991098</v>
      </c>
      <c r="J161" s="214"/>
      <c r="K161" s="284" t="s">
        <v>124</v>
      </c>
      <c r="L161" s="330">
        <f>'WP O&amp;M'!$F$80</f>
        <v>257214113</v>
      </c>
      <c r="M161" s="330">
        <f>'WP O&amp;M'!$H$80</f>
        <v>41793565</v>
      </c>
      <c r="N161" s="352"/>
    </row>
    <row r="162" spans="1:14">
      <c r="A162" s="277">
        <v>4</v>
      </c>
      <c r="B162" s="283" t="s">
        <v>568</v>
      </c>
      <c r="D162" s="288">
        <f t="shared" si="5"/>
        <v>0</v>
      </c>
      <c r="E162" s="214"/>
      <c r="F162" s="214" t="str">
        <f>+F161</f>
        <v>W/S</v>
      </c>
      <c r="G162" s="329">
        <f>+G161</f>
        <v>5.4258984178965124E-2</v>
      </c>
      <c r="H162" s="214"/>
      <c r="I162" s="214">
        <f t="shared" si="6"/>
        <v>0</v>
      </c>
      <c r="J162" s="214"/>
      <c r="L162" s="330">
        <f>'WP O&amp;M'!$F$82</f>
        <v>0</v>
      </c>
      <c r="M162" s="330">
        <f>'WP O&amp;M'!$H$82</f>
        <v>0</v>
      </c>
      <c r="N162" s="352"/>
    </row>
    <row r="163" spans="1:14">
      <c r="A163" s="277">
        <v>5</v>
      </c>
      <c r="B163" s="300" t="s">
        <v>569</v>
      </c>
      <c r="C163" s="284"/>
      <c r="D163" s="288">
        <f t="shared" si="5"/>
        <v>18262188</v>
      </c>
      <c r="E163" s="214"/>
      <c r="F163" s="214" t="str">
        <f>+F162</f>
        <v>W/S</v>
      </c>
      <c r="G163" s="329">
        <f>+G162</f>
        <v>5.4258984178965124E-2</v>
      </c>
      <c r="H163" s="214"/>
      <c r="I163" s="214">
        <f t="shared" si="6"/>
        <v>990887.76976528671</v>
      </c>
      <c r="J163" s="214"/>
      <c r="K163" s="284"/>
      <c r="L163" s="330">
        <f>'WP O&amp;M'!$F$87</f>
        <v>16691019</v>
      </c>
      <c r="M163" s="330">
        <f>'WP O&amp;M'!$H$87</f>
        <v>1571169</v>
      </c>
      <c r="N163" s="352"/>
    </row>
    <row r="164" spans="1:14">
      <c r="A164" s="277" t="s">
        <v>570</v>
      </c>
      <c r="B164" s="300" t="s">
        <v>571</v>
      </c>
      <c r="C164" s="284"/>
      <c r="D164" s="288">
        <f t="shared" si="5"/>
        <v>40342</v>
      </c>
      <c r="E164" s="214"/>
      <c r="F164" s="353" t="str">
        <f>+F158</f>
        <v>TE</v>
      </c>
      <c r="G164" s="341">
        <f>+G158</f>
        <v>0.93660943189348822</v>
      </c>
      <c r="H164" s="214"/>
      <c r="I164" s="214">
        <f t="shared" si="6"/>
        <v>37784.697701447105</v>
      </c>
      <c r="J164" s="214"/>
      <c r="K164" s="284"/>
      <c r="L164" s="330">
        <f>'WP O&amp;M'!$F$89</f>
        <v>40342</v>
      </c>
      <c r="M164" s="330">
        <f>'WP O&amp;M'!$H$89</f>
        <v>0</v>
      </c>
      <c r="N164" s="351"/>
    </row>
    <row r="165" spans="1:14" s="274" customFormat="1">
      <c r="A165" s="292">
        <v>6</v>
      </c>
      <c r="B165" s="300" t="s">
        <v>483</v>
      </c>
      <c r="C165" s="284" t="str">
        <f>+C98</f>
        <v>356.1</v>
      </c>
      <c r="D165" s="288">
        <f t="shared" si="5"/>
        <v>0</v>
      </c>
      <c r="E165" s="284"/>
      <c r="F165" s="284" t="s">
        <v>485</v>
      </c>
      <c r="G165" s="341">
        <f>+G98</f>
        <v>5.0854550942371055E-2</v>
      </c>
      <c r="H165" s="284"/>
      <c r="I165" s="284">
        <f t="shared" si="6"/>
        <v>0</v>
      </c>
      <c r="J165" s="284"/>
      <c r="K165" s="284"/>
      <c r="L165" s="330">
        <v>0</v>
      </c>
      <c r="M165" s="330">
        <v>0</v>
      </c>
      <c r="N165" s="354"/>
    </row>
    <row r="166" spans="1:14" ht="16.5" thickBot="1">
      <c r="A166" s="277">
        <v>7</v>
      </c>
      <c r="B166" s="283" t="s">
        <v>572</v>
      </c>
      <c r="C166" s="214"/>
      <c r="D166" s="296">
        <f>L166+M166</f>
        <v>0</v>
      </c>
      <c r="E166" s="214"/>
      <c r="F166" s="214" t="s">
        <v>124</v>
      </c>
      <c r="G166" s="329">
        <v>1</v>
      </c>
      <c r="H166" s="214"/>
      <c r="I166" s="289">
        <f t="shared" si="6"/>
        <v>0</v>
      </c>
      <c r="J166" s="290"/>
      <c r="K166" s="284"/>
      <c r="L166" s="331">
        <v>0</v>
      </c>
      <c r="M166" s="331">
        <v>0</v>
      </c>
      <c r="N166" s="352"/>
    </row>
    <row r="167" spans="1:14">
      <c r="A167" s="277">
        <v>8</v>
      </c>
      <c r="B167" s="283" t="s">
        <v>573</v>
      </c>
      <c r="C167" s="214"/>
      <c r="D167" s="214">
        <f>+D158-D159-D160+D161-D162-D163+D165+D166+D164</f>
        <v>333824733</v>
      </c>
      <c r="E167" s="214"/>
      <c r="F167" s="214"/>
      <c r="G167" s="214"/>
      <c r="H167" s="214"/>
      <c r="I167" s="214">
        <f>+I158-I159-I160+I161-I162-I163+I165+I166+I164</f>
        <v>64397168.262673937</v>
      </c>
      <c r="J167" s="214"/>
      <c r="K167" s="284"/>
      <c r="L167" s="214">
        <f>+L158-L159-L160+L161-L162-L163+L165+L166+L164</f>
        <v>282688922</v>
      </c>
      <c r="M167" s="214">
        <f>+M158-M159-M160+M161-M162-M163+M165+M166+M164</f>
        <v>51135811</v>
      </c>
    </row>
    <row r="168" spans="1:14">
      <c r="A168" s="277"/>
      <c r="C168" s="214"/>
      <c r="E168" s="214"/>
      <c r="F168" s="214"/>
      <c r="G168" s="214"/>
      <c r="H168" s="214"/>
      <c r="I168" s="214"/>
      <c r="K168" s="284"/>
    </row>
    <row r="169" spans="1:14">
      <c r="A169" s="277"/>
      <c r="B169" s="355" t="s">
        <v>574</v>
      </c>
      <c r="C169" s="214"/>
      <c r="D169" s="214"/>
      <c r="E169" s="214"/>
      <c r="F169" s="214"/>
      <c r="G169" s="214"/>
      <c r="H169" s="214"/>
      <c r="I169" s="214"/>
      <c r="J169" s="214"/>
      <c r="K169" s="284"/>
    </row>
    <row r="170" spans="1:14">
      <c r="A170" s="277">
        <v>9</v>
      </c>
      <c r="B170" s="283" t="str">
        <f>+B158</f>
        <v xml:space="preserve">  Transmission </v>
      </c>
      <c r="C170" s="284" t="s">
        <v>575</v>
      </c>
      <c r="D170" s="288">
        <f>L170+M170</f>
        <v>67782742</v>
      </c>
      <c r="E170" s="214"/>
      <c r="F170" s="214" t="s">
        <v>400</v>
      </c>
      <c r="G170" s="329">
        <f>+G121</f>
        <v>0.97463758648696985</v>
      </c>
      <c r="H170" s="214"/>
      <c r="I170" s="214">
        <f>+G170*D170</f>
        <v>66063608.068348967</v>
      </c>
      <c r="J170" s="214"/>
      <c r="K170" s="334"/>
      <c r="L170" s="330">
        <f>'WP Dep &amp; Amort Exp'!$F$10</f>
        <v>50143964</v>
      </c>
      <c r="M170" s="330">
        <f>'WP Dep &amp; Amort Exp'!$H$10</f>
        <v>17638778</v>
      </c>
    </row>
    <row r="171" spans="1:14">
      <c r="A171" s="277" t="s">
        <v>576</v>
      </c>
      <c r="B171" s="274" t="s">
        <v>577</v>
      </c>
      <c r="C171" s="284" t="s">
        <v>578</v>
      </c>
      <c r="D171" s="288">
        <f>L171+M171</f>
        <v>-489932</v>
      </c>
      <c r="E171" s="214"/>
      <c r="F171" s="214" t="s">
        <v>400</v>
      </c>
      <c r="G171" s="329">
        <f>I235</f>
        <v>0.97463758648696985</v>
      </c>
      <c r="H171" s="214"/>
      <c r="I171" s="214">
        <f>+G171*D171</f>
        <v>-477506.1420227341</v>
      </c>
      <c r="J171" s="214"/>
      <c r="K171" s="334"/>
      <c r="L171" s="330">
        <f>'WP Dep &amp; Amort Exp'!$F$12</f>
        <v>-489932</v>
      </c>
      <c r="M171" s="330">
        <f>'WP Dep &amp; Amort Exp'!$H$12</f>
        <v>0</v>
      </c>
    </row>
    <row r="172" spans="1:14">
      <c r="A172" s="277" t="s">
        <v>579</v>
      </c>
      <c r="B172" s="274" t="s">
        <v>580</v>
      </c>
      <c r="C172" s="284" t="s">
        <v>578</v>
      </c>
      <c r="D172" s="288">
        <f>L172+M172</f>
        <v>0</v>
      </c>
      <c r="E172" s="214"/>
      <c r="F172" s="214" t="s">
        <v>400</v>
      </c>
      <c r="G172" s="329">
        <f>I235</f>
        <v>0.97463758648696985</v>
      </c>
      <c r="H172" s="214"/>
      <c r="I172" s="214">
        <f>+G172*D172</f>
        <v>0</v>
      </c>
      <c r="J172" s="214"/>
      <c r="K172" s="334"/>
      <c r="L172" s="330">
        <f>'WP Dep &amp; Amort Exp'!$F$14</f>
        <v>0</v>
      </c>
      <c r="M172" s="330">
        <f>'WP Dep &amp; Amort Exp'!$H$14</f>
        <v>0</v>
      </c>
    </row>
    <row r="173" spans="1:14">
      <c r="A173" s="277">
        <v>10</v>
      </c>
      <c r="B173" s="355" t="s">
        <v>480</v>
      </c>
      <c r="C173" s="214" t="s">
        <v>581</v>
      </c>
      <c r="D173" s="288">
        <f>L173+M173</f>
        <v>26720973</v>
      </c>
      <c r="E173" s="214"/>
      <c r="F173" s="214" t="s">
        <v>482</v>
      </c>
      <c r="G173" s="329">
        <f>+G161</f>
        <v>5.4258984178965124E-2</v>
      </c>
      <c r="H173" s="214"/>
      <c r="I173" s="214">
        <f>+G173*D173</f>
        <v>1449852.8512535542</v>
      </c>
      <c r="J173" s="214"/>
      <c r="K173" s="334"/>
      <c r="L173" s="330">
        <f>'WP Dep &amp; Amort Exp'!$F$16</f>
        <v>23928407</v>
      </c>
      <c r="M173" s="330">
        <f>'WP Dep &amp; Amort Exp'!$H$16</f>
        <v>2792566</v>
      </c>
    </row>
    <row r="174" spans="1:14" ht="16.5" thickBot="1">
      <c r="A174" s="277">
        <v>11</v>
      </c>
      <c r="B174" s="300" t="s">
        <v>582</v>
      </c>
      <c r="C174" s="214" t="s">
        <v>583</v>
      </c>
      <c r="D174" s="296">
        <f>L174+M174</f>
        <v>45155576</v>
      </c>
      <c r="E174" s="214"/>
      <c r="F174" s="214" t="s">
        <v>485</v>
      </c>
      <c r="G174" s="329">
        <f>+G165</f>
        <v>5.0854550942371055E-2</v>
      </c>
      <c r="H174" s="214"/>
      <c r="I174" s="289">
        <f>+G174*D174</f>
        <v>2296366.5400241078</v>
      </c>
      <c r="J174" s="290"/>
      <c r="K174" s="334"/>
      <c r="L174" s="331">
        <f>'WP Dep &amp; Amort Exp'!$F$18</f>
        <v>39519418</v>
      </c>
      <c r="M174" s="331">
        <f>'WP Dep &amp; Amort Exp'!$H$18</f>
        <v>5636158</v>
      </c>
    </row>
    <row r="175" spans="1:14">
      <c r="A175" s="277">
        <v>12</v>
      </c>
      <c r="B175" s="283" t="s">
        <v>584</v>
      </c>
      <c r="C175" s="214"/>
      <c r="D175" s="336">
        <f>SUM(D170:D174)</f>
        <v>139169359</v>
      </c>
      <c r="E175" s="214"/>
      <c r="F175" s="214"/>
      <c r="G175" s="214"/>
      <c r="H175" s="214"/>
      <c r="I175" s="214">
        <f>SUM(I170:I174)</f>
        <v>69332321.317603886</v>
      </c>
      <c r="J175" s="214"/>
      <c r="K175" s="284"/>
      <c r="L175" s="214">
        <f>SUM(L170:L174)</f>
        <v>113101857</v>
      </c>
      <c r="M175" s="214">
        <f>SUM(M170:M174)</f>
        <v>26067502</v>
      </c>
    </row>
    <row r="176" spans="1:14">
      <c r="A176" s="277"/>
      <c r="B176" s="283"/>
      <c r="C176" s="214"/>
      <c r="D176" s="214"/>
      <c r="E176" s="214"/>
      <c r="F176" s="214"/>
      <c r="G176" s="214"/>
      <c r="H176" s="214"/>
      <c r="I176" s="214"/>
      <c r="J176" s="214"/>
      <c r="K176" s="284"/>
    </row>
    <row r="177" spans="1:14">
      <c r="A177" s="277" t="s">
        <v>124</v>
      </c>
      <c r="B177" s="283" t="s">
        <v>585</v>
      </c>
      <c r="D177" s="214"/>
      <c r="E177" s="214"/>
      <c r="F177" s="214"/>
      <c r="G177" s="214"/>
      <c r="H177" s="214"/>
      <c r="I177" s="214"/>
      <c r="J177" s="214"/>
      <c r="K177" s="284"/>
    </row>
    <row r="178" spans="1:14">
      <c r="A178" s="277"/>
      <c r="B178" s="283" t="s">
        <v>586</v>
      </c>
      <c r="E178" s="214"/>
      <c r="F178" s="214"/>
      <c r="H178" s="214"/>
      <c r="K178" s="334"/>
    </row>
    <row r="179" spans="1:14">
      <c r="A179" s="277">
        <v>13</v>
      </c>
      <c r="B179" s="283" t="s">
        <v>587</v>
      </c>
      <c r="C179" s="214" t="s">
        <v>588</v>
      </c>
      <c r="D179" s="288">
        <f t="shared" ref="D179:D184" si="7">L179+M179</f>
        <v>35382358</v>
      </c>
      <c r="E179" s="214"/>
      <c r="F179" s="214" t="s">
        <v>482</v>
      </c>
      <c r="G179" s="286">
        <f>+G173</f>
        <v>5.4258984178965124E-2</v>
      </c>
      <c r="H179" s="214"/>
      <c r="I179" s="214">
        <f>+G179*D179</f>
        <v>1919810.8029364801</v>
      </c>
      <c r="J179" s="214"/>
      <c r="K179" s="334"/>
      <c r="L179" s="330">
        <f>'WP Taxes Other Than Income'!$F$12</f>
        <v>32161787</v>
      </c>
      <c r="M179" s="330">
        <f>'WP Taxes Other Than Income'!$H$12</f>
        <v>3220571</v>
      </c>
    </row>
    <row r="180" spans="1:14">
      <c r="A180" s="277">
        <v>14</v>
      </c>
      <c r="B180" s="283" t="s">
        <v>589</v>
      </c>
      <c r="C180" s="214" t="str">
        <f>+C179</f>
        <v>263.i</v>
      </c>
      <c r="D180" s="288">
        <f t="shared" si="7"/>
        <v>46279</v>
      </c>
      <c r="E180" s="214"/>
      <c r="F180" s="214" t="str">
        <f>+F179</f>
        <v>W/S</v>
      </c>
      <c r="G180" s="286">
        <f>+G179</f>
        <v>5.4258984178965124E-2</v>
      </c>
      <c r="H180" s="214"/>
      <c r="I180" s="214">
        <f>+G180*D180</f>
        <v>2511.0515288183269</v>
      </c>
      <c r="J180" s="214"/>
      <c r="K180" s="334"/>
      <c r="L180" s="330">
        <f>'WP Taxes Other Than Income'!$F$13</f>
        <v>46279</v>
      </c>
      <c r="M180" s="351">
        <f>'WP Taxes Other Than Income'!$H$13</f>
        <v>0</v>
      </c>
      <c r="N180" s="351"/>
    </row>
    <row r="181" spans="1:14">
      <c r="A181" s="277">
        <v>15</v>
      </c>
      <c r="B181" s="283" t="s">
        <v>590</v>
      </c>
      <c r="C181" s="214" t="s">
        <v>124</v>
      </c>
      <c r="D181" s="356"/>
      <c r="E181" s="214"/>
      <c r="F181" s="214"/>
      <c r="H181" s="214"/>
      <c r="K181" s="334"/>
      <c r="L181" s="356"/>
      <c r="M181" s="356"/>
    </row>
    <row r="182" spans="1:14">
      <c r="A182" s="277">
        <v>16</v>
      </c>
      <c r="B182" s="283" t="s">
        <v>591</v>
      </c>
      <c r="C182" s="214" t="s">
        <v>588</v>
      </c>
      <c r="D182" s="288">
        <f t="shared" si="7"/>
        <v>169445971</v>
      </c>
      <c r="E182" s="214"/>
      <c r="F182" s="214" t="s">
        <v>555</v>
      </c>
      <c r="G182" s="286">
        <f>+G91</f>
        <v>0.19618790929853439</v>
      </c>
      <c r="H182" s="214"/>
      <c r="I182" s="214">
        <f>+G182*D182</f>
        <v>33243250.789550088</v>
      </c>
      <c r="J182" s="214"/>
      <c r="K182" s="334"/>
      <c r="L182" s="330">
        <f>'WP Taxes Other Than Income'!$F$17</f>
        <v>168150504</v>
      </c>
      <c r="M182" s="330">
        <f>'WP Taxes Other Than Income'!$H$17</f>
        <v>1295467</v>
      </c>
    </row>
    <row r="183" spans="1:14">
      <c r="A183" s="277">
        <v>17</v>
      </c>
      <c r="B183" s="283" t="s">
        <v>592</v>
      </c>
      <c r="C183" s="214" t="s">
        <v>588</v>
      </c>
      <c r="D183" s="288">
        <f>L183+M183</f>
        <v>20118466</v>
      </c>
      <c r="E183" s="214"/>
      <c r="F183" s="284" t="str">
        <f>+F112</f>
        <v>NA</v>
      </c>
      <c r="G183" s="357" t="s">
        <v>508</v>
      </c>
      <c r="H183" s="214"/>
      <c r="I183" s="214">
        <v>0</v>
      </c>
      <c r="J183" s="214"/>
      <c r="K183" s="334"/>
      <c r="L183" s="330">
        <f>'WP Taxes Other Than Income'!$F$18</f>
        <v>0</v>
      </c>
      <c r="M183" s="330">
        <f>'WP Taxes Other Than Income'!$H$18</f>
        <v>20118466</v>
      </c>
      <c r="N183" s="351"/>
    </row>
    <row r="184" spans="1:14">
      <c r="A184" s="277">
        <v>18</v>
      </c>
      <c r="B184" s="283" t="s">
        <v>593</v>
      </c>
      <c r="C184" s="214" t="str">
        <f>+C183</f>
        <v>263.i</v>
      </c>
      <c r="D184" s="288">
        <f t="shared" si="7"/>
        <v>424843</v>
      </c>
      <c r="E184" s="214"/>
      <c r="F184" s="214" t="str">
        <f>+F182</f>
        <v>GP</v>
      </c>
      <c r="G184" s="286">
        <f>+G182</f>
        <v>0.19618790929853439</v>
      </c>
      <c r="H184" s="214"/>
      <c r="I184" s="214">
        <f>+G184*D184</f>
        <v>83349.05995011724</v>
      </c>
      <c r="J184" s="214"/>
      <c r="K184" s="334"/>
      <c r="L184" s="330">
        <f>'WP Taxes Other Than Income'!$F$19</f>
        <v>357597</v>
      </c>
      <c r="M184" s="330">
        <f>'WP Taxes Other Than Income'!$H$19</f>
        <v>67246</v>
      </c>
    </row>
    <row r="185" spans="1:14" ht="16.5" thickBot="1">
      <c r="A185" s="277">
        <v>19</v>
      </c>
      <c r="B185" s="283" t="s">
        <v>594</v>
      </c>
      <c r="C185" s="214"/>
      <c r="D185" s="296">
        <f>L185+M185</f>
        <v>0</v>
      </c>
      <c r="E185" s="214"/>
      <c r="F185" s="214" t="s">
        <v>555</v>
      </c>
      <c r="G185" s="286">
        <f>+G182</f>
        <v>0.19618790929853439</v>
      </c>
      <c r="H185" s="214"/>
      <c r="I185" s="289">
        <f>+G185*D185</f>
        <v>0</v>
      </c>
      <c r="J185" s="290"/>
      <c r="K185" s="334"/>
      <c r="L185" s="331">
        <f>'WP Taxes Other Than Income'!$F$20</f>
        <v>0</v>
      </c>
      <c r="M185" s="331">
        <f>'WP Taxes Other Than Income'!$H$20</f>
        <v>0</v>
      </c>
    </row>
    <row r="186" spans="1:14">
      <c r="A186" s="277">
        <v>20</v>
      </c>
      <c r="B186" s="283" t="s">
        <v>595</v>
      </c>
      <c r="C186" s="214"/>
      <c r="D186" s="336">
        <f>SUM(D179:D185)</f>
        <v>225417917</v>
      </c>
      <c r="E186" s="214"/>
      <c r="F186" s="214"/>
      <c r="G186" s="286"/>
      <c r="H186" s="214"/>
      <c r="I186" s="214">
        <f>SUM(I179:I185)</f>
        <v>35248921.703965507</v>
      </c>
      <c r="J186" s="214"/>
      <c r="K186" s="284"/>
      <c r="L186" s="214">
        <f>SUM(L179:L185)</f>
        <v>200716167</v>
      </c>
      <c r="M186" s="214">
        <f>SUM(M179:M185)</f>
        <v>24701750</v>
      </c>
    </row>
    <row r="187" spans="1:14">
      <c r="A187" s="277"/>
      <c r="B187" s="283"/>
      <c r="C187" s="214"/>
      <c r="D187" s="214"/>
      <c r="E187" s="214"/>
      <c r="F187" s="214"/>
      <c r="G187" s="286"/>
      <c r="H187" s="214"/>
      <c r="I187" s="214"/>
      <c r="J187" s="214"/>
      <c r="K187" s="284"/>
    </row>
    <row r="188" spans="1:14">
      <c r="A188" s="277" t="s">
        <v>124</v>
      </c>
      <c r="B188" s="283" t="s">
        <v>596</v>
      </c>
      <c r="C188" s="214" t="s">
        <v>597</v>
      </c>
      <c r="D188" s="214"/>
      <c r="E188" s="214"/>
      <c r="G188" s="358"/>
      <c r="H188" s="214"/>
    </row>
    <row r="189" spans="1:14">
      <c r="A189" s="277">
        <v>21</v>
      </c>
      <c r="B189" s="359" t="s">
        <v>598</v>
      </c>
      <c r="C189" s="214"/>
      <c r="D189" s="360">
        <f>IF(D328&gt;0,1-(((1-D329)*(1-D328))/(1-D329*D328*D330)),0)</f>
        <v>0.40814399999999995</v>
      </c>
      <c r="E189" s="214"/>
      <c r="G189" s="358"/>
      <c r="H189" s="214"/>
    </row>
    <row r="190" spans="1:14">
      <c r="A190" s="277">
        <v>22</v>
      </c>
      <c r="B190" s="267" t="s">
        <v>599</v>
      </c>
      <c r="C190" s="214"/>
      <c r="D190" s="360">
        <f>IF(I276&gt;0,(D189/(1-D189))*(1-I273/I276),0)</f>
        <v>0.5246820035080304</v>
      </c>
      <c r="E190" s="214"/>
      <c r="G190" s="358"/>
      <c r="H190" s="214"/>
    </row>
    <row r="191" spans="1:14">
      <c r="A191" s="277"/>
      <c r="B191" s="283" t="s">
        <v>600</v>
      </c>
      <c r="C191" s="214"/>
      <c r="D191" s="214"/>
      <c r="E191" s="214"/>
      <c r="G191" s="358"/>
      <c r="H191" s="214"/>
    </row>
    <row r="192" spans="1:14">
      <c r="A192" s="277"/>
      <c r="B192" s="283" t="s">
        <v>601</v>
      </c>
      <c r="C192" s="214"/>
      <c r="D192" s="214"/>
      <c r="E192" s="214"/>
      <c r="G192" s="358"/>
      <c r="H192" s="214"/>
    </row>
    <row r="193" spans="1:14">
      <c r="A193" s="277">
        <v>23</v>
      </c>
      <c r="B193" s="359" t="s">
        <v>602</v>
      </c>
      <c r="C193" s="214"/>
      <c r="D193" s="361">
        <f>IF(D189&gt;0,1/(1-D189),0)</f>
        <v>1.6896001730150576</v>
      </c>
      <c r="E193" s="214"/>
      <c r="G193" s="358"/>
      <c r="H193" s="214"/>
    </row>
    <row r="194" spans="1:14">
      <c r="A194" s="277">
        <v>24</v>
      </c>
      <c r="B194" s="283" t="s">
        <v>603</v>
      </c>
      <c r="C194" s="214"/>
      <c r="D194" s="288">
        <f>L194+M194</f>
        <v>-1965174</v>
      </c>
      <c r="E194" s="214"/>
      <c r="G194" s="358"/>
      <c r="H194" s="214"/>
      <c r="L194" s="330">
        <f>'WP Taxes Other Than Income'!$F$26</f>
        <v>-1455000</v>
      </c>
      <c r="M194" s="330">
        <f>'WP Taxes Other Than Income'!$H$26</f>
        <v>-510174</v>
      </c>
      <c r="N194" s="351"/>
    </row>
    <row r="195" spans="1:14">
      <c r="A195" s="277"/>
      <c r="B195" s="283"/>
      <c r="C195" s="214"/>
      <c r="D195" s="214"/>
      <c r="E195" s="214"/>
      <c r="G195" s="358"/>
      <c r="H195" s="214"/>
    </row>
    <row r="196" spans="1:14">
      <c r="A196" s="277">
        <v>25</v>
      </c>
      <c r="B196" s="359" t="s">
        <v>604</v>
      </c>
      <c r="C196" s="362"/>
      <c r="D196" s="214">
        <f>D190*D200</f>
        <v>362001478.76412457</v>
      </c>
      <c r="E196" s="214"/>
      <c r="F196" s="214" t="s">
        <v>475</v>
      </c>
      <c r="G196" s="286"/>
      <c r="H196" s="214"/>
      <c r="I196" s="214">
        <f>D190*I200</f>
        <v>98152913.958664581</v>
      </c>
      <c r="J196" s="214"/>
      <c r="K196" s="363" t="s">
        <v>124</v>
      </c>
    </row>
    <row r="197" spans="1:14" ht="16.5" thickBot="1">
      <c r="A197" s="277">
        <v>26</v>
      </c>
      <c r="B197" s="267" t="s">
        <v>605</v>
      </c>
      <c r="C197" s="362"/>
      <c r="D197" s="289">
        <f>D193*D194</f>
        <v>-3320358.3304046928</v>
      </c>
      <c r="E197" s="214"/>
      <c r="F197" s="267" t="s">
        <v>511</v>
      </c>
      <c r="G197" s="286">
        <f>G107</f>
        <v>0.23688210791470879</v>
      </c>
      <c r="H197" s="214"/>
      <c r="I197" s="289">
        <f>G197*D197</f>
        <v>-786533.48033842677</v>
      </c>
      <c r="J197" s="290"/>
      <c r="K197" s="363"/>
    </row>
    <row r="198" spans="1:14">
      <c r="A198" s="277">
        <v>27</v>
      </c>
      <c r="B198" s="364" t="s">
        <v>606</v>
      </c>
      <c r="C198" s="267" t="s">
        <v>607</v>
      </c>
      <c r="D198" s="365">
        <f>+D196+D197</f>
        <v>358681120.43371987</v>
      </c>
      <c r="E198" s="214"/>
      <c r="F198" s="214" t="s">
        <v>124</v>
      </c>
      <c r="G198" s="286" t="s">
        <v>124</v>
      </c>
      <c r="H198" s="214"/>
      <c r="I198" s="365">
        <f>+I196+I197</f>
        <v>97366380.478326157</v>
      </c>
      <c r="J198" s="365"/>
      <c r="K198" s="284"/>
    </row>
    <row r="199" spans="1:14">
      <c r="A199" s="277" t="s">
        <v>124</v>
      </c>
      <c r="C199" s="366"/>
      <c r="D199" s="214"/>
      <c r="E199" s="214"/>
      <c r="F199" s="214"/>
      <c r="G199" s="286"/>
      <c r="H199" s="214"/>
      <c r="I199" s="214"/>
      <c r="J199" s="214"/>
      <c r="K199" s="284"/>
    </row>
    <row r="200" spans="1:14">
      <c r="A200" s="277">
        <v>28</v>
      </c>
      <c r="B200" s="283" t="s">
        <v>608</v>
      </c>
      <c r="C200" s="333"/>
      <c r="D200" s="214">
        <f>+$I276*D129</f>
        <v>689944530.86589241</v>
      </c>
      <c r="E200" s="214"/>
      <c r="F200" s="214" t="s">
        <v>475</v>
      </c>
      <c r="G200" s="358"/>
      <c r="H200" s="214"/>
      <c r="I200" s="214">
        <f>+$I276*I129</f>
        <v>187071241.82345301</v>
      </c>
      <c r="J200" s="214"/>
    </row>
    <row r="201" spans="1:14">
      <c r="A201" s="277"/>
      <c r="B201" s="364" t="s">
        <v>609</v>
      </c>
      <c r="D201" s="214"/>
      <c r="E201" s="214"/>
      <c r="F201" s="214"/>
      <c r="G201" s="358"/>
      <c r="H201" s="214"/>
      <c r="I201" s="214"/>
      <c r="J201" s="214"/>
      <c r="K201" s="334"/>
    </row>
    <row r="202" spans="1:14" ht="16.5" thickBot="1">
      <c r="A202" s="277"/>
      <c r="B202" s="283"/>
      <c r="D202" s="289"/>
      <c r="E202" s="214"/>
      <c r="F202" s="214"/>
      <c r="G202" s="358"/>
      <c r="H202" s="214"/>
      <c r="I202" s="289"/>
      <c r="J202" s="290"/>
      <c r="K202" s="334"/>
    </row>
    <row r="203" spans="1:14">
      <c r="A203" s="277">
        <v>29</v>
      </c>
      <c r="B203" s="283" t="s">
        <v>610</v>
      </c>
      <c r="C203" s="214"/>
      <c r="D203" s="336">
        <f>+D200+D198+D186+D175+D167</f>
        <v>1747037660.2996123</v>
      </c>
      <c r="E203" s="214"/>
      <c r="F203" s="214"/>
      <c r="G203" s="214"/>
      <c r="H203" s="214"/>
      <c r="I203" s="290">
        <f>+I200+I198+I186+I175+I167</f>
        <v>453416033.58602244</v>
      </c>
      <c r="J203" s="290"/>
      <c r="K203" s="273"/>
    </row>
    <row r="204" spans="1:14">
      <c r="A204" s="277"/>
      <c r="B204" s="283"/>
      <c r="C204" s="214"/>
      <c r="D204" s="290"/>
      <c r="E204" s="214"/>
      <c r="F204" s="214"/>
      <c r="G204" s="214"/>
      <c r="H204" s="214"/>
      <c r="I204" s="290"/>
      <c r="J204" s="290"/>
      <c r="K204" s="273"/>
    </row>
    <row r="205" spans="1:14">
      <c r="A205" s="277">
        <v>30</v>
      </c>
      <c r="B205" s="283" t="s">
        <v>611</v>
      </c>
      <c r="C205" s="214"/>
      <c r="J205" s="290"/>
      <c r="K205" s="273"/>
    </row>
    <row r="206" spans="1:14">
      <c r="A206" s="277"/>
      <c r="B206" s="283" t="s">
        <v>612</v>
      </c>
      <c r="C206" s="214"/>
      <c r="D206" s="290"/>
      <c r="E206" s="214"/>
      <c r="F206" s="214"/>
      <c r="G206" s="214"/>
      <c r="H206" s="214"/>
      <c r="I206" s="290"/>
      <c r="J206" s="290"/>
      <c r="K206" s="273"/>
    </row>
    <row r="207" spans="1:14">
      <c r="A207" s="277"/>
      <c r="B207" s="283" t="s">
        <v>613</v>
      </c>
      <c r="C207" s="214"/>
      <c r="D207" s="294">
        <f>L207</f>
        <v>58822736.453853585</v>
      </c>
      <c r="E207" s="214"/>
      <c r="F207" s="214"/>
      <c r="G207" s="214"/>
      <c r="H207" s="214"/>
      <c r="I207" s="294">
        <f>D207</f>
        <v>58822736.453853585</v>
      </c>
      <c r="J207" s="290"/>
      <c r="K207" s="273"/>
      <c r="L207" s="330">
        <f>'WP Revenue Credits Rev 1'!$F$30</f>
        <v>58822736.453853585</v>
      </c>
    </row>
    <row r="208" spans="1:14">
      <c r="A208" s="277"/>
      <c r="B208" s="283"/>
      <c r="C208" s="214"/>
      <c r="D208" s="290"/>
      <c r="E208" s="214"/>
      <c r="F208" s="214"/>
      <c r="G208" s="214"/>
      <c r="H208" s="214"/>
      <c r="I208" s="290"/>
      <c r="J208" s="290"/>
      <c r="K208" s="273"/>
      <c r="L208" s="330"/>
    </row>
    <row r="209" spans="1:12">
      <c r="A209" s="277" t="s">
        <v>614</v>
      </c>
      <c r="B209" s="283" t="s">
        <v>615</v>
      </c>
      <c r="C209" s="214"/>
      <c r="K209" s="273"/>
      <c r="L209" s="330"/>
    </row>
    <row r="210" spans="1:12">
      <c r="A210" s="277"/>
      <c r="B210" s="283" t="s">
        <v>612</v>
      </c>
      <c r="C210" s="214"/>
      <c r="D210" s="290"/>
      <c r="E210" s="214"/>
      <c r="F210" s="214"/>
      <c r="G210" s="214"/>
      <c r="H210" s="214"/>
      <c r="I210" s="290"/>
      <c r="J210" s="290"/>
      <c r="K210" s="273"/>
      <c r="L210" s="330"/>
    </row>
    <row r="211" spans="1:12" ht="16.5" thickBot="1">
      <c r="A211" s="277"/>
      <c r="B211" s="283" t="s">
        <v>616</v>
      </c>
      <c r="C211" s="214"/>
      <c r="D211" s="296">
        <f>L211</f>
        <v>51583671.234765284</v>
      </c>
      <c r="E211" s="214"/>
      <c r="F211" s="214"/>
      <c r="G211" s="214"/>
      <c r="H211" s="214"/>
      <c r="I211" s="296">
        <f>D211</f>
        <v>51583671.234765284</v>
      </c>
      <c r="J211" s="295"/>
      <c r="K211" s="273"/>
      <c r="L211" s="330">
        <f>'WP Revenue Credits Rev 1'!$F$33</f>
        <v>51583671.234765284</v>
      </c>
    </row>
    <row r="212" spans="1:12" ht="16.5" thickBot="1">
      <c r="A212" s="277">
        <v>31</v>
      </c>
      <c r="B212" s="283" t="s">
        <v>617</v>
      </c>
      <c r="C212" s="214"/>
      <c r="D212" s="367">
        <f>+D203-D207-D211</f>
        <v>1636631252.6109934</v>
      </c>
      <c r="E212" s="214"/>
      <c r="F212" s="214"/>
      <c r="G212" s="214"/>
      <c r="H212" s="214"/>
      <c r="I212" s="367">
        <f>+I203-I207-I211</f>
        <v>343009625.89740354</v>
      </c>
      <c r="J212" s="290"/>
      <c r="K212" s="273"/>
    </row>
    <row r="213" spans="1:12" ht="16.5" thickTop="1">
      <c r="A213" s="277"/>
      <c r="B213" s="283" t="s">
        <v>618</v>
      </c>
      <c r="C213" s="214"/>
      <c r="D213" s="290"/>
      <c r="E213" s="214"/>
      <c r="F213" s="214"/>
      <c r="G213" s="214"/>
      <c r="H213" s="214"/>
      <c r="I213" s="290"/>
      <c r="J213" s="290"/>
      <c r="K213" s="273"/>
    </row>
    <row r="214" spans="1:12">
      <c r="A214" s="277"/>
      <c r="B214" s="283"/>
      <c r="C214" s="214"/>
      <c r="D214" s="290"/>
      <c r="E214" s="214"/>
      <c r="F214" s="214"/>
      <c r="G214" s="214"/>
      <c r="H214" s="214"/>
      <c r="I214" s="290"/>
      <c r="J214" s="290"/>
      <c r="K214" s="273"/>
    </row>
    <row r="215" spans="1:12">
      <c r="A215" s="277"/>
      <c r="B215" s="283"/>
      <c r="C215" s="214"/>
      <c r="D215" s="290"/>
      <c r="E215" s="214"/>
      <c r="F215" s="214"/>
      <c r="G215" s="214"/>
      <c r="H215" s="214"/>
      <c r="I215" s="290"/>
      <c r="J215" s="290"/>
      <c r="K215" s="273"/>
    </row>
    <row r="216" spans="1:12">
      <c r="A216" s="277"/>
      <c r="B216" s="283"/>
      <c r="C216" s="214"/>
      <c r="D216" s="290"/>
      <c r="E216" s="214"/>
      <c r="F216" s="214"/>
      <c r="G216" s="214"/>
      <c r="H216" s="214"/>
      <c r="I216" s="290"/>
      <c r="J216" s="290"/>
      <c r="K216" s="273"/>
    </row>
    <row r="217" spans="1:12">
      <c r="A217" s="277"/>
      <c r="B217" s="283"/>
      <c r="C217" s="214"/>
      <c r="D217" s="290"/>
      <c r="E217" s="214"/>
      <c r="F217" s="214"/>
      <c r="G217" s="214"/>
      <c r="H217" s="214"/>
      <c r="I217" s="290"/>
      <c r="J217" s="290"/>
      <c r="K217" s="273"/>
    </row>
    <row r="218" spans="1:12">
      <c r="A218" s="277"/>
      <c r="B218" s="283"/>
      <c r="C218" s="214"/>
      <c r="D218" s="290"/>
      <c r="E218" s="214"/>
      <c r="F218" s="214"/>
      <c r="G218" s="214"/>
      <c r="H218" s="214"/>
      <c r="I218" s="290"/>
      <c r="J218" s="290"/>
      <c r="K218" s="273"/>
    </row>
    <row r="219" spans="1:12">
      <c r="A219" s="277"/>
      <c r="B219" s="283"/>
      <c r="C219" s="214"/>
      <c r="D219" s="290"/>
      <c r="E219" s="214"/>
      <c r="F219" s="214"/>
      <c r="G219" s="214"/>
      <c r="H219" s="214"/>
      <c r="I219" s="290"/>
      <c r="J219" s="290"/>
      <c r="K219" s="273"/>
    </row>
    <row r="220" spans="1:12">
      <c r="A220" s="277"/>
      <c r="B220" s="283"/>
      <c r="C220" s="214"/>
      <c r="D220" s="290"/>
      <c r="E220" s="214"/>
      <c r="F220" s="214"/>
      <c r="G220" s="214"/>
      <c r="H220" s="214"/>
      <c r="I220" s="290"/>
      <c r="J220" s="290"/>
      <c r="K220" s="273"/>
    </row>
    <row r="221" spans="1:12">
      <c r="A221" s="277"/>
      <c r="B221" s="283"/>
      <c r="C221" s="214"/>
      <c r="D221" s="290"/>
      <c r="E221" s="214"/>
      <c r="F221" s="214"/>
      <c r="G221" s="214"/>
      <c r="H221" s="214"/>
      <c r="I221" s="290"/>
      <c r="J221" s="290"/>
      <c r="K221" s="551" t="s">
        <v>884</v>
      </c>
    </row>
    <row r="222" spans="1:12">
      <c r="B222" s="268"/>
      <c r="C222" s="268"/>
      <c r="D222" s="269"/>
      <c r="E222" s="268"/>
      <c r="F222" s="268"/>
      <c r="G222" s="268"/>
      <c r="H222" s="270"/>
      <c r="I222" s="271"/>
      <c r="J222" s="271"/>
      <c r="K222" s="272" t="s">
        <v>619</v>
      </c>
    </row>
    <row r="223" spans="1:12">
      <c r="B223" s="268" t="s">
        <v>389</v>
      </c>
      <c r="C223" s="268"/>
      <c r="D223" s="269" t="s">
        <v>390</v>
      </c>
      <c r="E223" s="268"/>
      <c r="F223" s="268"/>
      <c r="G223" s="268"/>
      <c r="H223" s="270"/>
      <c r="K223" s="271" t="str">
        <f>K4</f>
        <v>For the 12 months ended 12/31/14</v>
      </c>
    </row>
    <row r="224" spans="1:12">
      <c r="B224" s="268"/>
      <c r="C224" s="268"/>
      <c r="D224" s="214" t="s">
        <v>391</v>
      </c>
      <c r="E224" s="268"/>
      <c r="F224" s="268"/>
      <c r="G224" s="268"/>
      <c r="H224" s="270"/>
      <c r="I224" s="270"/>
      <c r="J224" s="270"/>
      <c r="K224" s="316"/>
    </row>
    <row r="225" spans="1:20" ht="11.25" customHeight="1">
      <c r="B225" s="268"/>
      <c r="C225" s="268"/>
      <c r="D225" s="214"/>
      <c r="E225" s="268"/>
      <c r="F225" s="268"/>
      <c r="G225" s="268"/>
      <c r="H225" s="270"/>
      <c r="I225" s="270"/>
      <c r="J225" s="270"/>
      <c r="K225" s="316"/>
    </row>
    <row r="226" spans="1:20">
      <c r="A226" s="874" t="str">
        <f>A7</f>
        <v>Northern States Power Companies</v>
      </c>
      <c r="B226" s="874"/>
      <c r="C226" s="874"/>
      <c r="D226" s="874"/>
      <c r="E226" s="874"/>
      <c r="F226" s="874"/>
      <c r="G226" s="874"/>
      <c r="H226" s="874"/>
      <c r="I226" s="874"/>
      <c r="J226" s="874"/>
      <c r="K226" s="874"/>
      <c r="L226" s="613" t="s">
        <v>465</v>
      </c>
      <c r="M226" s="613" t="s">
        <v>466</v>
      </c>
    </row>
    <row r="227" spans="1:20">
      <c r="B227" s="268"/>
      <c r="C227" s="268"/>
      <c r="D227" s="274"/>
      <c r="E227" s="342"/>
      <c r="F227" s="342"/>
      <c r="G227" s="342"/>
      <c r="H227" s="270"/>
      <c r="I227" s="270"/>
      <c r="J227" s="270"/>
      <c r="K227" s="273"/>
      <c r="L227" s="613"/>
      <c r="M227" s="613"/>
    </row>
    <row r="228" spans="1:20">
      <c r="A228" s="277" t="s">
        <v>165</v>
      </c>
      <c r="B228" s="268"/>
      <c r="C228" s="327" t="s">
        <v>620</v>
      </c>
      <c r="E228" s="214"/>
      <c r="F228" s="214"/>
      <c r="G228" s="214"/>
      <c r="H228" s="270"/>
      <c r="I228" s="270"/>
      <c r="J228" s="270"/>
      <c r="K228" s="273"/>
      <c r="L228" s="613" t="s">
        <v>142</v>
      </c>
      <c r="M228" s="613" t="s">
        <v>142</v>
      </c>
    </row>
    <row r="229" spans="1:20" ht="16.5" thickBot="1">
      <c r="A229" s="279" t="s">
        <v>141</v>
      </c>
      <c r="B229" s="342" t="s">
        <v>621</v>
      </c>
      <c r="C229" s="273"/>
      <c r="D229" s="273"/>
      <c r="E229" s="273"/>
      <c r="F229" s="273"/>
      <c r="G229" s="273"/>
      <c r="H229" s="274"/>
      <c r="I229" s="274"/>
      <c r="J229" s="274"/>
      <c r="K229" s="284"/>
    </row>
    <row r="230" spans="1:20">
      <c r="A230" s="277">
        <v>1</v>
      </c>
      <c r="B230" s="301" t="s">
        <v>622</v>
      </c>
      <c r="C230" s="273"/>
      <c r="D230" s="284"/>
      <c r="E230" s="284"/>
      <c r="F230" s="284"/>
      <c r="G230" s="284"/>
      <c r="H230" s="284"/>
      <c r="I230" s="284">
        <f>D87</f>
        <v>3242380383.630002</v>
      </c>
      <c r="J230" s="284"/>
      <c r="K230" s="284"/>
    </row>
    <row r="231" spans="1:20">
      <c r="A231" s="277">
        <v>2</v>
      </c>
      <c r="B231" s="301" t="s">
        <v>623</v>
      </c>
      <c r="C231" s="274"/>
      <c r="D231" s="368"/>
      <c r="E231" s="274"/>
      <c r="F231" s="274"/>
      <c r="G231" s="274"/>
      <c r="H231" s="274"/>
      <c r="I231" s="288">
        <f>L231+M231</f>
        <v>0</v>
      </c>
      <c r="J231" s="284"/>
      <c r="K231" s="284"/>
      <c r="L231" s="330">
        <f>'WP Support for Alloc Factors'!$F$11</f>
        <v>0</v>
      </c>
      <c r="M231" s="330">
        <f>'WP Support for Alloc Factors'!$H$11</f>
        <v>0</v>
      </c>
    </row>
    <row r="232" spans="1:20" ht="16.5" thickBot="1">
      <c r="A232" s="277">
        <v>3</v>
      </c>
      <c r="B232" s="369" t="s">
        <v>624</v>
      </c>
      <c r="C232" s="370"/>
      <c r="D232" s="295"/>
      <c r="E232" s="284"/>
      <c r="F232" s="284"/>
      <c r="G232" s="317"/>
      <c r="H232" s="284"/>
      <c r="I232" s="288">
        <f>L232+M232</f>
        <v>82234592.056161538</v>
      </c>
      <c r="J232" s="284"/>
      <c r="K232" s="284"/>
      <c r="L232" s="340">
        <f>'WP Support for Alloc Factors'!$F$12</f>
        <v>73083393.896161541</v>
      </c>
      <c r="M232" s="340">
        <f>'WP Support for Alloc Factors'!$H$12</f>
        <v>9151198.1600000001</v>
      </c>
      <c r="N232" s="351"/>
    </row>
    <row r="233" spans="1:20">
      <c r="A233" s="277">
        <v>4</v>
      </c>
      <c r="B233" s="301" t="s">
        <v>625</v>
      </c>
      <c r="C233" s="273"/>
      <c r="D233" s="295"/>
      <c r="E233" s="284"/>
      <c r="F233" s="284"/>
      <c r="G233" s="317"/>
      <c r="H233" s="284"/>
      <c r="I233" s="371">
        <f>I230-I231-I232</f>
        <v>3160145791.5738406</v>
      </c>
      <c r="J233" s="295"/>
      <c r="K233" s="284"/>
    </row>
    <row r="234" spans="1:20" ht="11.25" customHeight="1">
      <c r="A234" s="277"/>
      <c r="B234" s="274"/>
      <c r="C234" s="273"/>
      <c r="D234" s="295"/>
      <c r="E234" s="284"/>
      <c r="F234" s="284"/>
      <c r="G234" s="317"/>
      <c r="H234" s="284"/>
      <c r="I234" s="274"/>
      <c r="J234" s="274"/>
      <c r="K234" s="284"/>
      <c r="N234" s="303"/>
      <c r="O234" s="303"/>
      <c r="P234" s="303"/>
      <c r="Q234" s="303"/>
      <c r="R234" s="303"/>
      <c r="S234" s="303"/>
    </row>
    <row r="235" spans="1:20">
      <c r="A235" s="277">
        <v>5</v>
      </c>
      <c r="B235" s="301" t="s">
        <v>626</v>
      </c>
      <c r="C235" s="372"/>
      <c r="D235" s="373"/>
      <c r="E235" s="374"/>
      <c r="F235" s="374"/>
      <c r="G235" s="276"/>
      <c r="H235" s="284" t="s">
        <v>627</v>
      </c>
      <c r="I235" s="339">
        <f>IF(I230&gt;0,I233/I230,0)</f>
        <v>0.97463758648696985</v>
      </c>
      <c r="J235" s="339"/>
      <c r="K235" s="284"/>
      <c r="M235" s="303"/>
      <c r="N235" s="458"/>
      <c r="O235" s="458"/>
      <c r="P235" s="458"/>
      <c r="Q235" s="458"/>
      <c r="R235" s="458"/>
      <c r="S235" s="458"/>
      <c r="T235" s="303"/>
    </row>
    <row r="236" spans="1:20" ht="11.25" customHeight="1">
      <c r="A236" s="277"/>
      <c r="B236" s="274"/>
      <c r="C236" s="274"/>
      <c r="D236" s="368"/>
      <c r="E236" s="274"/>
      <c r="F236" s="274"/>
      <c r="G236" s="274"/>
      <c r="H236" s="274"/>
      <c r="I236" s="274"/>
      <c r="J236" s="274"/>
      <c r="K236" s="284"/>
      <c r="M236" s="303"/>
      <c r="N236" s="458"/>
      <c r="O236" s="458"/>
      <c r="P236" s="458"/>
      <c r="Q236" s="458"/>
      <c r="R236" s="458"/>
      <c r="S236" s="458"/>
      <c r="T236" s="303"/>
    </row>
    <row r="237" spans="1:20">
      <c r="A237" s="277"/>
      <c r="B237" s="300" t="s">
        <v>628</v>
      </c>
      <c r="C237" s="274"/>
      <c r="D237" s="368"/>
      <c r="E237" s="274"/>
      <c r="F237" s="274"/>
      <c r="G237" s="274"/>
      <c r="H237" s="274"/>
      <c r="I237" s="274"/>
      <c r="J237" s="274"/>
      <c r="K237" s="284"/>
      <c r="M237" s="303"/>
      <c r="N237" s="458"/>
      <c r="O237" s="458"/>
      <c r="P237" s="458"/>
      <c r="Q237" s="458"/>
      <c r="R237" s="458"/>
      <c r="S237" s="458"/>
      <c r="T237" s="303"/>
    </row>
    <row r="238" spans="1:20">
      <c r="A238" s="277"/>
      <c r="B238" s="274"/>
      <c r="C238" s="274"/>
      <c r="D238" s="368"/>
      <c r="E238" s="274"/>
      <c r="F238" s="274"/>
      <c r="G238" s="274"/>
      <c r="H238" s="274"/>
      <c r="I238" s="274"/>
      <c r="J238" s="274"/>
      <c r="K238" s="284"/>
      <c r="M238" s="303"/>
      <c r="N238" s="875" t="s">
        <v>629</v>
      </c>
      <c r="O238" s="876"/>
      <c r="P238" s="876"/>
      <c r="Q238" s="876"/>
      <c r="R238" s="876"/>
      <c r="S238" s="877"/>
      <c r="T238" s="303"/>
    </row>
    <row r="239" spans="1:20">
      <c r="A239" s="277">
        <v>6</v>
      </c>
      <c r="B239" s="274" t="s">
        <v>630</v>
      </c>
      <c r="C239" s="274"/>
      <c r="D239" s="375"/>
      <c r="E239" s="273"/>
      <c r="F239" s="273"/>
      <c r="G239" s="321"/>
      <c r="H239" s="273"/>
      <c r="I239" s="284">
        <f>D158</f>
        <v>207363094</v>
      </c>
      <c r="J239" s="284"/>
      <c r="K239" s="284"/>
      <c r="M239" s="303"/>
      <c r="N239" s="804"/>
      <c r="O239" s="303"/>
      <c r="P239" s="290"/>
      <c r="Q239" s="578"/>
      <c r="R239" s="303"/>
      <c r="S239" s="805"/>
      <c r="T239" s="303"/>
    </row>
    <row r="240" spans="1:20" ht="16.5" thickBot="1">
      <c r="A240" s="277">
        <v>7</v>
      </c>
      <c r="B240" s="369" t="s">
        <v>631</v>
      </c>
      <c r="C240" s="370"/>
      <c r="D240" s="295"/>
      <c r="E240" s="295"/>
      <c r="F240" s="284"/>
      <c r="G240" s="284"/>
      <c r="H240" s="284"/>
      <c r="I240" s="288">
        <f>L240+M240</f>
        <v>8090839</v>
      </c>
      <c r="J240" s="284"/>
      <c r="K240" s="284"/>
      <c r="L240" s="340">
        <f>'WP Support for Alloc Factors'!$F$22</f>
        <v>6139962</v>
      </c>
      <c r="M240" s="340">
        <f>'WP Support for Alloc Factors'!$H$22</f>
        <v>1950877</v>
      </c>
      <c r="N240" s="806">
        <f>+I240</f>
        <v>8090839</v>
      </c>
      <c r="O240" s="807" t="s">
        <v>632</v>
      </c>
      <c r="P240" s="290"/>
      <c r="Q240" s="578"/>
      <c r="R240" s="303"/>
      <c r="S240" s="805"/>
      <c r="T240" s="303"/>
    </row>
    <row r="241" spans="1:20">
      <c r="A241" s="277">
        <v>8</v>
      </c>
      <c r="B241" s="301" t="s">
        <v>633</v>
      </c>
      <c r="C241" s="372"/>
      <c r="D241" s="373"/>
      <c r="E241" s="374"/>
      <c r="F241" s="374"/>
      <c r="G241" s="276"/>
      <c r="H241" s="374"/>
      <c r="I241" s="371">
        <f>+I239-I240</f>
        <v>199272255</v>
      </c>
      <c r="J241" s="295"/>
      <c r="K241" s="284"/>
      <c r="L241" s="340"/>
      <c r="M241" s="340"/>
      <c r="N241" s="808">
        <v>1260644</v>
      </c>
      <c r="O241" s="809" t="s">
        <v>634</v>
      </c>
      <c r="S241" s="805"/>
      <c r="T241" s="303"/>
    </row>
    <row r="242" spans="1:20">
      <c r="A242" s="277"/>
      <c r="B242" s="301"/>
      <c r="C242" s="273"/>
      <c r="D242" s="284"/>
      <c r="E242" s="284"/>
      <c r="F242" s="284"/>
      <c r="G242" s="284"/>
      <c r="H242" s="274"/>
      <c r="I242" s="274"/>
      <c r="J242" s="274"/>
      <c r="M242" s="303"/>
      <c r="N242" s="810">
        <f>N240-N241</f>
        <v>6830195</v>
      </c>
      <c r="O242" s="809" t="s">
        <v>635</v>
      </c>
      <c r="S242" s="805"/>
      <c r="T242" s="303"/>
    </row>
    <row r="243" spans="1:20">
      <c r="A243" s="277">
        <v>9</v>
      </c>
      <c r="B243" s="301" t="s">
        <v>636</v>
      </c>
      <c r="C243" s="273"/>
      <c r="D243" s="284"/>
      <c r="E243" s="284"/>
      <c r="F243" s="284"/>
      <c r="G243" s="284"/>
      <c r="H243" s="284"/>
      <c r="I243" s="341">
        <f>IF(I239&gt;0,I241/I239,0)</f>
        <v>0.96098226138543241</v>
      </c>
      <c r="J243" s="341"/>
      <c r="M243" s="303"/>
      <c r="N243" s="810"/>
      <c r="O243" s="811" t="s">
        <v>637</v>
      </c>
      <c r="P243" s="812"/>
      <c r="Q243" s="812"/>
      <c r="R243" s="303"/>
      <c r="S243" s="805"/>
      <c r="T243" s="303"/>
    </row>
    <row r="244" spans="1:20">
      <c r="A244" s="277">
        <v>10</v>
      </c>
      <c r="B244" s="301" t="s">
        <v>638</v>
      </c>
      <c r="C244" s="273"/>
      <c r="D244" s="284"/>
      <c r="E244" s="284"/>
      <c r="F244" s="284"/>
      <c r="G244" s="284"/>
      <c r="H244" s="273" t="s">
        <v>400</v>
      </c>
      <c r="I244" s="376">
        <f>I235</f>
        <v>0.97463758648696985</v>
      </c>
      <c r="J244" s="376"/>
      <c r="M244" s="303"/>
      <c r="N244" s="813">
        <v>0</v>
      </c>
      <c r="O244" s="812" t="s">
        <v>639</v>
      </c>
      <c r="P244" s="303"/>
      <c r="Q244" s="812"/>
      <c r="R244" s="303"/>
      <c r="S244" s="805"/>
      <c r="T244" s="303"/>
    </row>
    <row r="245" spans="1:20">
      <c r="A245" s="277">
        <v>11</v>
      </c>
      <c r="B245" s="301" t="s">
        <v>640</v>
      </c>
      <c r="C245" s="273"/>
      <c r="D245" s="273"/>
      <c r="E245" s="273"/>
      <c r="F245" s="273"/>
      <c r="G245" s="273"/>
      <c r="H245" s="273" t="s">
        <v>641</v>
      </c>
      <c r="I245" s="377">
        <f>+I244*I243</f>
        <v>0.93660943189348822</v>
      </c>
      <c r="J245" s="377"/>
      <c r="M245" s="303"/>
      <c r="N245" s="813">
        <v>0</v>
      </c>
      <c r="O245" s="812" t="s">
        <v>642</v>
      </c>
      <c r="P245" s="303"/>
      <c r="Q245" s="812"/>
      <c r="R245" s="303"/>
      <c r="S245" s="805"/>
      <c r="T245" s="303"/>
    </row>
    <row r="246" spans="1:20">
      <c r="A246" s="277"/>
      <c r="C246" s="275"/>
      <c r="D246" s="214"/>
      <c r="E246" s="214"/>
      <c r="F246" s="214"/>
      <c r="G246" s="343"/>
      <c r="H246" s="214"/>
      <c r="M246" s="303"/>
      <c r="N246" s="814">
        <v>646627</v>
      </c>
      <c r="O246" s="812" t="s">
        <v>643</v>
      </c>
      <c r="P246" s="303"/>
      <c r="Q246" s="815"/>
      <c r="R246" s="303"/>
      <c r="S246" s="805"/>
      <c r="T246" s="303"/>
    </row>
    <row r="247" spans="1:20">
      <c r="A247" s="277" t="s">
        <v>124</v>
      </c>
      <c r="B247" s="283" t="s">
        <v>644</v>
      </c>
      <c r="C247" s="214"/>
      <c r="D247" s="214"/>
      <c r="E247" s="214"/>
      <c r="F247" s="214"/>
      <c r="G247" s="214"/>
      <c r="H247" s="214"/>
      <c r="I247" s="214"/>
      <c r="J247" s="214"/>
      <c r="M247" s="303"/>
      <c r="N247" s="810">
        <f>SUM(N244:N246)</f>
        <v>646627</v>
      </c>
      <c r="O247" s="816" t="s">
        <v>645</v>
      </c>
      <c r="P247" s="290"/>
      <c r="Q247" s="578"/>
      <c r="R247" s="303"/>
      <c r="S247" s="805"/>
      <c r="T247" s="303"/>
    </row>
    <row r="248" spans="1:20" ht="16.5" thickBot="1">
      <c r="A248" s="277" t="s">
        <v>124</v>
      </c>
      <c r="B248" s="283"/>
      <c r="C248" s="289" t="s">
        <v>646</v>
      </c>
      <c r="D248" s="378" t="s">
        <v>647</v>
      </c>
      <c r="E248" s="378" t="s">
        <v>400</v>
      </c>
      <c r="F248" s="214"/>
      <c r="G248" s="378" t="s">
        <v>648</v>
      </c>
      <c r="H248" s="214"/>
      <c r="I248" s="214"/>
      <c r="J248" s="214"/>
      <c r="K248" s="284"/>
      <c r="M248" s="303"/>
      <c r="N248" s="817">
        <f>N242-N247</f>
        <v>6183568</v>
      </c>
      <c r="O248" s="818" t="s">
        <v>649</v>
      </c>
      <c r="P248" s="819"/>
      <c r="Q248" s="820"/>
      <c r="R248" s="802"/>
      <c r="S248" s="803"/>
      <c r="T248" s="303"/>
    </row>
    <row r="249" spans="1:20">
      <c r="A249" s="277">
        <v>12</v>
      </c>
      <c r="B249" s="283" t="s">
        <v>473</v>
      </c>
      <c r="C249" s="214" t="s">
        <v>650</v>
      </c>
      <c r="D249" s="288">
        <f>L249+M249</f>
        <v>298663595</v>
      </c>
      <c r="E249" s="379">
        <v>0</v>
      </c>
      <c r="F249" s="379"/>
      <c r="G249" s="214">
        <f>D249*E249</f>
        <v>0</v>
      </c>
      <c r="H249" s="214"/>
      <c r="I249" s="214"/>
      <c r="J249" s="214"/>
      <c r="K249" s="284"/>
      <c r="L249" s="330">
        <f>'WP Support for Alloc Factors'!$F$26</f>
        <v>286881705</v>
      </c>
      <c r="M249" s="340">
        <f>'WP Support for Alloc Factors'!$H$26</f>
        <v>11781890</v>
      </c>
      <c r="N249" s="368"/>
      <c r="O249" s="368"/>
      <c r="P249" s="368"/>
      <c r="Q249" s="368"/>
      <c r="R249" s="368"/>
      <c r="S249" s="368"/>
      <c r="T249" s="303"/>
    </row>
    <row r="250" spans="1:20">
      <c r="A250" s="277">
        <v>13</v>
      </c>
      <c r="B250" s="283" t="s">
        <v>476</v>
      </c>
      <c r="C250" s="214" t="s">
        <v>651</v>
      </c>
      <c r="D250" s="288">
        <f>L250+M250</f>
        <v>22769766</v>
      </c>
      <c r="E250" s="379">
        <f>+I235</f>
        <v>0.97463758648696985</v>
      </c>
      <c r="F250" s="379"/>
      <c r="G250" s="214">
        <f>D250*E250</f>
        <v>22192269.779113065</v>
      </c>
      <c r="H250" s="214"/>
      <c r="I250" s="214"/>
      <c r="J250" s="214"/>
      <c r="K250" s="284"/>
      <c r="L250" s="330">
        <f>'WP Support for Alloc Factors'!$F$27</f>
        <v>17953144</v>
      </c>
      <c r="M250" s="340">
        <f>'WP Support for Alloc Factors'!$H$27</f>
        <v>4816622</v>
      </c>
      <c r="N250" s="458"/>
      <c r="O250" s="458"/>
      <c r="P250" s="458"/>
      <c r="Q250" s="458"/>
      <c r="R250" s="458"/>
      <c r="S250" s="458"/>
      <c r="T250" s="303"/>
    </row>
    <row r="251" spans="1:20">
      <c r="A251" s="277">
        <v>14</v>
      </c>
      <c r="B251" s="283" t="s">
        <v>478</v>
      </c>
      <c r="C251" s="214" t="s">
        <v>652</v>
      </c>
      <c r="D251" s="288">
        <f>L251+M251</f>
        <v>68287207</v>
      </c>
      <c r="E251" s="379">
        <v>0</v>
      </c>
      <c r="F251" s="379"/>
      <c r="G251" s="214">
        <f>D251*E251</f>
        <v>0</v>
      </c>
      <c r="H251" s="214"/>
      <c r="I251" s="380" t="s">
        <v>653</v>
      </c>
      <c r="J251" s="380"/>
      <c r="K251" s="284"/>
      <c r="L251" s="330">
        <f>'WP Support for Alloc Factors'!$F$28</f>
        <v>55478445</v>
      </c>
      <c r="M251" s="330">
        <f>'WP Support for Alloc Factors'!$H$28</f>
        <v>12808762</v>
      </c>
      <c r="N251" s="303"/>
      <c r="O251" s="303"/>
      <c r="P251" s="303"/>
      <c r="Q251" s="303"/>
      <c r="R251" s="303"/>
      <c r="S251" s="303"/>
    </row>
    <row r="252" spans="1:20" ht="16.5" thickBot="1">
      <c r="A252" s="277">
        <v>15</v>
      </c>
      <c r="B252" s="283" t="s">
        <v>654</v>
      </c>
      <c r="C252" s="214" t="s">
        <v>655</v>
      </c>
      <c r="D252" s="288">
        <f>L252+M252</f>
        <v>19285795</v>
      </c>
      <c r="E252" s="379">
        <v>0</v>
      </c>
      <c r="F252" s="379"/>
      <c r="G252" s="289">
        <f>D252*E252</f>
        <v>0</v>
      </c>
      <c r="H252" s="214"/>
      <c r="I252" s="279" t="s">
        <v>656</v>
      </c>
      <c r="J252" s="280"/>
      <c r="K252" s="284"/>
      <c r="L252" s="331">
        <f>'WP Support for Alloc Factors'!$F$29</f>
        <v>15946077</v>
      </c>
      <c r="M252" s="331">
        <f>'WP Support for Alloc Factors'!$H$29</f>
        <v>3339718</v>
      </c>
    </row>
    <row r="253" spans="1:20">
      <c r="A253" s="277">
        <v>16</v>
      </c>
      <c r="B253" s="283" t="s">
        <v>657</v>
      </c>
      <c r="C253" s="214"/>
      <c r="D253" s="336">
        <f>SUM(D249:D252)</f>
        <v>409006363</v>
      </c>
      <c r="E253" s="214"/>
      <c r="F253" s="214"/>
      <c r="G253" s="214">
        <f>SUM(G249:G252)</f>
        <v>22192269.779113065</v>
      </c>
      <c r="H253" s="318" t="s">
        <v>339</v>
      </c>
      <c r="I253" s="329">
        <f>IF(G253&gt;0,G253/D253,0)</f>
        <v>5.4258984178965124E-2</v>
      </c>
      <c r="J253" s="381" t="s">
        <v>658</v>
      </c>
      <c r="K253" s="284"/>
      <c r="L253" s="214">
        <f>SUM(L249:L252)</f>
        <v>376259371</v>
      </c>
      <c r="M253" s="214">
        <f>SUM(M249:M252)</f>
        <v>32746992</v>
      </c>
      <c r="N253" s="283"/>
      <c r="P253" s="214"/>
      <c r="Q253" s="283"/>
    </row>
    <row r="254" spans="1:20">
      <c r="A254" s="277"/>
      <c r="B254" s="283"/>
      <c r="C254" s="214"/>
      <c r="D254" s="214"/>
      <c r="E254" s="214"/>
      <c r="F254" s="214"/>
      <c r="G254" s="214"/>
      <c r="H254" s="214"/>
      <c r="I254" s="214"/>
    </row>
    <row r="255" spans="1:20">
      <c r="A255" s="277"/>
      <c r="B255" s="283" t="s">
        <v>659</v>
      </c>
      <c r="C255" s="214"/>
      <c r="D255" s="214"/>
      <c r="E255" s="214"/>
      <c r="F255" s="214"/>
      <c r="G255" s="214"/>
      <c r="H255" s="214"/>
      <c r="I255" s="214"/>
      <c r="J255" s="214"/>
      <c r="K255" s="284"/>
    </row>
    <row r="256" spans="1:20">
      <c r="A256" s="277"/>
      <c r="B256" s="283"/>
      <c r="C256" s="214"/>
      <c r="D256" s="322" t="s">
        <v>647</v>
      </c>
      <c r="E256" s="214"/>
      <c r="F256" s="214"/>
      <c r="G256" s="343" t="s">
        <v>660</v>
      </c>
      <c r="H256" s="358" t="s">
        <v>124</v>
      </c>
      <c r="I256" s="333" t="str">
        <f>+I251</f>
        <v>W&amp;S Allocator</v>
      </c>
      <c r="J256" s="333"/>
      <c r="K256" s="284"/>
    </row>
    <row r="257" spans="1:13">
      <c r="A257" s="277">
        <v>17</v>
      </c>
      <c r="B257" s="283" t="s">
        <v>661</v>
      </c>
      <c r="C257" s="214" t="s">
        <v>662</v>
      </c>
      <c r="D257" s="288">
        <f>L257+M257</f>
        <v>11269485433</v>
      </c>
      <c r="E257" s="214"/>
      <c r="G257" s="277" t="s">
        <v>663</v>
      </c>
      <c r="H257" s="382"/>
      <c r="I257" s="277" t="s">
        <v>664</v>
      </c>
      <c r="J257" s="277"/>
      <c r="K257" s="321" t="s">
        <v>485</v>
      </c>
      <c r="L257" s="330">
        <f>'WP Support for Alloc Factors'!$F$35</f>
        <v>9905161764</v>
      </c>
      <c r="M257" s="330">
        <f>'WP Support for Alloc Factors'!$H$35</f>
        <v>1364323669</v>
      </c>
    </row>
    <row r="258" spans="1:13">
      <c r="A258" s="277">
        <v>18</v>
      </c>
      <c r="B258" s="283" t="s">
        <v>665</v>
      </c>
      <c r="C258" s="214" t="s">
        <v>666</v>
      </c>
      <c r="D258" s="288">
        <f>L258+M258</f>
        <v>754430234</v>
      </c>
      <c r="E258" s="214"/>
      <c r="G258" s="286">
        <f>IF(D260&gt;0,D257/D260,0)</f>
        <v>0.93725586116088988</v>
      </c>
      <c r="H258" s="343" t="s">
        <v>242</v>
      </c>
      <c r="I258" s="286">
        <f>I253</f>
        <v>5.4258984178965124E-2</v>
      </c>
      <c r="J258" s="383" t="s">
        <v>339</v>
      </c>
      <c r="K258" s="293">
        <f>I258*G258</f>
        <v>5.0854550942371055E-2</v>
      </c>
      <c r="L258" s="330">
        <f>'WP Support for Alloc Factors'!$F$36</f>
        <v>638024758</v>
      </c>
      <c r="M258" s="330">
        <f>'WP Support for Alloc Factors'!$H$36</f>
        <v>116405476</v>
      </c>
    </row>
    <row r="259" spans="1:13" ht="16.5" thickBot="1">
      <c r="A259" s="277">
        <v>19</v>
      </c>
      <c r="B259" s="384" t="s">
        <v>667</v>
      </c>
      <c r="C259" s="289" t="s">
        <v>668</v>
      </c>
      <c r="D259" s="288">
        <f>L259+M259</f>
        <v>0</v>
      </c>
      <c r="E259" s="214"/>
      <c r="F259" s="214"/>
      <c r="G259" s="214" t="s">
        <v>124</v>
      </c>
      <c r="H259" s="214"/>
      <c r="I259" s="385"/>
      <c r="J259" s="385"/>
      <c r="L259" s="331">
        <f>'WP Support for Alloc Factors'!$F$37</f>
        <v>0</v>
      </c>
      <c r="M259" s="331">
        <f>'WP Support for Alloc Factors'!$H$37</f>
        <v>0</v>
      </c>
    </row>
    <row r="260" spans="1:13">
      <c r="A260" s="277">
        <v>20</v>
      </c>
      <c r="B260" s="283" t="s">
        <v>669</v>
      </c>
      <c r="C260" s="214"/>
      <c r="D260" s="336">
        <f>D257+D258+D259</f>
        <v>12023915667</v>
      </c>
      <c r="E260" s="214"/>
      <c r="F260" s="214"/>
      <c r="G260" s="214"/>
      <c r="H260" s="214"/>
      <c r="I260" s="214"/>
      <c r="J260" s="214"/>
      <c r="K260" s="284"/>
      <c r="L260" s="214">
        <f>L257+L258+L259</f>
        <v>10543186522</v>
      </c>
      <c r="M260" s="214">
        <f>M257+M258+M259</f>
        <v>1480729145</v>
      </c>
    </row>
    <row r="261" spans="1:13" ht="11.25" customHeight="1">
      <c r="A261" s="277"/>
      <c r="B261" s="283"/>
      <c r="C261" s="214"/>
      <c r="E261" s="214"/>
      <c r="F261" s="214"/>
      <c r="G261" s="214"/>
      <c r="H261" s="214"/>
      <c r="I261" s="214"/>
      <c r="J261" s="214"/>
      <c r="K261" s="284"/>
    </row>
    <row r="262" spans="1:13" ht="16.5" thickBot="1">
      <c r="A262" s="277"/>
      <c r="B262" s="268" t="s">
        <v>670</v>
      </c>
      <c r="C262" s="214"/>
      <c r="D262" s="214"/>
      <c r="E262" s="214"/>
      <c r="F262" s="214"/>
      <c r="G262" s="214"/>
      <c r="H262" s="214"/>
      <c r="I262" s="378" t="s">
        <v>647</v>
      </c>
      <c r="J262" s="386"/>
      <c r="K262" s="284"/>
      <c r="L262" s="283"/>
    </row>
    <row r="263" spans="1:13">
      <c r="A263" s="277">
        <v>21</v>
      </c>
      <c r="B263" s="270"/>
      <c r="C263" s="214" t="s">
        <v>671</v>
      </c>
      <c r="D263" s="214"/>
      <c r="E263" s="214"/>
      <c r="F263" s="214"/>
      <c r="G263" s="214"/>
      <c r="H263" s="214"/>
      <c r="I263" s="288">
        <f>L263+M263</f>
        <v>210170396</v>
      </c>
      <c r="J263" s="284"/>
      <c r="K263" s="284"/>
      <c r="L263" s="387">
        <f>'WP Capital Structure'!$F$12</f>
        <v>183390157</v>
      </c>
      <c r="M263" s="387">
        <f>'WP Capital Structure'!$H$12</f>
        <v>26780239</v>
      </c>
    </row>
    <row r="264" spans="1:13" ht="11.25" customHeight="1">
      <c r="A264" s="277"/>
      <c r="B264" s="283"/>
      <c r="C264" s="214"/>
      <c r="D264" s="214"/>
      <c r="E264" s="214"/>
      <c r="F264" s="214"/>
      <c r="G264" s="214"/>
      <c r="H264" s="214"/>
      <c r="I264" s="214"/>
      <c r="J264" s="284"/>
      <c r="K264" s="284"/>
      <c r="L264" s="388"/>
      <c r="M264" s="388"/>
    </row>
    <row r="265" spans="1:13">
      <c r="A265" s="277">
        <v>22</v>
      </c>
      <c r="B265" s="268"/>
      <c r="C265" s="214" t="s">
        <v>672</v>
      </c>
      <c r="D265" s="214"/>
      <c r="E265" s="214"/>
      <c r="F265" s="214"/>
      <c r="G265" s="214"/>
      <c r="H265" s="284"/>
      <c r="I265" s="389">
        <f>L265+M265</f>
        <v>0</v>
      </c>
      <c r="J265" s="390"/>
      <c r="K265" s="284"/>
      <c r="L265" s="387">
        <v>0</v>
      </c>
      <c r="M265" s="387">
        <v>0</v>
      </c>
    </row>
    <row r="266" spans="1:13" ht="11.25" customHeight="1">
      <c r="A266" s="277"/>
      <c r="B266" s="268"/>
      <c r="C266" s="214"/>
      <c r="D266" s="214"/>
      <c r="E266" s="214"/>
      <c r="F266" s="214"/>
      <c r="G266" s="214"/>
      <c r="H266" s="214"/>
      <c r="I266" s="214"/>
      <c r="J266" s="284"/>
      <c r="K266" s="284"/>
      <c r="L266" s="214"/>
      <c r="M266" s="214"/>
    </row>
    <row r="267" spans="1:13">
      <c r="A267" s="277"/>
      <c r="B267" s="268" t="s">
        <v>673</v>
      </c>
      <c r="C267" s="214"/>
      <c r="D267" s="214"/>
      <c r="E267" s="214"/>
      <c r="F267" s="214"/>
      <c r="G267" s="214"/>
      <c r="H267" s="214"/>
      <c r="I267" s="214"/>
      <c r="J267" s="284"/>
      <c r="K267" s="284"/>
      <c r="L267" s="214"/>
      <c r="M267" s="214"/>
    </row>
    <row r="268" spans="1:13">
      <c r="A268" s="277">
        <v>23</v>
      </c>
      <c r="B268" s="268"/>
      <c r="C268" s="214" t="s">
        <v>674</v>
      </c>
      <c r="D268" s="270"/>
      <c r="E268" s="214"/>
      <c r="F268" s="214"/>
      <c r="G268" s="214"/>
      <c r="H268" s="214"/>
      <c r="I268" s="288">
        <f>L268+M268</f>
        <v>5400861746</v>
      </c>
      <c r="J268" s="284"/>
      <c r="K268" s="284"/>
      <c r="L268" s="330">
        <f>'WP Capital Structure'!$F$17</f>
        <v>4703172711</v>
      </c>
      <c r="M268" s="330">
        <f>'WP Capital Structure'!$H$17</f>
        <v>697689035</v>
      </c>
    </row>
    <row r="269" spans="1:13">
      <c r="A269" s="277">
        <v>24</v>
      </c>
      <c r="B269" s="268"/>
      <c r="C269" s="214" t="s">
        <v>675</v>
      </c>
      <c r="D269" s="214"/>
      <c r="E269" s="214"/>
      <c r="F269" s="214"/>
      <c r="G269" s="214"/>
      <c r="H269" s="214"/>
      <c r="I269" s="391">
        <f>L269+M269</f>
        <v>0</v>
      </c>
      <c r="J269" s="391"/>
      <c r="K269" s="284"/>
      <c r="L269" s="391">
        <f>'WP Capital Structure'!$F$18</f>
        <v>0</v>
      </c>
      <c r="M269" s="391">
        <f>'WP Capital Structure'!$H$18</f>
        <v>0</v>
      </c>
    </row>
    <row r="270" spans="1:13" ht="16.5" thickBot="1">
      <c r="A270" s="277">
        <v>25</v>
      </c>
      <c r="B270" s="268"/>
      <c r="C270" s="214" t="s">
        <v>676</v>
      </c>
      <c r="D270" s="214"/>
      <c r="E270" s="214"/>
      <c r="F270" s="214"/>
      <c r="G270" s="214"/>
      <c r="H270" s="214"/>
      <c r="I270" s="296">
        <f>L270+M270</f>
        <v>192763</v>
      </c>
      <c r="J270" s="295"/>
      <c r="K270" s="284"/>
      <c r="L270" s="340">
        <f>'WP Capital Structure'!$F$19</f>
        <v>2627733</v>
      </c>
      <c r="M270" s="340">
        <f>'WP Capital Structure'!$H$19</f>
        <v>-2434970</v>
      </c>
    </row>
    <row r="271" spans="1:13" s="303" customFormat="1">
      <c r="A271" s="280">
        <v>26</v>
      </c>
      <c r="B271" s="392"/>
      <c r="C271" s="290" t="s">
        <v>114</v>
      </c>
      <c r="D271" s="392" t="s">
        <v>677</v>
      </c>
      <c r="E271" s="392"/>
      <c r="F271" s="392"/>
      <c r="G271" s="380" t="s">
        <v>157</v>
      </c>
      <c r="H271" s="392"/>
      <c r="I271" s="290">
        <f>+I268+I269+I270</f>
        <v>5401054509</v>
      </c>
      <c r="J271" s="290"/>
      <c r="K271" s="295"/>
      <c r="L271" s="214">
        <f>+L268+L269+L270</f>
        <v>4705800444</v>
      </c>
      <c r="M271" s="214">
        <f>+M268+M269+M270</f>
        <v>695254065</v>
      </c>
    </row>
    <row r="272" spans="1:13" ht="16.5" thickBot="1">
      <c r="A272" s="277"/>
      <c r="B272" s="283"/>
      <c r="C272" s="214"/>
      <c r="D272" s="279" t="s">
        <v>647</v>
      </c>
      <c r="E272" s="279" t="s">
        <v>678</v>
      </c>
      <c r="F272" s="214"/>
      <c r="G272" s="279" t="s">
        <v>679</v>
      </c>
      <c r="H272" s="214"/>
      <c r="I272" s="279" t="s">
        <v>156</v>
      </c>
      <c r="J272" s="280"/>
      <c r="K272" s="284"/>
    </row>
    <row r="273" spans="1:14">
      <c r="A273" s="277">
        <v>27</v>
      </c>
      <c r="B273" s="268" t="s">
        <v>680</v>
      </c>
      <c r="D273" s="288">
        <f>L273+M273</f>
        <v>4769169598</v>
      </c>
      <c r="E273" s="393">
        <f>IF($D$276&gt;0,D273/$D$276,0)</f>
        <v>0.46893456307589704</v>
      </c>
      <c r="F273" s="394"/>
      <c r="G273" s="394">
        <f>IF(D273&gt;0,I263/D273,0)</f>
        <v>4.4068551491256908E-2</v>
      </c>
      <c r="I273" s="394">
        <f>G273*E273</f>
        <v>2.0665266938940229E-2</v>
      </c>
      <c r="J273" s="395" t="s">
        <v>681</v>
      </c>
      <c r="K273" s="284"/>
      <c r="L273" s="330">
        <f>'WP Capital Structure'!$F$11</f>
        <v>4200045933</v>
      </c>
      <c r="M273" s="330">
        <f>'WP Capital Structure'!$H$11</f>
        <v>569123665</v>
      </c>
    </row>
    <row r="274" spans="1:14">
      <c r="A274" s="277">
        <v>28</v>
      </c>
      <c r="B274" s="268" t="s">
        <v>682</v>
      </c>
      <c r="D274" s="288">
        <f>L274+M274</f>
        <v>0</v>
      </c>
      <c r="E274" s="393">
        <f>IF($D$276&gt;0,D274/$D$276,0)</f>
        <v>0</v>
      </c>
      <c r="F274" s="394"/>
      <c r="G274" s="394">
        <f>IF(D274&gt;0,I265/D274,0)</f>
        <v>0</v>
      </c>
      <c r="I274" s="394">
        <f>G274*E274</f>
        <v>0</v>
      </c>
      <c r="L274" s="330">
        <v>0</v>
      </c>
      <c r="M274" s="330">
        <v>0</v>
      </c>
    </row>
    <row r="275" spans="1:14" ht="16.5" thickBot="1">
      <c r="A275" s="277">
        <v>29</v>
      </c>
      <c r="B275" s="268" t="s">
        <v>683</v>
      </c>
      <c r="D275" s="289">
        <f>I271</f>
        <v>5401054509</v>
      </c>
      <c r="E275" s="393">
        <f>IF($D$276&gt;0,D275/$D$276,0)</f>
        <v>0.53106543692410302</v>
      </c>
      <c r="F275" s="394"/>
      <c r="G275" s="396">
        <v>0.12379999999999999</v>
      </c>
      <c r="I275" s="397">
        <f>G275*E275</f>
        <v>6.5745901091203957E-2</v>
      </c>
      <c r="J275" s="398"/>
    </row>
    <row r="276" spans="1:14">
      <c r="A276" s="277">
        <v>30</v>
      </c>
      <c r="B276" s="283" t="s">
        <v>684</v>
      </c>
      <c r="D276" s="214">
        <f>D275+D274+D273</f>
        <v>10170224107</v>
      </c>
      <c r="E276" s="214" t="s">
        <v>124</v>
      </c>
      <c r="F276" s="214"/>
      <c r="G276" s="214"/>
      <c r="H276" s="214"/>
      <c r="I276" s="394">
        <f>SUM(I273:I275)</f>
        <v>8.6411168030144189E-2</v>
      </c>
      <c r="J276" s="395" t="s">
        <v>685</v>
      </c>
      <c r="N276" s="332"/>
    </row>
    <row r="277" spans="1:14" ht="11.25" customHeight="1">
      <c r="E277" s="214"/>
      <c r="F277" s="214"/>
      <c r="G277" s="214"/>
      <c r="H277" s="214"/>
    </row>
    <row r="278" spans="1:14" ht="16.5" thickBot="1">
      <c r="A278" s="277"/>
      <c r="B278" s="268" t="s">
        <v>686</v>
      </c>
      <c r="C278" s="270"/>
      <c r="D278" s="270"/>
      <c r="E278" s="270"/>
      <c r="F278" s="270"/>
      <c r="G278" s="270"/>
      <c r="H278" s="270"/>
      <c r="I278" s="279" t="s">
        <v>217</v>
      </c>
      <c r="J278" s="399"/>
    </row>
    <row r="279" spans="1:14" s="274" customFormat="1" ht="11.25" customHeight="1">
      <c r="A279" s="292"/>
      <c r="B279" s="342"/>
      <c r="C279" s="342"/>
      <c r="D279" s="342"/>
      <c r="E279" s="342"/>
      <c r="F279" s="342"/>
      <c r="G279" s="342"/>
      <c r="H279" s="342"/>
      <c r="K279" s="301"/>
    </row>
    <row r="280" spans="1:14">
      <c r="A280" s="277"/>
      <c r="B280" s="268" t="s">
        <v>687</v>
      </c>
      <c r="C280" s="270"/>
      <c r="D280" s="270" t="s">
        <v>688</v>
      </c>
      <c r="E280" s="270" t="s">
        <v>689</v>
      </c>
      <c r="F280" s="270"/>
      <c r="G280" s="400" t="s">
        <v>124</v>
      </c>
      <c r="H280" s="356"/>
      <c r="I280" s="401"/>
      <c r="J280" s="401"/>
    </row>
    <row r="281" spans="1:14">
      <c r="A281" s="277">
        <v>31</v>
      </c>
      <c r="B281" s="267" t="s">
        <v>690</v>
      </c>
      <c r="C281" s="270"/>
      <c r="D281" s="270"/>
      <c r="F281" s="270"/>
      <c r="H281" s="356"/>
      <c r="I281" s="402">
        <f>L281+M281</f>
        <v>0</v>
      </c>
      <c r="J281" s="403"/>
      <c r="L281" s="330">
        <f>'WP Revenue Credits Rev 1'!$F$11</f>
        <v>0</v>
      </c>
      <c r="M281" s="330">
        <f>'WP Revenue Credits Rev 1'!$H$11</f>
        <v>0</v>
      </c>
    </row>
    <row r="282" spans="1:14" ht="16.5" thickBot="1">
      <c r="A282" s="277">
        <v>32</v>
      </c>
      <c r="B282" s="345" t="s">
        <v>691</v>
      </c>
      <c r="C282" s="404"/>
      <c r="D282" s="303"/>
      <c r="E282" s="392"/>
      <c r="F282" s="392"/>
      <c r="G282" s="392"/>
      <c r="H282" s="270"/>
      <c r="I282" s="405">
        <f>L282+M282</f>
        <v>0</v>
      </c>
      <c r="J282" s="403"/>
      <c r="L282" s="330">
        <f>'WP Revenue Credits Rev 1'!$F$12</f>
        <v>0</v>
      </c>
      <c r="M282" s="330">
        <f>'WP Revenue Credits Rev 1'!$H$12</f>
        <v>0</v>
      </c>
    </row>
    <row r="283" spans="1:14">
      <c r="A283" s="277">
        <v>33</v>
      </c>
      <c r="B283" s="267" t="s">
        <v>692</v>
      </c>
      <c r="C283" s="275"/>
      <c r="E283" s="270"/>
      <c r="F283" s="270"/>
      <c r="G283" s="270"/>
      <c r="H283" s="270"/>
      <c r="I283" s="406">
        <f>+I281-I282</f>
        <v>0</v>
      </c>
      <c r="J283" s="406"/>
      <c r="L283" s="330"/>
      <c r="M283" s="330"/>
      <c r="N283" s="274"/>
    </row>
    <row r="284" spans="1:14" s="274" customFormat="1" ht="11.25" customHeight="1">
      <c r="A284" s="292"/>
      <c r="B284" s="274" t="s">
        <v>124</v>
      </c>
      <c r="C284" s="273"/>
      <c r="E284" s="301"/>
      <c r="F284" s="301"/>
      <c r="G284" s="314"/>
      <c r="H284" s="301"/>
      <c r="I284" s="407" t="s">
        <v>124</v>
      </c>
      <c r="J284" s="407"/>
      <c r="L284" s="330"/>
      <c r="M284" s="330"/>
      <c r="N284" s="267"/>
    </row>
    <row r="285" spans="1:14">
      <c r="A285" s="277">
        <v>34</v>
      </c>
      <c r="B285" s="268" t="s">
        <v>693</v>
      </c>
      <c r="C285" s="275"/>
      <c r="E285" s="270"/>
      <c r="F285" s="270"/>
      <c r="G285" s="408"/>
      <c r="H285" s="270"/>
      <c r="I285" s="409">
        <f>L285+M285</f>
        <v>864358.89</v>
      </c>
      <c r="J285" s="410"/>
      <c r="K285" s="411"/>
      <c r="L285" s="330">
        <f>'WP Revenue Credits Rev 1'!$F$18</f>
        <v>864358.89</v>
      </c>
      <c r="M285" s="330">
        <f>'WP Revenue Credits Rev 1'!$H$18</f>
        <v>0</v>
      </c>
      <c r="N285" s="412"/>
    </row>
    <row r="286" spans="1:14" s="274" customFormat="1" ht="11.25" customHeight="1">
      <c r="A286" s="292"/>
      <c r="C286" s="301"/>
      <c r="D286" s="301"/>
      <c r="E286" s="301"/>
      <c r="F286" s="301"/>
      <c r="G286" s="301"/>
      <c r="H286" s="301"/>
      <c r="I286" s="407"/>
      <c r="J286" s="407"/>
      <c r="K286" s="411"/>
      <c r="L286" s="330"/>
      <c r="M286" s="330"/>
      <c r="N286" s="267"/>
    </row>
    <row r="287" spans="1:14">
      <c r="B287" s="268" t="s">
        <v>694</v>
      </c>
      <c r="C287" s="270"/>
      <c r="D287" s="270" t="s">
        <v>695</v>
      </c>
      <c r="E287" s="270"/>
      <c r="F287" s="270"/>
      <c r="G287" s="270"/>
      <c r="H287" s="270"/>
      <c r="J287" s="274"/>
      <c r="K287" s="411"/>
      <c r="L287" s="330"/>
      <c r="M287" s="330"/>
    </row>
    <row r="288" spans="1:14">
      <c r="A288" s="277">
        <v>35</v>
      </c>
      <c r="B288" s="268" t="s">
        <v>696</v>
      </c>
      <c r="C288" s="214"/>
      <c r="D288" s="214"/>
      <c r="E288" s="214"/>
      <c r="F288" s="214"/>
      <c r="G288" s="214"/>
      <c r="H288" s="214"/>
      <c r="I288" s="413">
        <f>'WP Revenue Credits Rev 1'!F27</f>
        <v>212309198.17861885</v>
      </c>
      <c r="J288" s="414"/>
      <c r="K288" s="415"/>
      <c r="L288" s="330">
        <f>'WP Revenue Credits Rev 1'!$F$22</f>
        <v>29768458.409999996</v>
      </c>
      <c r="M288" s="330">
        <f>'WP Revenue Credits Rev 1'!$H$22</f>
        <v>0</v>
      </c>
    </row>
    <row r="289" spans="1:13">
      <c r="A289" s="277">
        <v>36</v>
      </c>
      <c r="B289" s="416" t="s">
        <v>697</v>
      </c>
      <c r="C289" s="392"/>
      <c r="D289" s="392"/>
      <c r="E289" s="392"/>
      <c r="F289" s="392"/>
      <c r="G289" s="270"/>
      <c r="H289" s="270"/>
      <c r="I289" s="413">
        <f>L289+M289</f>
        <v>69273380.079999983</v>
      </c>
      <c r="J289" s="414"/>
      <c r="K289" s="415"/>
      <c r="L289" s="330">
        <f>'WP Revenue Credits Rev 1'!$F$23</f>
        <v>69273380.079999983</v>
      </c>
      <c r="M289" s="330">
        <f>'WP Revenue Credits Rev 1'!$H$23</f>
        <v>0</v>
      </c>
    </row>
    <row r="290" spans="1:13">
      <c r="A290" s="277" t="s">
        <v>698</v>
      </c>
      <c r="B290" s="552" t="s">
        <v>885</v>
      </c>
      <c r="C290" s="392"/>
      <c r="D290" s="392"/>
      <c r="E290" s="392"/>
      <c r="F290" s="392"/>
      <c r="G290" s="270"/>
      <c r="H290" s="270"/>
      <c r="I290" s="413">
        <f>L290+M290</f>
        <v>60979512.453853585</v>
      </c>
      <c r="J290" s="414"/>
      <c r="K290" s="415"/>
      <c r="L290" s="330">
        <f>'WP Revenue Credits Rev 1'!$F$25</f>
        <v>60979512.453853585</v>
      </c>
      <c r="M290" s="330">
        <f>'WP Revenue Credits Rev 1'!$H$25</f>
        <v>0</v>
      </c>
    </row>
    <row r="291" spans="1:13" ht="16.5" thickBot="1">
      <c r="A291" s="277" t="s">
        <v>699</v>
      </c>
      <c r="B291" s="553" t="s">
        <v>886</v>
      </c>
      <c r="C291" s="417"/>
      <c r="D291" s="392"/>
      <c r="E291" s="392"/>
      <c r="F291" s="392"/>
      <c r="G291" s="270"/>
      <c r="H291" s="270"/>
      <c r="I291" s="418">
        <f>L291+M291</f>
        <v>52287847.234765284</v>
      </c>
      <c r="J291" s="414"/>
      <c r="K291" s="419"/>
      <c r="L291" s="330">
        <f>'WP Revenue Credits Rev 1'!$F$26</f>
        <v>52287847.234765284</v>
      </c>
      <c r="M291" s="330">
        <f>'WP Revenue Credits Rev 1'!$H$26</f>
        <v>0</v>
      </c>
    </row>
    <row r="292" spans="1:13">
      <c r="A292" s="277">
        <v>37</v>
      </c>
      <c r="B292" s="420" t="s">
        <v>700</v>
      </c>
      <c r="C292" s="277"/>
      <c r="D292" s="214"/>
      <c r="E292" s="214"/>
      <c r="F292" s="214"/>
      <c r="G292" s="214"/>
      <c r="H292" s="270"/>
      <c r="I292" s="421">
        <f>+I288-I289-I290-I291</f>
        <v>29768458.410000004</v>
      </c>
      <c r="J292" s="421"/>
      <c r="K292" s="419"/>
    </row>
    <row r="293" spans="1:13">
      <c r="A293" s="277"/>
      <c r="B293" s="420"/>
      <c r="C293" s="277"/>
      <c r="D293" s="214"/>
      <c r="E293" s="214"/>
      <c r="F293" s="214"/>
      <c r="G293" s="214"/>
      <c r="H293" s="270"/>
      <c r="I293" s="421"/>
      <c r="J293" s="421"/>
      <c r="K293" s="422"/>
    </row>
    <row r="294" spans="1:13">
      <c r="A294" s="277"/>
      <c r="B294" s="420"/>
      <c r="C294" s="277"/>
      <c r="D294" s="214"/>
      <c r="E294" s="214"/>
      <c r="F294" s="214"/>
      <c r="G294" s="214"/>
      <c r="H294" s="270"/>
      <c r="I294" s="421"/>
      <c r="J294" s="421"/>
      <c r="K294" s="422"/>
    </row>
    <row r="295" spans="1:13">
      <c r="A295" s="277"/>
      <c r="B295" s="420"/>
      <c r="C295" s="277"/>
      <c r="D295" s="214"/>
      <c r="E295" s="214"/>
      <c r="F295" s="214"/>
      <c r="G295" s="214"/>
      <c r="H295" s="270"/>
      <c r="I295" s="421"/>
      <c r="J295" s="421"/>
      <c r="K295" s="422"/>
    </row>
    <row r="296" spans="1:13">
      <c r="A296" s="277"/>
      <c r="B296" s="420"/>
      <c r="C296" s="277"/>
      <c r="D296" s="214"/>
      <c r="E296" s="214"/>
      <c r="F296" s="214"/>
      <c r="G296" s="214"/>
      <c r="H296" s="270"/>
      <c r="I296" s="421"/>
      <c r="J296" s="421"/>
      <c r="K296" s="422"/>
    </row>
    <row r="297" spans="1:13">
      <c r="A297" s="423"/>
      <c r="B297" s="424"/>
      <c r="C297" s="424"/>
      <c r="D297" s="424"/>
      <c r="E297" s="424"/>
      <c r="F297" s="424"/>
      <c r="G297" s="424"/>
      <c r="H297" s="424"/>
      <c r="I297" s="424"/>
      <c r="J297" s="424"/>
      <c r="K297" s="365"/>
    </row>
    <row r="298" spans="1:13">
      <c r="A298" s="424"/>
      <c r="B298" s="424"/>
      <c r="C298" s="424"/>
      <c r="D298" s="424"/>
      <c r="E298" s="424"/>
      <c r="F298" s="424"/>
      <c r="G298" s="424"/>
      <c r="H298" s="424"/>
      <c r="I298" s="424"/>
      <c r="J298" s="424"/>
      <c r="K298" s="551" t="s">
        <v>884</v>
      </c>
    </row>
    <row r="299" spans="1:13">
      <c r="B299" s="268"/>
      <c r="C299" s="268"/>
      <c r="D299" s="269"/>
      <c r="E299" s="268"/>
      <c r="F299" s="268"/>
      <c r="G299" s="268"/>
      <c r="H299" s="270"/>
      <c r="I299" s="270"/>
      <c r="J299" s="270"/>
      <c r="K299" s="316" t="s">
        <v>701</v>
      </c>
    </row>
    <row r="300" spans="1:13">
      <c r="B300" s="268" t="s">
        <v>389</v>
      </c>
      <c r="C300" s="268"/>
      <c r="D300" s="269" t="s">
        <v>390</v>
      </c>
      <c r="E300" s="268"/>
      <c r="F300" s="268"/>
      <c r="G300" s="268"/>
      <c r="H300" s="270"/>
      <c r="K300" s="271" t="s">
        <v>702</v>
      </c>
    </row>
    <row r="301" spans="1:13">
      <c r="B301" s="268"/>
      <c r="C301" s="214" t="s">
        <v>124</v>
      </c>
      <c r="D301" s="214" t="s">
        <v>391</v>
      </c>
      <c r="E301" s="214"/>
      <c r="F301" s="214"/>
      <c r="G301" s="214"/>
      <c r="H301" s="270"/>
      <c r="I301" s="270"/>
      <c r="J301" s="270"/>
      <c r="K301" s="273"/>
    </row>
    <row r="302" spans="1:13" ht="7.5" customHeight="1">
      <c r="A302" s="277"/>
      <c r="B302" s="420"/>
      <c r="C302" s="277"/>
      <c r="D302" s="214"/>
      <c r="E302" s="214"/>
      <c r="F302" s="214"/>
      <c r="G302" s="214"/>
      <c r="H302" s="270"/>
      <c r="I302" s="425"/>
      <c r="J302" s="425"/>
      <c r="K302" s="273"/>
    </row>
    <row r="303" spans="1:13">
      <c r="A303" s="878" t="str">
        <f>A7</f>
        <v>Northern States Power Companies</v>
      </c>
      <c r="B303" s="878"/>
      <c r="C303" s="878"/>
      <c r="D303" s="878"/>
      <c r="E303" s="878"/>
      <c r="F303" s="878"/>
      <c r="G303" s="878"/>
      <c r="H303" s="878"/>
      <c r="I303" s="878"/>
      <c r="J303" s="878"/>
      <c r="K303" s="878"/>
    </row>
    <row r="304" spans="1:13" ht="6" customHeight="1">
      <c r="A304" s="277"/>
      <c r="B304" s="420"/>
      <c r="C304" s="277"/>
      <c r="D304" s="214"/>
      <c r="E304" s="214"/>
      <c r="F304" s="214"/>
      <c r="G304" s="214"/>
      <c r="H304" s="270"/>
      <c r="I304" s="425"/>
      <c r="J304" s="425"/>
      <c r="K304" s="422"/>
    </row>
    <row r="305" spans="1:11">
      <c r="A305" s="277"/>
      <c r="B305" s="268" t="s">
        <v>703</v>
      </c>
      <c r="C305" s="277"/>
      <c r="D305" s="214"/>
      <c r="E305" s="214"/>
      <c r="F305" s="214"/>
      <c r="G305" s="214"/>
      <c r="H305" s="270"/>
      <c r="I305" s="214"/>
      <c r="J305" s="214"/>
      <c r="K305" s="422"/>
    </row>
    <row r="306" spans="1:11">
      <c r="A306" s="277"/>
      <c r="B306" s="426" t="s">
        <v>704</v>
      </c>
      <c r="C306" s="277"/>
      <c r="D306" s="214"/>
      <c r="E306" s="214"/>
      <c r="F306" s="214"/>
      <c r="G306" s="214"/>
      <c r="H306" s="270"/>
      <c r="I306" s="214"/>
      <c r="J306" s="214"/>
      <c r="K306" s="284"/>
    </row>
    <row r="307" spans="1:11">
      <c r="A307" s="277" t="s">
        <v>705</v>
      </c>
      <c r="B307" s="268"/>
      <c r="C307" s="270"/>
      <c r="D307" s="214"/>
      <c r="E307" s="214"/>
      <c r="F307" s="214"/>
      <c r="G307" s="214"/>
      <c r="H307" s="270"/>
      <c r="I307" s="214"/>
      <c r="J307" s="214"/>
      <c r="K307" s="284"/>
    </row>
    <row r="308" spans="1:11" ht="16.5" thickBot="1">
      <c r="A308" s="279" t="s">
        <v>706</v>
      </c>
      <c r="B308" s="268"/>
      <c r="C308" s="270"/>
      <c r="D308" s="214"/>
      <c r="E308" s="214"/>
      <c r="F308" s="214"/>
      <c r="G308" s="214"/>
      <c r="H308" s="270"/>
      <c r="I308" s="214"/>
      <c r="J308" s="214"/>
      <c r="K308" s="284"/>
    </row>
    <row r="309" spans="1:11">
      <c r="A309" s="277" t="s">
        <v>707</v>
      </c>
      <c r="B309" s="342" t="s">
        <v>708</v>
      </c>
      <c r="C309" s="301"/>
      <c r="D309" s="284"/>
      <c r="E309" s="284"/>
      <c r="F309" s="284"/>
      <c r="G309" s="284"/>
      <c r="H309" s="301"/>
      <c r="I309" s="284"/>
      <c r="J309" s="284"/>
      <c r="K309" s="284"/>
    </row>
    <row r="310" spans="1:11">
      <c r="A310" s="277" t="s">
        <v>709</v>
      </c>
      <c r="B310" s="342" t="s">
        <v>710</v>
      </c>
      <c r="C310" s="301"/>
      <c r="D310" s="284"/>
      <c r="E310" s="284"/>
      <c r="F310" s="284"/>
      <c r="G310" s="284"/>
      <c r="H310" s="301"/>
      <c r="I310" s="284"/>
      <c r="J310" s="284"/>
      <c r="K310" s="284"/>
    </row>
    <row r="311" spans="1:11">
      <c r="A311" s="277" t="s">
        <v>711</v>
      </c>
      <c r="B311" s="342" t="s">
        <v>712</v>
      </c>
      <c r="C311" s="301"/>
      <c r="D311" s="301"/>
      <c r="E311" s="301"/>
      <c r="F311" s="301"/>
      <c r="G311" s="301"/>
      <c r="H311" s="301"/>
      <c r="I311" s="284"/>
      <c r="J311" s="284"/>
      <c r="K311" s="284"/>
    </row>
    <row r="312" spans="1:11">
      <c r="A312" s="277" t="s">
        <v>713</v>
      </c>
      <c r="B312" s="342" t="s">
        <v>714</v>
      </c>
      <c r="C312" s="301"/>
      <c r="D312" s="301"/>
      <c r="E312" s="301"/>
      <c r="F312" s="301"/>
      <c r="G312" s="301"/>
      <c r="H312" s="301"/>
      <c r="I312" s="284"/>
      <c r="J312" s="284"/>
      <c r="K312" s="301"/>
    </row>
    <row r="313" spans="1:11">
      <c r="A313" s="277" t="s">
        <v>715</v>
      </c>
      <c r="B313" s="301" t="s">
        <v>716</v>
      </c>
      <c r="C313" s="301"/>
      <c r="D313" s="301"/>
      <c r="E313" s="301"/>
      <c r="F313" s="301"/>
      <c r="G313" s="301"/>
      <c r="H313" s="301"/>
      <c r="I313" s="301"/>
      <c r="J313" s="301"/>
      <c r="K313" s="301"/>
    </row>
    <row r="314" spans="1:11">
      <c r="A314" s="277" t="s">
        <v>717</v>
      </c>
      <c r="B314" s="301" t="s">
        <v>718</v>
      </c>
      <c r="C314" s="301"/>
      <c r="D314" s="301"/>
      <c r="E314" s="301"/>
      <c r="F314" s="301"/>
      <c r="G314" s="301"/>
      <c r="H314" s="301"/>
      <c r="I314" s="301"/>
      <c r="J314" s="301"/>
      <c r="K314" s="301"/>
    </row>
    <row r="315" spans="1:11">
      <c r="A315" s="277"/>
      <c r="B315" s="301" t="s">
        <v>719</v>
      </c>
      <c r="C315" s="301"/>
      <c r="D315" s="301"/>
      <c r="E315" s="301"/>
      <c r="F315" s="301"/>
      <c r="G315" s="301"/>
      <c r="H315" s="301"/>
      <c r="I315" s="301"/>
      <c r="J315" s="301"/>
      <c r="K315" s="301"/>
    </row>
    <row r="316" spans="1:11">
      <c r="A316" s="277"/>
      <c r="B316" s="301" t="s">
        <v>720</v>
      </c>
      <c r="C316" s="301"/>
      <c r="D316" s="301"/>
      <c r="E316" s="301"/>
      <c r="F316" s="301"/>
      <c r="G316" s="301"/>
      <c r="H316" s="301"/>
      <c r="I316" s="301"/>
      <c r="J316" s="301"/>
      <c r="K316" s="301"/>
    </row>
    <row r="317" spans="1:11">
      <c r="A317" s="277" t="s">
        <v>721</v>
      </c>
      <c r="B317" s="301" t="s">
        <v>722</v>
      </c>
      <c r="C317" s="301"/>
      <c r="D317" s="301"/>
      <c r="E317" s="301"/>
      <c r="F317" s="301"/>
      <c r="G317" s="301"/>
      <c r="H317" s="301"/>
      <c r="I317" s="301"/>
      <c r="J317" s="301"/>
      <c r="K317" s="301"/>
    </row>
    <row r="318" spans="1:11">
      <c r="A318" s="277" t="s">
        <v>723</v>
      </c>
      <c r="B318" s="301" t="s">
        <v>724</v>
      </c>
      <c r="C318" s="301"/>
      <c r="D318" s="301"/>
      <c r="E318" s="301"/>
      <c r="F318" s="301"/>
      <c r="G318" s="301"/>
      <c r="H318" s="301"/>
      <c r="I318" s="301"/>
      <c r="J318" s="301"/>
      <c r="K318" s="301"/>
    </row>
    <row r="319" spans="1:11">
      <c r="A319" s="277"/>
      <c r="B319" s="301" t="s">
        <v>725</v>
      </c>
      <c r="C319" s="301"/>
      <c r="D319" s="301"/>
      <c r="E319" s="301"/>
      <c r="F319" s="301"/>
      <c r="G319" s="301"/>
      <c r="H319" s="301"/>
      <c r="I319" s="301"/>
      <c r="J319" s="301"/>
      <c r="K319" s="301"/>
    </row>
    <row r="320" spans="1:11">
      <c r="A320" s="277" t="s">
        <v>726</v>
      </c>
      <c r="B320" s="301" t="s">
        <v>730</v>
      </c>
      <c r="C320" s="301"/>
      <c r="D320" s="301"/>
      <c r="E320" s="301"/>
      <c r="F320" s="301"/>
      <c r="G320" s="301"/>
      <c r="H320" s="301"/>
      <c r="I320" s="301"/>
      <c r="J320" s="301"/>
      <c r="K320" s="301"/>
    </row>
    <row r="321" spans="1:11">
      <c r="A321" s="277"/>
      <c r="B321" s="274" t="s">
        <v>731</v>
      </c>
      <c r="C321" s="301"/>
      <c r="D321" s="301"/>
      <c r="E321" s="301"/>
      <c r="F321" s="301"/>
      <c r="G321" s="301"/>
      <c r="H321" s="301"/>
      <c r="I321" s="301"/>
      <c r="J321" s="301"/>
      <c r="K321" s="301"/>
    </row>
    <row r="322" spans="1:11">
      <c r="A322" s="277" t="s">
        <v>732</v>
      </c>
      <c r="B322" s="301" t="s">
        <v>733</v>
      </c>
      <c r="C322" s="301"/>
      <c r="D322" s="301"/>
      <c r="E322" s="301"/>
      <c r="F322" s="301"/>
      <c r="G322" s="301"/>
      <c r="H322" s="301"/>
      <c r="I322" s="301"/>
      <c r="J322" s="301"/>
      <c r="K322" s="301"/>
    </row>
    <row r="323" spans="1:11">
      <c r="A323" s="277"/>
      <c r="B323" s="301" t="s">
        <v>734</v>
      </c>
      <c r="C323" s="301"/>
      <c r="D323" s="301"/>
      <c r="E323" s="301"/>
      <c r="F323" s="301"/>
      <c r="G323" s="301"/>
      <c r="H323" s="301"/>
      <c r="I323" s="301"/>
      <c r="J323" s="301"/>
      <c r="K323" s="301"/>
    </row>
    <row r="324" spans="1:11">
      <c r="A324" s="277" t="s">
        <v>735</v>
      </c>
      <c r="B324" s="301" t="s">
        <v>736</v>
      </c>
      <c r="C324" s="301"/>
      <c r="D324" s="301"/>
      <c r="E324" s="301"/>
      <c r="F324" s="301"/>
      <c r="G324" s="301"/>
      <c r="H324" s="301"/>
      <c r="I324" s="301"/>
      <c r="J324" s="301"/>
      <c r="K324" s="301"/>
    </row>
    <row r="325" spans="1:11">
      <c r="A325" s="277"/>
      <c r="B325" s="301" t="s">
        <v>737</v>
      </c>
      <c r="C325" s="301"/>
      <c r="D325" s="301"/>
      <c r="E325" s="301"/>
      <c r="F325" s="301"/>
      <c r="G325" s="301"/>
      <c r="H325" s="301"/>
      <c r="I325" s="301"/>
      <c r="J325" s="301"/>
      <c r="K325" s="301"/>
    </row>
    <row r="326" spans="1:11">
      <c r="A326" s="277"/>
      <c r="B326" s="301" t="s">
        <v>738</v>
      </c>
      <c r="C326" s="301"/>
      <c r="D326" s="301"/>
      <c r="E326" s="301"/>
      <c r="F326" s="301"/>
      <c r="G326" s="301"/>
      <c r="H326" s="301"/>
      <c r="I326" s="301"/>
      <c r="J326" s="301"/>
      <c r="K326" s="301"/>
    </row>
    <row r="327" spans="1:11">
      <c r="A327" s="277"/>
      <c r="B327" s="301" t="s">
        <v>739</v>
      </c>
      <c r="C327" s="301"/>
      <c r="D327" s="301"/>
      <c r="E327" s="301"/>
      <c r="F327" s="301"/>
      <c r="G327" s="301"/>
      <c r="H327" s="301"/>
      <c r="I327" s="301"/>
      <c r="J327" s="301"/>
      <c r="K327" s="301"/>
    </row>
    <row r="328" spans="1:11">
      <c r="A328" s="277" t="s">
        <v>124</v>
      </c>
      <c r="B328" s="301" t="s">
        <v>740</v>
      </c>
      <c r="C328" s="301" t="s">
        <v>741</v>
      </c>
      <c r="D328" s="427">
        <f>'WP Tax Rate Calc'!$C$3</f>
        <v>0.35</v>
      </c>
      <c r="E328" s="301"/>
      <c r="F328" s="301"/>
      <c r="G328" s="301"/>
      <c r="H328" s="301"/>
      <c r="I328" s="301"/>
      <c r="J328" s="301"/>
      <c r="K328" s="301"/>
    </row>
    <row r="329" spans="1:11">
      <c r="A329" s="277"/>
      <c r="B329" s="301"/>
      <c r="C329" s="301" t="s">
        <v>742</v>
      </c>
      <c r="D329" s="427">
        <f>'WP Tax Rate Calc'!$C$9</f>
        <v>8.9452307692307734E-2</v>
      </c>
      <c r="E329" s="479" t="s">
        <v>743</v>
      </c>
      <c r="F329" s="301"/>
      <c r="G329" s="301"/>
      <c r="H329" s="301"/>
      <c r="I329" s="301"/>
      <c r="J329" s="301"/>
      <c r="K329" s="301"/>
    </row>
    <row r="330" spans="1:11">
      <c r="A330" s="277"/>
      <c r="B330" s="301"/>
      <c r="C330" s="301" t="s">
        <v>744</v>
      </c>
      <c r="D330" s="427">
        <v>0</v>
      </c>
      <c r="E330" s="479" t="s">
        <v>745</v>
      </c>
      <c r="F330" s="301"/>
      <c r="G330" s="301"/>
      <c r="H330" s="301"/>
      <c r="I330" s="301"/>
      <c r="J330" s="301"/>
      <c r="K330" s="301"/>
    </row>
    <row r="331" spans="1:11">
      <c r="A331" s="277" t="s">
        <v>746</v>
      </c>
      <c r="B331" s="301" t="s">
        <v>747</v>
      </c>
      <c r="C331" s="301"/>
      <c r="D331" s="301"/>
      <c r="E331" s="301"/>
      <c r="F331" s="301"/>
      <c r="G331" s="301"/>
      <c r="H331" s="301"/>
      <c r="I331" s="428"/>
      <c r="J331" s="428"/>
      <c r="K331" s="301"/>
    </row>
    <row r="332" spans="1:11">
      <c r="A332" s="277" t="s">
        <v>748</v>
      </c>
      <c r="B332" s="301" t="s">
        <v>749</v>
      </c>
      <c r="C332" s="301"/>
      <c r="D332" s="301"/>
      <c r="E332" s="301"/>
      <c r="F332" s="301"/>
      <c r="G332" s="301"/>
      <c r="H332" s="301"/>
      <c r="I332" s="301"/>
      <c r="J332" s="301"/>
      <c r="K332" s="301"/>
    </row>
    <row r="333" spans="1:11">
      <c r="A333" s="277"/>
      <c r="B333" s="301" t="s">
        <v>750</v>
      </c>
      <c r="C333" s="301"/>
      <c r="D333" s="301"/>
      <c r="E333" s="301"/>
      <c r="F333" s="301"/>
      <c r="G333" s="301"/>
      <c r="H333" s="301"/>
      <c r="I333" s="301"/>
      <c r="J333" s="301"/>
      <c r="K333" s="301"/>
    </row>
    <row r="334" spans="1:11">
      <c r="A334" s="277" t="s">
        <v>751</v>
      </c>
      <c r="B334" s="301" t="s">
        <v>752</v>
      </c>
      <c r="C334" s="301"/>
      <c r="D334" s="301"/>
      <c r="E334" s="301"/>
      <c r="F334" s="301"/>
      <c r="G334" s="301"/>
      <c r="H334" s="301"/>
      <c r="I334" s="301"/>
      <c r="J334" s="301"/>
      <c r="K334" s="301"/>
    </row>
    <row r="335" spans="1:11">
      <c r="A335" s="277"/>
      <c r="B335" s="301" t="s">
        <v>753</v>
      </c>
      <c r="C335" s="301"/>
      <c r="D335" s="301"/>
      <c r="E335" s="301"/>
      <c r="F335" s="301"/>
      <c r="G335" s="301"/>
      <c r="H335" s="301"/>
      <c r="I335" s="301"/>
      <c r="J335" s="301"/>
      <c r="K335" s="301"/>
    </row>
    <row r="336" spans="1:11">
      <c r="A336" s="277"/>
      <c r="B336" s="301" t="s">
        <v>754</v>
      </c>
      <c r="C336" s="301"/>
      <c r="D336" s="301"/>
      <c r="E336" s="301"/>
      <c r="F336" s="301"/>
      <c r="G336" s="301"/>
      <c r="H336" s="301"/>
      <c r="I336" s="301"/>
      <c r="J336" s="301"/>
      <c r="K336" s="301"/>
    </row>
    <row r="337" spans="1:11">
      <c r="A337" s="277" t="s">
        <v>755</v>
      </c>
      <c r="B337" s="301" t="s">
        <v>756</v>
      </c>
      <c r="C337" s="301"/>
      <c r="D337" s="301"/>
      <c r="E337" s="301"/>
      <c r="F337" s="301"/>
      <c r="G337" s="301"/>
      <c r="H337" s="301"/>
      <c r="I337" s="301"/>
      <c r="J337" s="301"/>
      <c r="K337" s="301"/>
    </row>
    <row r="338" spans="1:11">
      <c r="A338" s="277" t="s">
        <v>757</v>
      </c>
      <c r="B338" s="301" t="s">
        <v>758</v>
      </c>
      <c r="C338" s="301"/>
      <c r="D338" s="301"/>
      <c r="E338" s="301"/>
      <c r="F338" s="301"/>
      <c r="G338" s="301"/>
      <c r="H338" s="301"/>
      <c r="I338" s="301"/>
      <c r="J338" s="301"/>
      <c r="K338" s="301"/>
    </row>
    <row r="339" spans="1:11">
      <c r="A339" s="277"/>
      <c r="B339" s="301" t="s">
        <v>759</v>
      </c>
      <c r="C339" s="301"/>
      <c r="D339" s="301"/>
      <c r="E339" s="301"/>
      <c r="F339" s="301"/>
      <c r="G339" s="301"/>
      <c r="H339" s="301"/>
      <c r="I339" s="301"/>
      <c r="J339" s="301"/>
      <c r="K339" s="301"/>
    </row>
    <row r="340" spans="1:11">
      <c r="A340" s="277" t="s">
        <v>760</v>
      </c>
      <c r="B340" s="301" t="s">
        <v>761</v>
      </c>
      <c r="C340" s="301"/>
      <c r="D340" s="301"/>
      <c r="E340" s="301"/>
      <c r="F340" s="301"/>
      <c r="G340" s="301"/>
      <c r="H340" s="301"/>
      <c r="I340" s="301"/>
      <c r="J340" s="301"/>
      <c r="K340" s="301"/>
    </row>
    <row r="341" spans="1:11">
      <c r="A341" s="277"/>
      <c r="B341" s="301" t="s">
        <v>762</v>
      </c>
      <c r="C341" s="301"/>
      <c r="D341" s="301"/>
      <c r="E341" s="301"/>
      <c r="F341" s="301"/>
      <c r="G341" s="301"/>
      <c r="H341" s="301"/>
      <c r="I341" s="301"/>
      <c r="J341" s="301"/>
      <c r="K341" s="301"/>
    </row>
    <row r="342" spans="1:11">
      <c r="A342" s="277" t="s">
        <v>763</v>
      </c>
      <c r="B342" s="301" t="s">
        <v>764</v>
      </c>
      <c r="C342" s="301"/>
      <c r="D342" s="301"/>
      <c r="E342" s="301"/>
      <c r="F342" s="301"/>
      <c r="G342" s="301"/>
      <c r="H342" s="301"/>
      <c r="I342" s="301"/>
      <c r="J342" s="301"/>
      <c r="K342" s="301"/>
    </row>
    <row r="343" spans="1:11">
      <c r="A343" s="277" t="s">
        <v>765</v>
      </c>
      <c r="B343" s="301" t="s">
        <v>766</v>
      </c>
      <c r="C343" s="301"/>
      <c r="D343" s="301"/>
      <c r="E343" s="301"/>
      <c r="F343" s="301"/>
      <c r="G343" s="301"/>
      <c r="H343" s="301"/>
      <c r="I343" s="301"/>
      <c r="J343" s="301"/>
      <c r="K343" s="301"/>
    </row>
    <row r="344" spans="1:11">
      <c r="B344" s="301" t="s">
        <v>767</v>
      </c>
      <c r="C344" s="301"/>
      <c r="D344" s="301"/>
      <c r="E344" s="301"/>
      <c r="F344" s="301"/>
      <c r="G344" s="301"/>
      <c r="H344" s="301"/>
      <c r="I344" s="301"/>
      <c r="J344" s="301"/>
      <c r="K344" s="301"/>
    </row>
    <row r="345" spans="1:11">
      <c r="B345" s="273" t="s">
        <v>768</v>
      </c>
      <c r="C345" s="273"/>
      <c r="D345" s="273"/>
      <c r="E345" s="273"/>
      <c r="F345" s="273"/>
      <c r="G345" s="273"/>
      <c r="H345" s="273"/>
      <c r="I345" s="273"/>
      <c r="J345" s="273"/>
      <c r="K345" s="301"/>
    </row>
    <row r="346" spans="1:11">
      <c r="A346" s="309" t="s">
        <v>769</v>
      </c>
      <c r="B346" s="273" t="s">
        <v>770</v>
      </c>
      <c r="C346" s="273"/>
      <c r="D346" s="273"/>
      <c r="E346" s="273"/>
      <c r="F346" s="273"/>
      <c r="G346" s="273"/>
      <c r="H346" s="273"/>
      <c r="I346" s="273"/>
      <c r="J346" s="273"/>
      <c r="K346" s="273"/>
    </row>
    <row r="347" spans="1:11">
      <c r="B347" s="273" t="s">
        <v>771</v>
      </c>
      <c r="C347" s="429"/>
      <c r="D347" s="273"/>
      <c r="E347" s="273"/>
      <c r="F347" s="273"/>
      <c r="G347" s="273"/>
      <c r="H347" s="273"/>
      <c r="I347" s="273"/>
      <c r="J347" s="273"/>
      <c r="K347" s="273"/>
    </row>
    <row r="348" spans="1:11">
      <c r="B348" s="273" t="s">
        <v>772</v>
      </c>
      <c r="C348" s="273"/>
      <c r="D348" s="273"/>
      <c r="E348" s="273"/>
      <c r="F348" s="273"/>
      <c r="G348" s="273"/>
      <c r="H348" s="273"/>
      <c r="I348" s="273"/>
      <c r="J348" s="273"/>
      <c r="K348" s="273"/>
    </row>
    <row r="349" spans="1:11">
      <c r="A349" s="309" t="s">
        <v>773</v>
      </c>
      <c r="B349" s="273" t="s">
        <v>774</v>
      </c>
      <c r="C349" s="275"/>
      <c r="D349" s="275"/>
      <c r="E349" s="275"/>
      <c r="F349" s="275"/>
      <c r="G349" s="275"/>
      <c r="H349" s="275"/>
      <c r="I349" s="273"/>
      <c r="J349" s="273"/>
      <c r="K349" s="273"/>
    </row>
    <row r="350" spans="1:11">
      <c r="A350" s="348" t="s">
        <v>775</v>
      </c>
      <c r="B350" s="273" t="s">
        <v>776</v>
      </c>
      <c r="C350" s="273"/>
      <c r="D350" s="273"/>
      <c r="E350" s="273"/>
      <c r="F350" s="273"/>
      <c r="G350" s="273"/>
      <c r="H350" s="273"/>
      <c r="I350" s="273"/>
      <c r="J350" s="273"/>
      <c r="K350" s="273"/>
    </row>
    <row r="351" spans="1:11" s="274" customFormat="1">
      <c r="A351" s="348" t="s">
        <v>777</v>
      </c>
      <c r="B351" s="275" t="s">
        <v>778</v>
      </c>
      <c r="C351" s="273"/>
      <c r="D351" s="273"/>
      <c r="E351" s="273"/>
      <c r="F351" s="273"/>
      <c r="G351" s="273"/>
      <c r="H351" s="273"/>
      <c r="I351" s="273"/>
      <c r="J351" s="273"/>
      <c r="K351" s="273"/>
    </row>
    <row r="352" spans="1:11" s="274" customFormat="1">
      <c r="A352" s="348"/>
      <c r="B352" s="273" t="s">
        <v>779</v>
      </c>
      <c r="C352" s="273"/>
      <c r="D352" s="273"/>
      <c r="E352" s="273"/>
      <c r="F352" s="273"/>
      <c r="G352" s="275"/>
      <c r="H352" s="267"/>
      <c r="I352" s="273"/>
      <c r="J352" s="273"/>
      <c r="K352" s="273"/>
    </row>
    <row r="353" spans="1:11">
      <c r="A353" s="348"/>
      <c r="B353" s="273" t="s">
        <v>780</v>
      </c>
      <c r="C353" s="273"/>
      <c r="D353" s="273"/>
      <c r="E353" s="273"/>
      <c r="F353" s="273"/>
      <c r="G353" s="275"/>
      <c r="H353" s="275"/>
      <c r="I353" s="273"/>
      <c r="J353" s="273"/>
      <c r="K353" s="273"/>
    </row>
    <row r="354" spans="1:11">
      <c r="A354" s="348"/>
      <c r="B354" s="273" t="s">
        <v>781</v>
      </c>
      <c r="C354" s="273"/>
      <c r="D354" s="273"/>
      <c r="E354" s="273"/>
      <c r="F354" s="273"/>
      <c r="G354" s="275"/>
      <c r="H354" s="275"/>
      <c r="I354" s="273"/>
      <c r="J354" s="273"/>
      <c r="K354" s="273"/>
    </row>
    <row r="355" spans="1:11">
      <c r="A355" s="348"/>
      <c r="B355" s="273" t="s">
        <v>782</v>
      </c>
      <c r="C355" s="273"/>
      <c r="D355" s="273"/>
      <c r="E355" s="273"/>
      <c r="F355" s="273"/>
      <c r="G355" s="275"/>
      <c r="H355" s="275"/>
      <c r="I355" s="273"/>
      <c r="J355" s="273"/>
      <c r="K355" s="273"/>
    </row>
    <row r="356" spans="1:11">
      <c r="A356" s="348"/>
      <c r="B356" s="273" t="s">
        <v>783</v>
      </c>
      <c r="C356" s="273"/>
      <c r="D356" s="273"/>
      <c r="E356" s="273"/>
      <c r="F356" s="273"/>
      <c r="G356" s="275"/>
      <c r="H356" s="275"/>
      <c r="I356" s="273"/>
      <c r="J356" s="273"/>
      <c r="K356" s="273"/>
    </row>
    <row r="357" spans="1:11">
      <c r="A357" s="309" t="s">
        <v>784</v>
      </c>
      <c r="B357" s="273" t="s">
        <v>785</v>
      </c>
      <c r="C357" s="273"/>
      <c r="D357" s="273"/>
      <c r="E357" s="273"/>
      <c r="F357" s="273"/>
      <c r="G357" s="273"/>
      <c r="H357" s="275"/>
      <c r="I357" s="273"/>
      <c r="J357" s="273"/>
      <c r="K357" s="273"/>
    </row>
    <row r="358" spans="1:11">
      <c r="A358" s="309" t="s">
        <v>786</v>
      </c>
      <c r="B358" s="273" t="s">
        <v>0</v>
      </c>
      <c r="C358" s="273"/>
      <c r="D358" s="273"/>
      <c r="E358" s="273"/>
      <c r="F358" s="273"/>
      <c r="G358" s="273"/>
      <c r="H358" s="275"/>
      <c r="I358" s="273"/>
      <c r="J358" s="273"/>
      <c r="K358" s="273"/>
    </row>
    <row r="359" spans="1:11">
      <c r="A359" s="309"/>
      <c r="B359" s="273" t="s">
        <v>1</v>
      </c>
      <c r="C359" s="273"/>
      <c r="D359" s="273"/>
      <c r="E359" s="273"/>
      <c r="F359" s="273"/>
      <c r="G359" s="273"/>
      <c r="H359" s="275"/>
      <c r="I359" s="273"/>
      <c r="J359" s="273"/>
      <c r="K359" s="273"/>
    </row>
    <row r="360" spans="1:11">
      <c r="A360" s="309" t="s">
        <v>2</v>
      </c>
      <c r="B360" s="273" t="s">
        <v>3</v>
      </c>
      <c r="C360" s="274"/>
      <c r="D360" s="274"/>
      <c r="E360" s="274"/>
      <c r="F360" s="273"/>
      <c r="G360" s="273"/>
      <c r="H360" s="275"/>
      <c r="I360" s="273"/>
      <c r="J360" s="273"/>
      <c r="K360" s="273"/>
    </row>
    <row r="361" spans="1:11">
      <c r="A361" s="309"/>
      <c r="B361" s="430" t="s">
        <v>254</v>
      </c>
      <c r="C361" s="273" t="s">
        <v>4</v>
      </c>
      <c r="D361" s="274"/>
      <c r="E361" s="274"/>
      <c r="F361" s="273"/>
      <c r="G361" s="273"/>
      <c r="H361" s="275"/>
      <c r="I361" s="273"/>
      <c r="J361" s="273"/>
      <c r="K361" s="273"/>
    </row>
    <row r="362" spans="1:11">
      <c r="A362" s="309"/>
      <c r="B362" s="430" t="s">
        <v>255</v>
      </c>
      <c r="C362" s="273" t="s">
        <v>4</v>
      </c>
      <c r="D362" s="368"/>
      <c r="E362" s="274"/>
      <c r="F362" s="273"/>
      <c r="G362" s="273"/>
      <c r="H362" s="275"/>
      <c r="I362" s="273"/>
      <c r="J362" s="273"/>
      <c r="K362" s="273"/>
    </row>
    <row r="363" spans="1:11">
      <c r="A363" s="309"/>
      <c r="B363" s="431" t="s">
        <v>256</v>
      </c>
      <c r="C363" s="273"/>
      <c r="D363" s="274"/>
      <c r="E363" s="274"/>
      <c r="F363" s="273"/>
      <c r="G363" s="273"/>
      <c r="H363" s="275"/>
      <c r="I363" s="273"/>
      <c r="J363" s="273"/>
      <c r="K363" s="273"/>
    </row>
    <row r="364" spans="1:11">
      <c r="A364" s="309"/>
      <c r="B364" s="430" t="s">
        <v>257</v>
      </c>
      <c r="C364" s="273" t="s">
        <v>5</v>
      </c>
      <c r="D364" s="274"/>
      <c r="E364" s="274"/>
      <c r="F364" s="273"/>
      <c r="G364" s="273"/>
      <c r="H364" s="275"/>
      <c r="I364" s="273"/>
      <c r="J364" s="273"/>
      <c r="K364" s="273"/>
    </row>
    <row r="365" spans="1:11">
      <c r="A365" s="309"/>
      <c r="B365" s="430" t="s">
        <v>258</v>
      </c>
      <c r="C365" s="273"/>
      <c r="D365" s="274"/>
      <c r="E365" s="273"/>
      <c r="F365" s="273"/>
      <c r="G365" s="273"/>
      <c r="H365" s="275"/>
      <c r="I365" s="273"/>
      <c r="J365" s="273"/>
      <c r="K365" s="273"/>
    </row>
    <row r="366" spans="1:11">
      <c r="A366" s="309" t="s">
        <v>6</v>
      </c>
      <c r="B366" s="432" t="s">
        <v>887</v>
      </c>
      <c r="C366" s="273"/>
      <c r="D366" s="274"/>
      <c r="E366" s="273"/>
      <c r="F366" s="273"/>
      <c r="G366" s="273"/>
      <c r="H366" s="275"/>
      <c r="I366" s="273"/>
      <c r="J366" s="273"/>
      <c r="K366" s="273"/>
    </row>
    <row r="367" spans="1:11">
      <c r="A367" s="309" t="s">
        <v>7</v>
      </c>
      <c r="B367" s="432" t="s">
        <v>888</v>
      </c>
      <c r="C367" s="273"/>
      <c r="D367" s="274"/>
      <c r="E367" s="273"/>
      <c r="F367" s="273"/>
      <c r="G367" s="273"/>
      <c r="H367" s="275"/>
      <c r="I367" s="273"/>
      <c r="J367" s="273"/>
      <c r="K367" s="273"/>
    </row>
    <row r="368" spans="1:11">
      <c r="A368" s="309"/>
      <c r="B368" s="432" t="s">
        <v>889</v>
      </c>
      <c r="C368" s="273"/>
      <c r="D368" s="274"/>
      <c r="E368" s="273"/>
      <c r="F368" s="273"/>
      <c r="G368" s="273"/>
      <c r="H368" s="275"/>
      <c r="I368" s="273"/>
      <c r="J368" s="273"/>
      <c r="K368" s="273"/>
    </row>
    <row r="369" spans="1:11">
      <c r="A369" s="309" t="s">
        <v>8</v>
      </c>
      <c r="B369" s="432" t="s">
        <v>890</v>
      </c>
      <c r="C369" s="273"/>
      <c r="D369" s="274"/>
      <c r="E369" s="273"/>
      <c r="F369" s="273"/>
      <c r="G369" s="273"/>
      <c r="H369" s="275"/>
      <c r="I369" s="273"/>
      <c r="J369" s="273"/>
      <c r="K369" s="273"/>
    </row>
    <row r="370" spans="1:11">
      <c r="A370" s="309" t="s">
        <v>9</v>
      </c>
      <c r="B370" s="432" t="s">
        <v>891</v>
      </c>
    </row>
    <row r="371" spans="1:11">
      <c r="A371" s="309"/>
      <c r="B371" s="432" t="s">
        <v>892</v>
      </c>
    </row>
    <row r="372" spans="1:11">
      <c r="A372" s="309" t="s">
        <v>10</v>
      </c>
      <c r="B372" s="433" t="s">
        <v>11</v>
      </c>
      <c r="C372" s="275"/>
      <c r="D372" s="275"/>
      <c r="E372" s="275"/>
      <c r="F372" s="275"/>
      <c r="G372" s="275"/>
      <c r="H372" s="275"/>
      <c r="I372" s="275"/>
      <c r="J372" s="275"/>
      <c r="K372" s="273"/>
    </row>
    <row r="373" spans="1:11">
      <c r="A373" s="309" t="s">
        <v>12</v>
      </c>
      <c r="B373" s="433" t="s">
        <v>893</v>
      </c>
      <c r="C373" s="275"/>
      <c r="D373" s="275"/>
      <c r="E373" s="275"/>
      <c r="F373" s="275"/>
      <c r="G373" s="275"/>
      <c r="H373" s="275"/>
      <c r="I373" s="275"/>
      <c r="J373" s="275"/>
      <c r="K373" s="273"/>
    </row>
    <row r="374" spans="1:11">
      <c r="B374" s="274"/>
      <c r="K374" s="273"/>
    </row>
    <row r="375" spans="1:11">
      <c r="B375" s="274"/>
    </row>
  </sheetData>
  <mergeCells count="8">
    <mergeCell ref="F156:G156"/>
    <mergeCell ref="A226:K226"/>
    <mergeCell ref="N238:S238"/>
    <mergeCell ref="A303:K303"/>
    <mergeCell ref="A7:K7"/>
    <mergeCell ref="Q27:S27"/>
    <mergeCell ref="A79:K79"/>
    <mergeCell ref="A151:K151"/>
  </mergeCells>
  <phoneticPr fontId="13" type="noConversion"/>
  <conditionalFormatting sqref="N21">
    <cfRule type="cellIs" dxfId="3" priority="1" stopIfTrue="1" operator="equal">
      <formula>"ERROR in RR detail"</formula>
    </cfRule>
  </conditionalFormatting>
  <conditionalFormatting sqref="N26">
    <cfRule type="cellIs" dxfId="2" priority="2" stopIfTrue="1" operator="equal">
      <formula>"ERROR MW detail"</formula>
    </cfRule>
  </conditionalFormatting>
  <pageMargins left="0.75" right="0.75" top="1" bottom="1" header="0.5" footer="0.5"/>
  <pageSetup paperSize="3" scale="42" fitToHeight="5" orientation="portrait" r:id="rId1"/>
  <headerFooter alignWithMargins="0"/>
  <rowBreaks count="4" manualBreakCount="4">
    <brk id="72" max="12" man="1"/>
    <brk id="144" max="12" man="1"/>
    <brk id="220" max="12" man="1"/>
    <brk id="29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FFF"/>
  </sheetPr>
  <dimension ref="A11:C16"/>
  <sheetViews>
    <sheetView showGridLines="0" zoomScaleNormal="100" workbookViewId="0">
      <selection activeCell="B13" sqref="B13"/>
    </sheetView>
  </sheetViews>
  <sheetFormatPr defaultRowHeight="15"/>
  <cols>
    <col min="1" max="1" width="13.5546875" customWidth="1"/>
    <col min="2" max="2" width="54.5546875" bestFit="1" customWidth="1"/>
  </cols>
  <sheetData>
    <row r="11" spans="1:3" ht="23.25">
      <c r="A11" s="881" t="s">
        <v>910</v>
      </c>
      <c r="B11" s="882"/>
      <c r="C11" s="882"/>
    </row>
    <row r="12" spans="1:3" ht="24" thickBot="1">
      <c r="A12" s="881" t="s">
        <v>247</v>
      </c>
      <c r="B12" s="882"/>
      <c r="C12" s="882"/>
    </row>
    <row r="13" spans="1:3" ht="24" thickBot="1">
      <c r="B13" s="480" t="s">
        <v>1190</v>
      </c>
    </row>
    <row r="15" spans="1:3" ht="15.75">
      <c r="B15" s="2"/>
    </row>
    <row r="16" spans="1:3" ht="15.75">
      <c r="B16" s="2"/>
    </row>
  </sheetData>
  <mergeCells count="2">
    <mergeCell ref="A11:C11"/>
    <mergeCell ref="A12:C12"/>
  </mergeCells>
  <phoneticPr fontId="13" type="noConversion"/>
  <pageMargins left="0.75" right="0.75" top="1" bottom="1" header="0.5" footer="0.5"/>
  <pageSetup scale="9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autoPageBreaks="0" fitToPage="1"/>
  </sheetPr>
  <dimension ref="A1:N81"/>
  <sheetViews>
    <sheetView showGridLines="0" topLeftCell="A34" zoomScale="90" zoomScaleNormal="75" workbookViewId="0">
      <selection activeCell="A4" sqref="A4"/>
    </sheetView>
  </sheetViews>
  <sheetFormatPr defaultColWidth="14.44140625" defaultRowHeight="12.75"/>
  <cols>
    <col min="1" max="1" width="4.77734375" style="74" customWidth="1"/>
    <col min="2" max="2" width="1.77734375" style="4" customWidth="1"/>
    <col min="3" max="3" width="29" style="4" customWidth="1"/>
    <col min="4" max="4" width="14.33203125" style="4" customWidth="1"/>
    <col min="5" max="5" width="0.88671875" style="4" customWidth="1"/>
    <col min="6" max="6" width="14.33203125" style="4" customWidth="1"/>
    <col min="7" max="7" width="0.88671875" style="4" customWidth="1"/>
    <col min="8" max="8" width="14.33203125" style="4" customWidth="1"/>
    <col min="9" max="9" width="0.88671875" style="4" customWidth="1"/>
    <col min="10" max="10" width="14.33203125" style="4" customWidth="1"/>
    <col min="11" max="11" width="0.88671875" style="4" customWidth="1"/>
    <col min="12" max="12" width="14.33203125" style="4" customWidth="1"/>
    <col min="13" max="13" width="0.77734375" style="4" customWidth="1"/>
    <col min="14" max="14" width="14.33203125" style="4" customWidth="1"/>
    <col min="15" max="15" width="14.44140625" style="4"/>
    <col min="16" max="16" width="1" style="4" customWidth="1"/>
    <col min="17" max="16384" width="14.44140625" style="4"/>
  </cols>
  <sheetData>
    <row r="1" spans="1:14">
      <c r="A1" s="71" t="s">
        <v>27</v>
      </c>
      <c r="B1" s="72"/>
      <c r="C1" s="72"/>
      <c r="D1" s="72"/>
      <c r="E1" s="72"/>
      <c r="F1" s="72"/>
      <c r="G1" s="72"/>
      <c r="H1" s="72"/>
      <c r="I1" s="72"/>
      <c r="J1" s="72"/>
      <c r="K1" s="72"/>
      <c r="L1" s="72"/>
      <c r="M1" s="72"/>
      <c r="N1" s="482" t="s">
        <v>789</v>
      </c>
    </row>
    <row r="2" spans="1:14">
      <c r="A2" s="71" t="s">
        <v>146</v>
      </c>
      <c r="B2" s="72"/>
      <c r="C2" s="72"/>
      <c r="D2" s="72"/>
      <c r="E2" s="72"/>
      <c r="F2" s="72"/>
      <c r="G2" s="72"/>
      <c r="H2" s="72"/>
      <c r="I2" s="72"/>
      <c r="J2" s="72"/>
      <c r="K2" s="72"/>
      <c r="L2" s="72"/>
      <c r="M2" s="72"/>
      <c r="N2" s="73"/>
    </row>
    <row r="3" spans="1:14">
      <c r="A3" s="483" t="s">
        <v>790</v>
      </c>
      <c r="B3" s="72"/>
      <c r="C3" s="72"/>
      <c r="D3" s="72"/>
      <c r="E3" s="72"/>
      <c r="F3" s="72"/>
      <c r="G3" s="72"/>
      <c r="H3" s="72"/>
      <c r="I3" s="72"/>
      <c r="J3" s="72"/>
      <c r="K3" s="72"/>
      <c r="L3" s="72"/>
      <c r="M3" s="72"/>
    </row>
    <row r="4" spans="1:14">
      <c r="A4" s="503" t="s">
        <v>269</v>
      </c>
      <c r="D4" s="77"/>
      <c r="E4" s="26"/>
      <c r="I4" s="76"/>
      <c r="K4" s="76"/>
      <c r="L4" s="76"/>
      <c r="M4" s="76"/>
      <c r="N4" s="77" t="s">
        <v>148</v>
      </c>
    </row>
    <row r="5" spans="1:14">
      <c r="A5" s="74" t="s">
        <v>165</v>
      </c>
      <c r="D5" s="76"/>
      <c r="E5" s="26"/>
      <c r="H5" s="183"/>
      <c r="J5" s="78" t="s">
        <v>199</v>
      </c>
      <c r="L5" s="78" t="s">
        <v>142</v>
      </c>
      <c r="N5" s="77" t="s">
        <v>149</v>
      </c>
    </row>
    <row r="6" spans="1:14">
      <c r="A6" s="79" t="s">
        <v>141</v>
      </c>
      <c r="D6" s="76" t="s">
        <v>123</v>
      </c>
      <c r="F6" s="76" t="s">
        <v>143</v>
      </c>
      <c r="H6" s="76" t="s">
        <v>144</v>
      </c>
      <c r="J6" s="76" t="s">
        <v>176</v>
      </c>
      <c r="L6" s="167" t="s">
        <v>29</v>
      </c>
      <c r="M6" s="77"/>
      <c r="N6" s="167" t="s">
        <v>150</v>
      </c>
    </row>
    <row r="7" spans="1:14">
      <c r="A7" s="80" t="s">
        <v>145</v>
      </c>
      <c r="B7" s="81" t="s">
        <v>28</v>
      </c>
      <c r="C7" s="82"/>
      <c r="D7" s="35"/>
      <c r="F7" s="35"/>
      <c r="H7" s="35"/>
      <c r="J7" s="35"/>
      <c r="N7" s="35"/>
    </row>
    <row r="8" spans="1:14">
      <c r="A8" s="83">
        <f>+A7+1</f>
        <v>2</v>
      </c>
      <c r="C8" s="484" t="s">
        <v>327</v>
      </c>
      <c r="D8" s="25">
        <f t="shared" ref="D8:D20" si="0">+D28+D48</f>
        <v>7656086190.9500008</v>
      </c>
      <c r="E8" s="26"/>
      <c r="F8" s="25">
        <f t="shared" ref="F8:L20" si="1">+F28+F48</f>
        <v>2890565367.8000002</v>
      </c>
      <c r="G8" s="25">
        <f t="shared" si="1"/>
        <v>0</v>
      </c>
      <c r="H8" s="25">
        <f t="shared" si="1"/>
        <v>4110015684.3499999</v>
      </c>
      <c r="I8" s="25">
        <f t="shared" si="1"/>
        <v>0</v>
      </c>
      <c r="J8" s="25">
        <f t="shared" si="1"/>
        <v>681783645.98000002</v>
      </c>
      <c r="K8" s="25">
        <f t="shared" si="1"/>
        <v>0</v>
      </c>
      <c r="L8" s="26">
        <f t="shared" si="1"/>
        <v>599930193</v>
      </c>
      <c r="M8" s="25"/>
      <c r="N8" s="25">
        <f>SUM(D8:L8)</f>
        <v>15938381082.08</v>
      </c>
    </row>
    <row r="9" spans="1:14">
      <c r="A9" s="83">
        <f t="shared" ref="A9:A62" si="2">+A8+1</f>
        <v>3</v>
      </c>
      <c r="C9" s="484" t="s">
        <v>791</v>
      </c>
      <c r="D9" s="26">
        <f t="shared" si="0"/>
        <v>7644269487.1099997</v>
      </c>
      <c r="E9" s="26"/>
      <c r="F9" s="26">
        <f t="shared" si="1"/>
        <v>2890266306.6000013</v>
      </c>
      <c r="G9" s="26">
        <f t="shared" si="1"/>
        <v>0</v>
      </c>
      <c r="H9" s="26">
        <f t="shared" si="1"/>
        <v>4117162113.0699997</v>
      </c>
      <c r="I9" s="26">
        <f t="shared" si="1"/>
        <v>0</v>
      </c>
      <c r="J9" s="26">
        <f t="shared" si="1"/>
        <v>686768896.09000003</v>
      </c>
      <c r="K9" s="26">
        <f t="shared" si="1"/>
        <v>0</v>
      </c>
      <c r="L9" s="26">
        <f t="shared" si="1"/>
        <v>601910690.51999986</v>
      </c>
      <c r="M9" s="105"/>
      <c r="N9" s="18">
        <f>SUM(D9:L9)</f>
        <v>15940377493.390001</v>
      </c>
    </row>
    <row r="10" spans="1:14">
      <c r="A10" s="83">
        <f t="shared" si="2"/>
        <v>4</v>
      </c>
      <c r="C10" s="84" t="s">
        <v>271</v>
      </c>
      <c r="D10" s="26">
        <f t="shared" si="0"/>
        <v>7653491410.1899996</v>
      </c>
      <c r="E10" s="26"/>
      <c r="F10" s="26">
        <f t="shared" si="1"/>
        <v>2889771758.2200012</v>
      </c>
      <c r="G10" s="26">
        <f t="shared" si="1"/>
        <v>0</v>
      </c>
      <c r="H10" s="26">
        <f t="shared" si="1"/>
        <v>4128930484.1500001</v>
      </c>
      <c r="I10" s="26">
        <f t="shared" si="1"/>
        <v>0</v>
      </c>
      <c r="J10" s="26">
        <f t="shared" si="1"/>
        <v>691079012.40999997</v>
      </c>
      <c r="K10" s="26">
        <f t="shared" si="1"/>
        <v>0</v>
      </c>
      <c r="L10" s="26">
        <f t="shared" si="1"/>
        <v>606665255.34000015</v>
      </c>
      <c r="M10" s="105"/>
      <c r="N10" s="18">
        <f t="shared" ref="N10:N20" si="3">SUM(D10:L10)</f>
        <v>15969937920.309999</v>
      </c>
    </row>
    <row r="11" spans="1:14">
      <c r="A11" s="83">
        <f t="shared" si="2"/>
        <v>5</v>
      </c>
      <c r="C11" s="84" t="s">
        <v>272</v>
      </c>
      <c r="D11" s="26">
        <f t="shared" si="0"/>
        <v>7658415448.9700003</v>
      </c>
      <c r="E11" s="26"/>
      <c r="F11" s="26">
        <f t="shared" si="1"/>
        <v>2940540741.5200024</v>
      </c>
      <c r="G11" s="26">
        <f t="shared" si="1"/>
        <v>0</v>
      </c>
      <c r="H11" s="26">
        <f t="shared" si="1"/>
        <v>4129184634.8499994</v>
      </c>
      <c r="I11" s="26">
        <f t="shared" si="1"/>
        <v>0</v>
      </c>
      <c r="J11" s="26">
        <f t="shared" si="1"/>
        <v>691105421.50999987</v>
      </c>
      <c r="K11" s="26">
        <f t="shared" si="1"/>
        <v>0</v>
      </c>
      <c r="L11" s="26">
        <f t="shared" si="1"/>
        <v>603305662.25999999</v>
      </c>
      <c r="M11" s="105"/>
      <c r="N11" s="18">
        <f t="shared" si="3"/>
        <v>16022551909.110001</v>
      </c>
    </row>
    <row r="12" spans="1:14">
      <c r="A12" s="83">
        <f t="shared" si="2"/>
        <v>6</v>
      </c>
      <c r="C12" s="84" t="s">
        <v>168</v>
      </c>
      <c r="D12" s="26">
        <f t="shared" si="0"/>
        <v>7669377974.9400005</v>
      </c>
      <c r="E12" s="26"/>
      <c r="F12" s="26">
        <f t="shared" si="1"/>
        <v>3260290616.7100019</v>
      </c>
      <c r="G12" s="26">
        <f t="shared" si="1"/>
        <v>0</v>
      </c>
      <c r="H12" s="26">
        <f t="shared" si="1"/>
        <v>4144437821.999999</v>
      </c>
      <c r="I12" s="26">
        <f t="shared" si="1"/>
        <v>0</v>
      </c>
      <c r="J12" s="26">
        <f t="shared" si="1"/>
        <v>698877965.05000007</v>
      </c>
      <c r="K12" s="26">
        <f t="shared" si="1"/>
        <v>0</v>
      </c>
      <c r="L12" s="26">
        <f t="shared" si="1"/>
        <v>605447902.37000012</v>
      </c>
      <c r="M12" s="105"/>
      <c r="N12" s="18">
        <f t="shared" si="3"/>
        <v>16378432281.070002</v>
      </c>
    </row>
    <row r="13" spans="1:14">
      <c r="A13" s="83">
        <f t="shared" si="2"/>
        <v>7</v>
      </c>
      <c r="C13" s="84" t="s">
        <v>273</v>
      </c>
      <c r="D13" s="26">
        <f t="shared" si="0"/>
        <v>7690227065.2200003</v>
      </c>
      <c r="E13" s="26"/>
      <c r="F13" s="26">
        <f t="shared" si="1"/>
        <v>3317087028.4500012</v>
      </c>
      <c r="G13" s="26">
        <f t="shared" si="1"/>
        <v>0</v>
      </c>
      <c r="H13" s="26">
        <f t="shared" si="1"/>
        <v>4160468463.8999996</v>
      </c>
      <c r="I13" s="26">
        <f t="shared" si="1"/>
        <v>0</v>
      </c>
      <c r="J13" s="26">
        <f t="shared" si="1"/>
        <v>704104640.95999992</v>
      </c>
      <c r="K13" s="26">
        <f t="shared" si="1"/>
        <v>0</v>
      </c>
      <c r="L13" s="26">
        <f t="shared" si="1"/>
        <v>607191531.74000001</v>
      </c>
      <c r="M13" s="105"/>
      <c r="N13" s="18">
        <f t="shared" si="3"/>
        <v>16479078730.27</v>
      </c>
    </row>
    <row r="14" spans="1:14">
      <c r="A14" s="83">
        <f t="shared" si="2"/>
        <v>8</v>
      </c>
      <c r="C14" s="84" t="s">
        <v>274</v>
      </c>
      <c r="D14" s="26">
        <f t="shared" si="0"/>
        <v>7674408074.3999987</v>
      </c>
      <c r="E14" s="26"/>
      <c r="F14" s="26">
        <f t="shared" si="1"/>
        <v>3353403304.3300018</v>
      </c>
      <c r="G14" s="26">
        <f t="shared" si="1"/>
        <v>0</v>
      </c>
      <c r="H14" s="26">
        <f t="shared" si="1"/>
        <v>4187737604.3799996</v>
      </c>
      <c r="I14" s="26">
        <f t="shared" si="1"/>
        <v>0</v>
      </c>
      <c r="J14" s="26">
        <f t="shared" si="1"/>
        <v>707836591.25999999</v>
      </c>
      <c r="K14" s="26">
        <f t="shared" si="1"/>
        <v>0</v>
      </c>
      <c r="L14" s="26">
        <f t="shared" si="1"/>
        <v>604497539.68000007</v>
      </c>
      <c r="M14" s="105"/>
      <c r="N14" s="18">
        <f t="shared" si="3"/>
        <v>16527883114.049999</v>
      </c>
    </row>
    <row r="15" spans="1:14">
      <c r="A15" s="83">
        <f t="shared" si="2"/>
        <v>9</v>
      </c>
      <c r="C15" s="84" t="s">
        <v>170</v>
      </c>
      <c r="D15" s="26">
        <f t="shared" si="0"/>
        <v>7686772104.29</v>
      </c>
      <c r="E15" s="26"/>
      <c r="F15" s="26">
        <f t="shared" si="1"/>
        <v>3375146611.2400017</v>
      </c>
      <c r="G15" s="26">
        <f t="shared" si="1"/>
        <v>0</v>
      </c>
      <c r="H15" s="26">
        <f t="shared" si="1"/>
        <v>4216562512.4199996</v>
      </c>
      <c r="I15" s="26">
        <f t="shared" si="1"/>
        <v>0</v>
      </c>
      <c r="J15" s="26">
        <f t="shared" si="1"/>
        <v>710403046.86999989</v>
      </c>
      <c r="K15" s="26">
        <f t="shared" si="1"/>
        <v>0</v>
      </c>
      <c r="L15" s="26">
        <f t="shared" si="1"/>
        <v>605626616.78999996</v>
      </c>
      <c r="M15" s="105"/>
      <c r="N15" s="18">
        <f t="shared" si="3"/>
        <v>16594510891.610004</v>
      </c>
    </row>
    <row r="16" spans="1:14">
      <c r="A16" s="83">
        <f t="shared" si="2"/>
        <v>10</v>
      </c>
      <c r="C16" s="84" t="s">
        <v>275</v>
      </c>
      <c r="D16" s="26">
        <f t="shared" si="0"/>
        <v>7709051168.9400005</v>
      </c>
      <c r="E16" s="26"/>
      <c r="F16" s="26">
        <f t="shared" si="1"/>
        <v>3397407967.9800029</v>
      </c>
      <c r="G16" s="26">
        <f t="shared" si="1"/>
        <v>0</v>
      </c>
      <c r="H16" s="26">
        <f t="shared" si="1"/>
        <v>4235380380.9299994</v>
      </c>
      <c r="I16" s="26">
        <f t="shared" si="1"/>
        <v>0</v>
      </c>
      <c r="J16" s="26">
        <f t="shared" si="1"/>
        <v>712576434.15999997</v>
      </c>
      <c r="K16" s="26">
        <f t="shared" si="1"/>
        <v>0</v>
      </c>
      <c r="L16" s="26">
        <f t="shared" si="1"/>
        <v>612187524.91999996</v>
      </c>
      <c r="M16" s="105"/>
      <c r="N16" s="18">
        <f t="shared" si="3"/>
        <v>16666603476.930002</v>
      </c>
    </row>
    <row r="17" spans="1:14">
      <c r="A17" s="83">
        <f t="shared" si="2"/>
        <v>11</v>
      </c>
      <c r="C17" s="84" t="s">
        <v>276</v>
      </c>
      <c r="D17" s="26">
        <f t="shared" si="0"/>
        <v>7720581182.3400011</v>
      </c>
      <c r="E17" s="26"/>
      <c r="F17" s="26">
        <f t="shared" si="1"/>
        <v>3407986666.610002</v>
      </c>
      <c r="G17" s="26">
        <f t="shared" si="1"/>
        <v>0</v>
      </c>
      <c r="H17" s="26">
        <f t="shared" si="1"/>
        <v>4250207908.0100002</v>
      </c>
      <c r="I17" s="26">
        <f t="shared" si="1"/>
        <v>0</v>
      </c>
      <c r="J17" s="26">
        <f t="shared" si="1"/>
        <v>718788583.92000008</v>
      </c>
      <c r="K17" s="26">
        <f t="shared" si="1"/>
        <v>0</v>
      </c>
      <c r="L17" s="26">
        <f t="shared" si="1"/>
        <v>608865631.28999996</v>
      </c>
      <c r="M17" s="105"/>
      <c r="N17" s="18">
        <f t="shared" si="3"/>
        <v>16706429972.170002</v>
      </c>
    </row>
    <row r="18" spans="1:14">
      <c r="A18" s="83">
        <f t="shared" si="2"/>
        <v>12</v>
      </c>
      <c r="C18" s="84" t="s">
        <v>277</v>
      </c>
      <c r="D18" s="26">
        <f t="shared" si="0"/>
        <v>7732804999.3200006</v>
      </c>
      <c r="E18" s="26"/>
      <c r="F18" s="26">
        <f t="shared" si="1"/>
        <v>3436459957.3400016</v>
      </c>
      <c r="G18" s="26">
        <f t="shared" si="1"/>
        <v>0</v>
      </c>
      <c r="H18" s="26">
        <f t="shared" si="1"/>
        <v>4265612614.0200005</v>
      </c>
      <c r="I18" s="26">
        <f t="shared" si="1"/>
        <v>0</v>
      </c>
      <c r="J18" s="26">
        <f t="shared" si="1"/>
        <v>755263957.44000006</v>
      </c>
      <c r="K18" s="26">
        <f t="shared" si="1"/>
        <v>0</v>
      </c>
      <c r="L18" s="26">
        <f t="shared" si="1"/>
        <v>617835364.18999994</v>
      </c>
      <c r="M18" s="105"/>
      <c r="N18" s="18">
        <f t="shared" si="3"/>
        <v>16807976892.310003</v>
      </c>
    </row>
    <row r="19" spans="1:14">
      <c r="A19" s="83">
        <f t="shared" si="2"/>
        <v>13</v>
      </c>
      <c r="C19" s="84" t="s">
        <v>278</v>
      </c>
      <c r="D19" s="26">
        <f t="shared" si="0"/>
        <v>7752223777.3700008</v>
      </c>
      <c r="E19" s="26"/>
      <c r="F19" s="26">
        <f t="shared" si="1"/>
        <v>3460181929.8300018</v>
      </c>
      <c r="G19" s="26">
        <f t="shared" si="1"/>
        <v>0</v>
      </c>
      <c r="H19" s="26">
        <f t="shared" si="1"/>
        <v>4270776372.8299999</v>
      </c>
      <c r="I19" s="26">
        <f t="shared" si="1"/>
        <v>0</v>
      </c>
      <c r="J19" s="26">
        <f t="shared" si="1"/>
        <v>751459917.64999998</v>
      </c>
      <c r="K19" s="26">
        <f t="shared" si="1"/>
        <v>0</v>
      </c>
      <c r="L19" s="26">
        <f t="shared" si="1"/>
        <v>650547741.00999999</v>
      </c>
      <c r="M19" s="105"/>
      <c r="N19" s="18">
        <f t="shared" si="3"/>
        <v>16885189738.690002</v>
      </c>
    </row>
    <row r="20" spans="1:14">
      <c r="A20" s="83">
        <f t="shared" si="2"/>
        <v>14</v>
      </c>
      <c r="C20" s="484" t="s">
        <v>792</v>
      </c>
      <c r="D20" s="26">
        <f t="shared" si="0"/>
        <v>7819494546.8100004</v>
      </c>
      <c r="E20" s="26"/>
      <c r="F20" s="26">
        <f t="shared" si="1"/>
        <v>3531836730.5599999</v>
      </c>
      <c r="G20" s="26">
        <f t="shared" si="1"/>
        <v>0</v>
      </c>
      <c r="H20" s="26">
        <f t="shared" si="1"/>
        <v>4314537365.4799995</v>
      </c>
      <c r="I20" s="26">
        <f t="shared" si="1"/>
        <v>0</v>
      </c>
      <c r="J20" s="26">
        <f t="shared" si="1"/>
        <v>785053500.44000006</v>
      </c>
      <c r="K20" s="26">
        <f t="shared" si="1"/>
        <v>0</v>
      </c>
      <c r="L20" s="26">
        <f t="shared" si="1"/>
        <v>677211874.88999999</v>
      </c>
      <c r="M20" s="105"/>
      <c r="N20" s="18">
        <f t="shared" si="3"/>
        <v>17128134018.18</v>
      </c>
    </row>
    <row r="21" spans="1:14">
      <c r="A21" s="83">
        <f t="shared" si="2"/>
        <v>15</v>
      </c>
      <c r="C21" s="84"/>
      <c r="D21" s="34"/>
      <c r="F21" s="34"/>
      <c r="H21" s="34"/>
      <c r="I21" s="18"/>
      <c r="J21" s="34"/>
      <c r="K21" s="18"/>
      <c r="L21" s="168"/>
      <c r="M21" s="105"/>
      <c r="N21" s="34"/>
    </row>
    <row r="22" spans="1:14" ht="13.5" thickBot="1">
      <c r="A22" s="83">
        <f t="shared" si="2"/>
        <v>16</v>
      </c>
      <c r="C22" s="176" t="s">
        <v>147</v>
      </c>
      <c r="D22" s="36">
        <f>D42+D62</f>
        <v>7697477186.9884624</v>
      </c>
      <c r="F22" s="36">
        <f>F42+F62</f>
        <v>3242380383.630002</v>
      </c>
      <c r="G22" s="72"/>
      <c r="H22" s="36">
        <f>H42+H62</f>
        <v>4194693381.5684614</v>
      </c>
      <c r="I22" s="171"/>
      <c r="J22" s="36">
        <f>J42+J62</f>
        <v>715007816.44153845</v>
      </c>
      <c r="K22" s="25"/>
      <c r="L22" s="36">
        <f>L42+L62</f>
        <v>615478732.92307687</v>
      </c>
      <c r="M22" s="108"/>
      <c r="N22" s="36">
        <f>N42+N62</f>
        <v>16465037501.55154</v>
      </c>
    </row>
    <row r="23" spans="1:14" ht="13.5" thickTop="1">
      <c r="A23" s="83"/>
      <c r="D23" s="18"/>
      <c r="F23" s="18"/>
      <c r="H23" s="18"/>
      <c r="I23" s="18"/>
      <c r="J23" s="18"/>
      <c r="K23" s="18"/>
      <c r="L23" s="18"/>
      <c r="M23" s="18"/>
      <c r="N23" s="18"/>
    </row>
    <row r="24" spans="1:14">
      <c r="A24" s="83"/>
      <c r="D24" s="77"/>
      <c r="E24" s="26"/>
      <c r="I24" s="76"/>
      <c r="K24" s="76"/>
      <c r="L24" s="76"/>
      <c r="M24" s="76"/>
      <c r="N24" s="77" t="s">
        <v>148</v>
      </c>
    </row>
    <row r="25" spans="1:14">
      <c r="A25" s="83"/>
      <c r="D25" s="76"/>
      <c r="E25" s="26"/>
      <c r="H25" s="183"/>
      <c r="J25" s="78" t="s">
        <v>199</v>
      </c>
      <c r="L25" s="78" t="s">
        <v>142</v>
      </c>
      <c r="N25" s="77" t="s">
        <v>149</v>
      </c>
    </row>
    <row r="26" spans="1:14">
      <c r="A26" s="83"/>
      <c r="C26" s="7"/>
      <c r="D26" s="76" t="s">
        <v>123</v>
      </c>
      <c r="F26" s="76" t="s">
        <v>143</v>
      </c>
      <c r="H26" s="76" t="s">
        <v>144</v>
      </c>
      <c r="J26" s="76" t="s">
        <v>176</v>
      </c>
      <c r="L26" s="167" t="s">
        <v>29</v>
      </c>
      <c r="M26" s="77"/>
      <c r="N26" s="167" t="s">
        <v>150</v>
      </c>
    </row>
    <row r="27" spans="1:14">
      <c r="A27" s="83">
        <f>A22+1</f>
        <v>17</v>
      </c>
      <c r="B27" s="81" t="s">
        <v>30</v>
      </c>
      <c r="C27" s="82"/>
      <c r="D27" s="35"/>
      <c r="F27" s="35"/>
      <c r="H27" s="35"/>
      <c r="J27" s="35"/>
      <c r="N27" s="35"/>
    </row>
    <row r="28" spans="1:14" ht="13.5" customHeight="1">
      <c r="A28" s="83">
        <f t="shared" si="2"/>
        <v>18</v>
      </c>
      <c r="C28" s="484" t="s">
        <v>327</v>
      </c>
      <c r="D28" s="26">
        <v>7210024597.3100004</v>
      </c>
      <c r="E28" s="26"/>
      <c r="F28" s="26">
        <v>2260072707</v>
      </c>
      <c r="G28" s="26"/>
      <c r="H28" s="26">
        <v>3376119087</v>
      </c>
      <c r="I28" s="26"/>
      <c r="J28" s="26">
        <v>593912302</v>
      </c>
      <c r="K28" s="18"/>
      <c r="L28" s="26">
        <v>495888358</v>
      </c>
      <c r="M28" s="25"/>
      <c r="N28" s="25">
        <f>SUM(D28:L28)</f>
        <v>13936017051.310001</v>
      </c>
    </row>
    <row r="29" spans="1:14">
      <c r="A29" s="83">
        <f t="shared" si="2"/>
        <v>19</v>
      </c>
      <c r="C29" s="484" t="s">
        <v>791</v>
      </c>
      <c r="D29" s="26">
        <v>7197804573.8099995</v>
      </c>
      <c r="E29" s="26"/>
      <c r="F29" s="26">
        <v>2259045086.6800013</v>
      </c>
      <c r="G29" s="26"/>
      <c r="H29" s="26">
        <v>3381008427.3099995</v>
      </c>
      <c r="I29" s="26"/>
      <c r="J29" s="26">
        <v>598401098.21000004</v>
      </c>
      <c r="K29" s="18"/>
      <c r="L29" s="26">
        <v>497495320.1099999</v>
      </c>
      <c r="M29" s="105"/>
      <c r="N29" s="18">
        <f>SUM(D29:L29)</f>
        <v>13933754506.120003</v>
      </c>
    </row>
    <row r="30" spans="1:14">
      <c r="A30" s="83">
        <f t="shared" si="2"/>
        <v>20</v>
      </c>
      <c r="C30" s="84" t="s">
        <v>271</v>
      </c>
      <c r="D30" s="26">
        <v>7206858577.9399996</v>
      </c>
      <c r="E30" s="26"/>
      <c r="F30" s="26">
        <v>2257618289.2800012</v>
      </c>
      <c r="G30" s="26"/>
      <c r="H30" s="26">
        <v>3390905167.5999999</v>
      </c>
      <c r="I30" s="26"/>
      <c r="J30" s="26">
        <v>602439491.02999997</v>
      </c>
      <c r="K30" s="18"/>
      <c r="L30" s="26">
        <v>498979391.22000009</v>
      </c>
      <c r="M30" s="105"/>
      <c r="N30" s="18">
        <f t="shared" ref="N30:N40" si="4">SUM(D30:L30)</f>
        <v>13956800917.070002</v>
      </c>
    </row>
    <row r="31" spans="1:14">
      <c r="A31" s="83">
        <f t="shared" si="2"/>
        <v>21</v>
      </c>
      <c r="C31" s="84" t="s">
        <v>272</v>
      </c>
      <c r="D31" s="26">
        <v>7211777462.2600002</v>
      </c>
      <c r="E31" s="26"/>
      <c r="F31" s="26">
        <v>2287679708.8600025</v>
      </c>
      <c r="G31" s="26"/>
      <c r="H31" s="26">
        <v>3388074434.6299996</v>
      </c>
      <c r="I31" s="26"/>
      <c r="J31" s="26">
        <v>603093879.88999987</v>
      </c>
      <c r="K31" s="18"/>
      <c r="L31" s="26">
        <v>497468838.10999995</v>
      </c>
      <c r="M31" s="105"/>
      <c r="N31" s="18">
        <f t="shared" si="4"/>
        <v>13988094323.750002</v>
      </c>
    </row>
    <row r="32" spans="1:14">
      <c r="A32" s="83">
        <f t="shared" si="2"/>
        <v>22</v>
      </c>
      <c r="C32" s="84" t="s">
        <v>168</v>
      </c>
      <c r="D32" s="26">
        <v>7222079028.5900002</v>
      </c>
      <c r="E32" s="26"/>
      <c r="F32" s="26">
        <v>2603052938.5500021</v>
      </c>
      <c r="G32" s="26"/>
      <c r="H32" s="26">
        <v>3399195188.3199992</v>
      </c>
      <c r="I32" s="26"/>
      <c r="J32" s="26">
        <v>609875004.98000002</v>
      </c>
      <c r="K32" s="18"/>
      <c r="L32" s="26">
        <v>499472907.25000006</v>
      </c>
      <c r="M32" s="105"/>
      <c r="N32" s="18">
        <f t="shared" si="4"/>
        <v>14333675067.690002</v>
      </c>
    </row>
    <row r="33" spans="1:14">
      <c r="A33" s="83">
        <f t="shared" si="2"/>
        <v>23</v>
      </c>
      <c r="C33" s="84" t="s">
        <v>273</v>
      </c>
      <c r="D33" s="26">
        <v>7242919653.1999998</v>
      </c>
      <c r="E33" s="26"/>
      <c r="F33" s="26">
        <v>2644318077.8900013</v>
      </c>
      <c r="G33" s="26"/>
      <c r="H33" s="26">
        <v>3412343418.8799996</v>
      </c>
      <c r="I33" s="26"/>
      <c r="J33" s="26">
        <v>613788822.86999989</v>
      </c>
      <c r="K33" s="18"/>
      <c r="L33" s="26">
        <v>500971217.88999999</v>
      </c>
      <c r="M33" s="105"/>
      <c r="N33" s="18">
        <f t="shared" si="4"/>
        <v>14414341190.73</v>
      </c>
    </row>
    <row r="34" spans="1:14">
      <c r="A34" s="83">
        <f t="shared" si="2"/>
        <v>24</v>
      </c>
      <c r="C34" s="84" t="s">
        <v>274</v>
      </c>
      <c r="D34" s="26">
        <v>7228261925.999999</v>
      </c>
      <c r="E34" s="26"/>
      <c r="F34" s="26">
        <v>2674194954.9900017</v>
      </c>
      <c r="G34" s="26"/>
      <c r="H34" s="26">
        <v>3435052121.7999997</v>
      </c>
      <c r="I34" s="26"/>
      <c r="J34" s="26">
        <v>616411043.29999995</v>
      </c>
      <c r="K34" s="18"/>
      <c r="L34" s="26">
        <v>499301298.80000007</v>
      </c>
      <c r="M34" s="105"/>
      <c r="N34" s="18">
        <f t="shared" si="4"/>
        <v>14453221344.889999</v>
      </c>
    </row>
    <row r="35" spans="1:14">
      <c r="A35" s="83">
        <f t="shared" si="2"/>
        <v>25</v>
      </c>
      <c r="C35" s="84" t="s">
        <v>170</v>
      </c>
      <c r="D35" s="26">
        <v>7239829395.6800003</v>
      </c>
      <c r="E35" s="26"/>
      <c r="F35" s="26">
        <v>2694253890.440002</v>
      </c>
      <c r="G35" s="26"/>
      <c r="H35" s="26">
        <v>3456575048.8699999</v>
      </c>
      <c r="I35" s="26"/>
      <c r="J35" s="26">
        <v>618385886.32999992</v>
      </c>
      <c r="K35" s="18"/>
      <c r="L35" s="26">
        <v>500379727.71999991</v>
      </c>
      <c r="M35" s="105"/>
      <c r="N35" s="18">
        <f t="shared" si="4"/>
        <v>14509423949.040001</v>
      </c>
    </row>
    <row r="36" spans="1:14">
      <c r="A36" s="83">
        <f t="shared" si="2"/>
        <v>26</v>
      </c>
      <c r="C36" s="84" t="s">
        <v>275</v>
      </c>
      <c r="D36" s="26">
        <v>7262050489.9300003</v>
      </c>
      <c r="E36" s="26"/>
      <c r="F36" s="26">
        <v>2716221769.4400029</v>
      </c>
      <c r="G36" s="26"/>
      <c r="H36" s="26">
        <v>3472596652.0399995</v>
      </c>
      <c r="I36" s="26"/>
      <c r="J36" s="26">
        <v>620379997.18999994</v>
      </c>
      <c r="K36" s="18"/>
      <c r="L36" s="26">
        <v>505638114.89999992</v>
      </c>
      <c r="M36" s="105"/>
      <c r="N36" s="18">
        <f t="shared" si="4"/>
        <v>14576887023.500002</v>
      </c>
    </row>
    <row r="37" spans="1:14">
      <c r="A37" s="83">
        <f t="shared" si="2"/>
        <v>27</v>
      </c>
      <c r="C37" s="84" t="s">
        <v>276</v>
      </c>
      <c r="D37" s="26">
        <v>7273517585.6600008</v>
      </c>
      <c r="E37" s="26"/>
      <c r="F37" s="26">
        <v>2726137172.2800021</v>
      </c>
      <c r="G37" s="26"/>
      <c r="H37" s="26">
        <v>3483539417.8700004</v>
      </c>
      <c r="I37" s="26"/>
      <c r="J37" s="26">
        <v>626282550.61000013</v>
      </c>
      <c r="K37" s="18"/>
      <c r="L37" s="26">
        <v>502526293.40999991</v>
      </c>
      <c r="M37" s="105"/>
      <c r="N37" s="18">
        <f t="shared" si="4"/>
        <v>14612003019.830004</v>
      </c>
    </row>
    <row r="38" spans="1:14">
      <c r="A38" s="83">
        <f t="shared" si="2"/>
        <v>28</v>
      </c>
      <c r="C38" s="84" t="s">
        <v>277</v>
      </c>
      <c r="D38" s="26">
        <v>7284924378.4300003</v>
      </c>
      <c r="E38" s="26"/>
      <c r="F38" s="26">
        <v>2737904072.4900017</v>
      </c>
      <c r="G38" s="26"/>
      <c r="H38" s="26">
        <v>3494929497.1000004</v>
      </c>
      <c r="I38" s="26"/>
      <c r="J38" s="26">
        <v>662656574.66000009</v>
      </c>
      <c r="K38" s="18"/>
      <c r="L38" s="26">
        <v>510585378.81999993</v>
      </c>
      <c r="M38" s="105"/>
      <c r="N38" s="18">
        <f t="shared" si="4"/>
        <v>14690999901.500002</v>
      </c>
    </row>
    <row r="39" spans="1:14">
      <c r="A39" s="83">
        <f t="shared" si="2"/>
        <v>29</v>
      </c>
      <c r="C39" s="84" t="s">
        <v>278</v>
      </c>
      <c r="D39" s="26">
        <v>7304121631.0500011</v>
      </c>
      <c r="E39" s="26"/>
      <c r="F39" s="26">
        <v>2757665830.0500021</v>
      </c>
      <c r="G39" s="26"/>
      <c r="H39" s="26">
        <v>3497401813.5899997</v>
      </c>
      <c r="I39" s="26"/>
      <c r="J39" s="26">
        <v>658669328.81999993</v>
      </c>
      <c r="K39" s="18"/>
      <c r="L39" s="26">
        <v>539544885.43999994</v>
      </c>
      <c r="M39" s="105"/>
      <c r="N39" s="18">
        <f t="shared" si="4"/>
        <v>14757403488.950003</v>
      </c>
    </row>
    <row r="40" spans="1:14">
      <c r="A40" s="83">
        <f t="shared" si="2"/>
        <v>30</v>
      </c>
      <c r="C40" s="484" t="s">
        <v>792</v>
      </c>
      <c r="D40" s="26">
        <v>7367117720</v>
      </c>
      <c r="E40" s="26"/>
      <c r="F40" s="26">
        <v>2813732747</v>
      </c>
      <c r="G40" s="26"/>
      <c r="H40" s="26">
        <v>3535175393</v>
      </c>
      <c r="I40" s="26"/>
      <c r="J40" s="26">
        <v>688594947</v>
      </c>
      <c r="K40" s="18"/>
      <c r="L40" s="26">
        <v>559583714</v>
      </c>
      <c r="M40" s="105"/>
      <c r="N40" s="18">
        <f t="shared" si="4"/>
        <v>14964204521</v>
      </c>
    </row>
    <row r="41" spans="1:14">
      <c r="A41" s="83">
        <f t="shared" si="2"/>
        <v>31</v>
      </c>
      <c r="C41" s="84"/>
      <c r="D41" s="34"/>
      <c r="F41" s="34"/>
      <c r="H41" s="34"/>
      <c r="I41" s="18"/>
      <c r="J41" s="34"/>
      <c r="K41" s="18"/>
      <c r="L41" s="168"/>
      <c r="M41" s="105"/>
      <c r="N41" s="34"/>
    </row>
    <row r="42" spans="1:14" ht="13.5" thickBot="1">
      <c r="A42" s="83">
        <f t="shared" si="2"/>
        <v>32</v>
      </c>
      <c r="C42" s="176" t="s">
        <v>147</v>
      </c>
      <c r="D42" s="36">
        <f>SUM(D28:D40)/13</f>
        <v>7250099001.5276928</v>
      </c>
      <c r="F42" s="36">
        <f>SUM(F28:F40)/13</f>
        <v>2571684403.4576941</v>
      </c>
      <c r="H42" s="36">
        <f>SUM(H28:H40)/13</f>
        <v>3440224282.1546149</v>
      </c>
      <c r="I42" s="171"/>
      <c r="J42" s="36">
        <f>SUM(J28:J40)/13</f>
        <v>624068532.83769226</v>
      </c>
      <c r="K42" s="25"/>
      <c r="L42" s="36">
        <f>SUM(L28:L40)/13</f>
        <v>508295034.28230762</v>
      </c>
      <c r="M42" s="108"/>
      <c r="N42" s="36">
        <f>SUM(N28:N40)/13</f>
        <v>14394371254.260002</v>
      </c>
    </row>
    <row r="43" spans="1:14" ht="13.5" thickTop="1">
      <c r="A43" s="83"/>
      <c r="C43" s="7"/>
      <c r="D43" s="7"/>
      <c r="E43" s="7"/>
      <c r="F43" s="7"/>
      <c r="G43" s="7"/>
      <c r="H43" s="7"/>
      <c r="I43" s="7"/>
      <c r="J43" s="7"/>
      <c r="K43" s="7"/>
      <c r="L43" s="7"/>
      <c r="M43" s="7"/>
      <c r="N43" s="7"/>
    </row>
    <row r="44" spans="1:14">
      <c r="A44" s="83"/>
      <c r="C44" s="7"/>
      <c r="D44" s="77"/>
      <c r="E44" s="26"/>
      <c r="I44" s="76"/>
      <c r="K44" s="76"/>
      <c r="L44" s="76"/>
      <c r="M44" s="76"/>
      <c r="N44" s="77" t="s">
        <v>148</v>
      </c>
    </row>
    <row r="45" spans="1:14">
      <c r="A45" s="83"/>
      <c r="C45" s="7"/>
      <c r="D45" s="76"/>
      <c r="E45" s="26"/>
      <c r="H45" s="183"/>
      <c r="J45" s="78" t="s">
        <v>199</v>
      </c>
      <c r="L45" s="78" t="s">
        <v>142</v>
      </c>
      <c r="N45" s="77" t="s">
        <v>149</v>
      </c>
    </row>
    <row r="46" spans="1:14">
      <c r="A46" s="83"/>
      <c r="C46" s="7"/>
      <c r="D46" s="76" t="s">
        <v>123</v>
      </c>
      <c r="F46" s="76" t="s">
        <v>143</v>
      </c>
      <c r="H46" s="76" t="s">
        <v>144</v>
      </c>
      <c r="J46" s="76" t="s">
        <v>176</v>
      </c>
      <c r="L46" s="167" t="s">
        <v>29</v>
      </c>
      <c r="M46" s="77"/>
      <c r="N46" s="167" t="s">
        <v>150</v>
      </c>
    </row>
    <row r="47" spans="1:14">
      <c r="A47" s="83">
        <f>A42+1</f>
        <v>33</v>
      </c>
      <c r="B47" s="81" t="s">
        <v>31</v>
      </c>
      <c r="C47" s="82"/>
      <c r="D47" s="35"/>
      <c r="F47" s="35"/>
      <c r="H47" s="35"/>
      <c r="J47" s="35"/>
      <c r="N47" s="35"/>
    </row>
    <row r="48" spans="1:14">
      <c r="A48" s="83">
        <f t="shared" si="2"/>
        <v>34</v>
      </c>
      <c r="C48" s="484" t="s">
        <v>327</v>
      </c>
      <c r="D48" s="26">
        <v>446061593.64000005</v>
      </c>
      <c r="E48" s="26"/>
      <c r="F48" s="26">
        <v>630492660.79999995</v>
      </c>
      <c r="G48" s="26"/>
      <c r="H48" s="26">
        <v>733896597.35000002</v>
      </c>
      <c r="I48" s="26"/>
      <c r="J48" s="26">
        <v>87871343.980000004</v>
      </c>
      <c r="K48" s="18"/>
      <c r="L48" s="26">
        <v>104041835.00000001</v>
      </c>
      <c r="M48" s="25"/>
      <c r="N48" s="25">
        <f>SUM(D48:L48)</f>
        <v>2002364030.77</v>
      </c>
    </row>
    <row r="49" spans="1:14">
      <c r="A49" s="83">
        <f t="shared" si="2"/>
        <v>35</v>
      </c>
      <c r="C49" s="484" t="s">
        <v>791</v>
      </c>
      <c r="D49" s="26">
        <v>446464913.30000007</v>
      </c>
      <c r="E49" s="26"/>
      <c r="F49" s="26">
        <v>631221219.92000008</v>
      </c>
      <c r="G49" s="26"/>
      <c r="H49" s="26">
        <v>736153685.76000023</v>
      </c>
      <c r="I49" s="26"/>
      <c r="J49" s="26">
        <v>88367797.88000001</v>
      </c>
      <c r="K49" s="18"/>
      <c r="L49" s="26">
        <v>104415370.41</v>
      </c>
      <c r="M49" s="105"/>
      <c r="N49" s="18">
        <f>SUM(D49:L49)</f>
        <v>2006622987.2700007</v>
      </c>
    </row>
    <row r="50" spans="1:14">
      <c r="A50" s="83">
        <f t="shared" si="2"/>
        <v>36</v>
      </c>
      <c r="C50" s="84" t="s">
        <v>271</v>
      </c>
      <c r="D50" s="26">
        <v>446632832.25000006</v>
      </c>
      <c r="E50" s="26"/>
      <c r="F50" s="26">
        <v>632153468.94000006</v>
      </c>
      <c r="G50" s="26"/>
      <c r="H50" s="26">
        <v>738025316.55000007</v>
      </c>
      <c r="I50" s="26"/>
      <c r="J50" s="26">
        <v>88639521.379999995</v>
      </c>
      <c r="K50" s="18"/>
      <c r="L50" s="26">
        <v>107685864.12</v>
      </c>
      <c r="M50" s="105"/>
      <c r="N50" s="18">
        <f t="shared" ref="N50:N60" si="5">SUM(D50:L50)</f>
        <v>2013137003.2400002</v>
      </c>
    </row>
    <row r="51" spans="1:14">
      <c r="A51" s="83">
        <f t="shared" si="2"/>
        <v>37</v>
      </c>
      <c r="C51" s="84" t="s">
        <v>272</v>
      </c>
      <c r="D51" s="26">
        <v>446637986.71000004</v>
      </c>
      <c r="E51" s="26"/>
      <c r="F51" s="26">
        <v>652861032.66000009</v>
      </c>
      <c r="G51" s="26"/>
      <c r="H51" s="26">
        <v>741110200.22000003</v>
      </c>
      <c r="I51" s="26"/>
      <c r="J51" s="26">
        <v>88011541.620000005</v>
      </c>
      <c r="K51" s="18"/>
      <c r="L51" s="26">
        <v>105836824.15000002</v>
      </c>
      <c r="M51" s="105"/>
      <c r="N51" s="18">
        <f t="shared" si="5"/>
        <v>2034457585.3600001</v>
      </c>
    </row>
    <row r="52" spans="1:14">
      <c r="A52" s="83">
        <f t="shared" si="2"/>
        <v>38</v>
      </c>
      <c r="C52" s="84" t="s">
        <v>168</v>
      </c>
      <c r="D52" s="26">
        <v>447298946.35000008</v>
      </c>
      <c r="E52" s="26"/>
      <c r="F52" s="26">
        <v>657237678.16000009</v>
      </c>
      <c r="G52" s="26"/>
      <c r="H52" s="26">
        <v>745242633.67999995</v>
      </c>
      <c r="I52" s="26"/>
      <c r="J52" s="26">
        <v>89002960.070000008</v>
      </c>
      <c r="K52" s="18"/>
      <c r="L52" s="26">
        <v>105974995.12000002</v>
      </c>
      <c r="M52" s="105"/>
      <c r="N52" s="18">
        <f t="shared" si="5"/>
        <v>2044757213.3800001</v>
      </c>
    </row>
    <row r="53" spans="1:14">
      <c r="A53" s="83">
        <f t="shared" si="2"/>
        <v>39</v>
      </c>
      <c r="C53" s="84" t="s">
        <v>273</v>
      </c>
      <c r="D53" s="26">
        <v>447307412.0200001</v>
      </c>
      <c r="E53" s="26"/>
      <c r="F53" s="26">
        <v>672768950.56000006</v>
      </c>
      <c r="G53" s="26"/>
      <c r="H53" s="26">
        <v>748125045.0200001</v>
      </c>
      <c r="I53" s="26"/>
      <c r="J53" s="26">
        <v>90315818.090000004</v>
      </c>
      <c r="K53" s="18"/>
      <c r="L53" s="26">
        <v>106220313.85000002</v>
      </c>
      <c r="M53" s="105"/>
      <c r="N53" s="18">
        <f t="shared" si="5"/>
        <v>2064737539.5400004</v>
      </c>
    </row>
    <row r="54" spans="1:14">
      <c r="A54" s="83">
        <f t="shared" si="2"/>
        <v>40</v>
      </c>
      <c r="C54" s="84" t="s">
        <v>274</v>
      </c>
      <c r="D54" s="26">
        <v>446146148.40000004</v>
      </c>
      <c r="E54" s="26"/>
      <c r="F54" s="26">
        <v>679208349.33999991</v>
      </c>
      <c r="G54" s="26"/>
      <c r="H54" s="26">
        <v>752685482.58000004</v>
      </c>
      <c r="I54" s="26"/>
      <c r="J54" s="26">
        <v>91425547.960000008</v>
      </c>
      <c r="K54" s="18"/>
      <c r="L54" s="26">
        <v>105196240.88000003</v>
      </c>
      <c r="M54" s="105"/>
      <c r="N54" s="18">
        <f t="shared" si="5"/>
        <v>2074661769.1600003</v>
      </c>
    </row>
    <row r="55" spans="1:14">
      <c r="A55" s="83">
        <f t="shared" si="2"/>
        <v>41</v>
      </c>
      <c r="C55" s="84" t="s">
        <v>170</v>
      </c>
      <c r="D55" s="26">
        <v>446942708.61000001</v>
      </c>
      <c r="E55" s="26"/>
      <c r="F55" s="26">
        <v>680892720.79999995</v>
      </c>
      <c r="G55" s="26"/>
      <c r="H55" s="26">
        <v>759987463.54999983</v>
      </c>
      <c r="I55" s="26"/>
      <c r="J55" s="26">
        <v>92017160.540000021</v>
      </c>
      <c r="K55" s="18"/>
      <c r="L55" s="26">
        <v>105246889.07000002</v>
      </c>
      <c r="M55" s="105"/>
      <c r="N55" s="18">
        <f t="shared" si="5"/>
        <v>2085086942.5699995</v>
      </c>
    </row>
    <row r="56" spans="1:14">
      <c r="A56" s="83">
        <f t="shared" si="2"/>
        <v>42</v>
      </c>
      <c r="C56" s="84" t="s">
        <v>275</v>
      </c>
      <c r="D56" s="26">
        <v>447000679.01000005</v>
      </c>
      <c r="E56" s="26"/>
      <c r="F56" s="26">
        <v>681186198.53999996</v>
      </c>
      <c r="G56" s="26"/>
      <c r="H56" s="26">
        <v>762783728.88999999</v>
      </c>
      <c r="I56" s="26"/>
      <c r="J56" s="26">
        <v>92196436.970000014</v>
      </c>
      <c r="K56" s="18"/>
      <c r="L56" s="26">
        <v>106549410.02000004</v>
      </c>
      <c r="M56" s="105"/>
      <c r="N56" s="18">
        <f t="shared" si="5"/>
        <v>2089716453.4300001</v>
      </c>
    </row>
    <row r="57" spans="1:14">
      <c r="A57" s="83">
        <f t="shared" si="2"/>
        <v>43</v>
      </c>
      <c r="C57" s="84" t="s">
        <v>276</v>
      </c>
      <c r="D57" s="26">
        <v>447063596.68000001</v>
      </c>
      <c r="E57" s="26"/>
      <c r="F57" s="26">
        <v>681849494.32999992</v>
      </c>
      <c r="G57" s="26"/>
      <c r="H57" s="26">
        <v>766668490.13999999</v>
      </c>
      <c r="I57" s="26"/>
      <c r="J57" s="26">
        <v>92506033.310000002</v>
      </c>
      <c r="K57" s="18"/>
      <c r="L57" s="26">
        <v>106339337.88000003</v>
      </c>
      <c r="M57" s="105"/>
      <c r="N57" s="18">
        <f t="shared" si="5"/>
        <v>2094426952.3400002</v>
      </c>
    </row>
    <row r="58" spans="1:14">
      <c r="A58" s="83">
        <f t="shared" si="2"/>
        <v>44</v>
      </c>
      <c r="C58" s="84" t="s">
        <v>277</v>
      </c>
      <c r="D58" s="26">
        <v>447880620.89000005</v>
      </c>
      <c r="E58" s="26"/>
      <c r="F58" s="26">
        <v>698555884.85000002</v>
      </c>
      <c r="G58" s="26"/>
      <c r="H58" s="26">
        <v>770683116.91999984</v>
      </c>
      <c r="I58" s="26"/>
      <c r="J58" s="26">
        <v>92607382.780000001</v>
      </c>
      <c r="K58" s="18"/>
      <c r="L58" s="26">
        <v>107249985.37000002</v>
      </c>
      <c r="M58" s="105"/>
      <c r="N58" s="18">
        <f t="shared" si="5"/>
        <v>2116976990.8099999</v>
      </c>
    </row>
    <row r="59" spans="1:14">
      <c r="A59" s="83">
        <f t="shared" si="2"/>
        <v>45</v>
      </c>
      <c r="C59" s="84" t="s">
        <v>278</v>
      </c>
      <c r="D59" s="26">
        <v>448102146.31999999</v>
      </c>
      <c r="E59" s="26"/>
      <c r="F59" s="26">
        <v>702516099.77999997</v>
      </c>
      <c r="G59" s="26"/>
      <c r="H59" s="26">
        <v>773374559.24000001</v>
      </c>
      <c r="I59" s="26"/>
      <c r="J59" s="26">
        <v>92790588.829999998</v>
      </c>
      <c r="K59" s="18"/>
      <c r="L59" s="26">
        <v>111002855.57000001</v>
      </c>
      <c r="M59" s="105"/>
      <c r="N59" s="18">
        <f t="shared" si="5"/>
        <v>2127786249.7399998</v>
      </c>
    </row>
    <row r="60" spans="1:14">
      <c r="A60" s="83">
        <f t="shared" si="2"/>
        <v>46</v>
      </c>
      <c r="C60" s="484" t="s">
        <v>792</v>
      </c>
      <c r="D60" s="26">
        <v>452376826.81000012</v>
      </c>
      <c r="E60" s="26"/>
      <c r="F60" s="26">
        <v>718103983.55999994</v>
      </c>
      <c r="G60" s="26"/>
      <c r="H60" s="26">
        <v>779361972.48000002</v>
      </c>
      <c r="I60" s="26"/>
      <c r="J60" s="26">
        <v>96458553.439999998</v>
      </c>
      <c r="K60" s="18"/>
      <c r="L60" s="26">
        <v>117628160.89000002</v>
      </c>
      <c r="M60" s="105"/>
      <c r="N60" s="18">
        <f t="shared" si="5"/>
        <v>2163929497.1800003</v>
      </c>
    </row>
    <row r="61" spans="1:14">
      <c r="A61" s="83">
        <f t="shared" si="2"/>
        <v>47</v>
      </c>
      <c r="C61" s="84"/>
      <c r="D61" s="34"/>
      <c r="F61" s="34"/>
      <c r="H61" s="34"/>
      <c r="I61" s="18"/>
      <c r="J61" s="34"/>
      <c r="K61" s="18"/>
      <c r="L61" s="168"/>
      <c r="M61" s="105"/>
      <c r="N61" s="34"/>
    </row>
    <row r="62" spans="1:14" ht="13.5" thickBot="1">
      <c r="A62" s="83">
        <f t="shared" si="2"/>
        <v>48</v>
      </c>
      <c r="C62" s="176" t="s">
        <v>147</v>
      </c>
      <c r="D62" s="36">
        <f>SUM(D48:D60)/13</f>
        <v>447378185.4607693</v>
      </c>
      <c r="F62" s="36">
        <f>SUM(F48:F60)/13</f>
        <v>670695980.17230773</v>
      </c>
      <c r="G62" s="72"/>
      <c r="H62" s="36">
        <f>SUM(H48:H60)/13</f>
        <v>754469099.41384625</v>
      </c>
      <c r="I62" s="171"/>
      <c r="J62" s="36">
        <f>SUM(J48:J60)/13</f>
        <v>90939283.603846148</v>
      </c>
      <c r="K62" s="25"/>
      <c r="L62" s="36">
        <f>SUM(L48:L60)/13</f>
        <v>107183698.64076924</v>
      </c>
      <c r="M62" s="108"/>
      <c r="N62" s="36">
        <f>SUM(N48:N60)/13</f>
        <v>2070666247.2915385</v>
      </c>
    </row>
    <row r="63" spans="1:14" ht="13.5" thickTop="1"/>
    <row r="65" spans="1:12">
      <c r="A65" s="83">
        <f>A62+1</f>
        <v>49</v>
      </c>
      <c r="C65" s="81" t="s">
        <v>30</v>
      </c>
    </row>
    <row r="66" spans="1:12">
      <c r="A66" s="83">
        <f>A65+1</f>
        <v>50</v>
      </c>
      <c r="C66" s="484" t="s">
        <v>329</v>
      </c>
      <c r="D66" s="4">
        <v>7425982697</v>
      </c>
      <c r="F66" s="4">
        <v>2260246136</v>
      </c>
      <c r="H66" s="4">
        <v>3379693536</v>
      </c>
      <c r="J66" s="4">
        <f>256248348+337663954</f>
        <v>593912302</v>
      </c>
      <c r="L66" s="4">
        <v>493906163</v>
      </c>
    </row>
    <row r="67" spans="1:12">
      <c r="A67" s="83">
        <f t="shared" ref="A67:A81" si="6">A66+1</f>
        <v>51</v>
      </c>
      <c r="C67" s="4" t="s">
        <v>332</v>
      </c>
      <c r="D67" s="41">
        <f>28727672+159306083+132561+27791784</f>
        <v>215958100</v>
      </c>
      <c r="F67" s="41">
        <v>173429</v>
      </c>
      <c r="H67" s="41">
        <v>3574449</v>
      </c>
      <c r="J67" s="41">
        <v>0</v>
      </c>
      <c r="L67" s="42">
        <v>-1982195</v>
      </c>
    </row>
    <row r="68" spans="1:12">
      <c r="A68" s="83">
        <f t="shared" si="6"/>
        <v>52</v>
      </c>
      <c r="C68" s="485" t="s">
        <v>330</v>
      </c>
      <c r="D68" s="4">
        <f>D66-D67</f>
        <v>7210024597</v>
      </c>
      <c r="F68" s="4">
        <f>F66-F67</f>
        <v>2260072707</v>
      </c>
      <c r="H68" s="4">
        <f>H66-H67</f>
        <v>3376119087</v>
      </c>
      <c r="J68" s="4">
        <f>J66-J67</f>
        <v>593912302</v>
      </c>
      <c r="L68" s="4">
        <f>L66-L67</f>
        <v>495888358</v>
      </c>
    </row>
    <row r="69" spans="1:12">
      <c r="A69" s="83">
        <f t="shared" si="6"/>
        <v>53</v>
      </c>
    </row>
    <row r="70" spans="1:12">
      <c r="A70" s="83">
        <f t="shared" si="6"/>
        <v>54</v>
      </c>
      <c r="C70" s="484" t="s">
        <v>793</v>
      </c>
      <c r="D70" s="4">
        <v>7920289112</v>
      </c>
      <c r="F70" s="4">
        <v>2813906176</v>
      </c>
      <c r="H70" s="4">
        <v>3538749842</v>
      </c>
      <c r="J70" s="4">
        <v>688594947</v>
      </c>
      <c r="L70" s="4">
        <v>557623110</v>
      </c>
    </row>
    <row r="71" spans="1:12">
      <c r="A71" s="83">
        <f t="shared" si="6"/>
        <v>55</v>
      </c>
      <c r="C71" s="4" t="s">
        <v>332</v>
      </c>
      <c r="D71" s="41">
        <v>553171392</v>
      </c>
      <c r="F71" s="41">
        <v>173429</v>
      </c>
      <c r="H71" s="41">
        <v>3574449</v>
      </c>
      <c r="J71" s="41">
        <v>0</v>
      </c>
      <c r="L71" s="42">
        <v>-1960604</v>
      </c>
    </row>
    <row r="72" spans="1:12">
      <c r="A72" s="83">
        <f t="shared" si="6"/>
        <v>56</v>
      </c>
      <c r="C72" s="485" t="s">
        <v>794</v>
      </c>
      <c r="D72" s="4">
        <f>D70-D71</f>
        <v>7367117720</v>
      </c>
      <c r="F72" s="4">
        <f>F70-F71</f>
        <v>2813732747</v>
      </c>
      <c r="H72" s="4">
        <f>H70-H71</f>
        <v>3535175393</v>
      </c>
      <c r="J72" s="4">
        <f>J70-J71</f>
        <v>688594947</v>
      </c>
      <c r="L72" s="4">
        <f>L70-L71</f>
        <v>559583714</v>
      </c>
    </row>
    <row r="73" spans="1:12">
      <c r="A73" s="83">
        <f t="shared" si="6"/>
        <v>57</v>
      </c>
    </row>
    <row r="74" spans="1:12">
      <c r="A74" s="83">
        <f t="shared" si="6"/>
        <v>58</v>
      </c>
      <c r="C74" s="81" t="s">
        <v>331</v>
      </c>
    </row>
    <row r="75" spans="1:12">
      <c r="A75" s="83">
        <f t="shared" si="6"/>
        <v>59</v>
      </c>
      <c r="C75" s="484" t="s">
        <v>329</v>
      </c>
      <c r="D75" s="4">
        <v>448645536.25</v>
      </c>
      <c r="F75" s="4">
        <v>630518942.25</v>
      </c>
      <c r="H75" s="4">
        <v>733866069.25</v>
      </c>
      <c r="J75" s="4">
        <f>11291254+76580090</f>
        <v>87871344</v>
      </c>
      <c r="L75" s="4">
        <v>104129032.75</v>
      </c>
    </row>
    <row r="76" spans="1:12">
      <c r="A76" s="83">
        <f t="shared" si="6"/>
        <v>60</v>
      </c>
      <c r="C76" s="4" t="s">
        <v>332</v>
      </c>
      <c r="D76" s="41">
        <f>2554671+29271.75</f>
        <v>2583942.75</v>
      </c>
      <c r="F76" s="41">
        <v>26281.75</v>
      </c>
      <c r="H76" s="42">
        <v>-30527.25</v>
      </c>
      <c r="J76" s="41">
        <v>0</v>
      </c>
      <c r="L76" s="42">
        <v>87197.3</v>
      </c>
    </row>
    <row r="77" spans="1:12">
      <c r="A77" s="83">
        <f t="shared" si="6"/>
        <v>61</v>
      </c>
      <c r="C77" s="485" t="s">
        <v>330</v>
      </c>
      <c r="D77" s="4">
        <f>D75-D76</f>
        <v>446061593.5</v>
      </c>
      <c r="F77" s="4">
        <f>F75-F76</f>
        <v>630492660.5</v>
      </c>
      <c r="H77" s="4">
        <f>H75-H76</f>
        <v>733896596.5</v>
      </c>
      <c r="J77" s="4">
        <f>J75-J76</f>
        <v>87871344</v>
      </c>
      <c r="L77" s="4">
        <f>L75-L76</f>
        <v>104041835.45</v>
      </c>
    </row>
    <row r="78" spans="1:12">
      <c r="A78" s="83">
        <f t="shared" si="6"/>
        <v>62</v>
      </c>
    </row>
    <row r="79" spans="1:12">
      <c r="A79" s="83">
        <f t="shared" si="6"/>
        <v>63</v>
      </c>
      <c r="C79" s="484" t="s">
        <v>793</v>
      </c>
      <c r="D79" s="4">
        <v>455073786</v>
      </c>
      <c r="F79" s="4">
        <v>718130265.56999993</v>
      </c>
      <c r="H79" s="4">
        <v>779331444.40999997</v>
      </c>
      <c r="J79" s="4">
        <v>96458553.439999998</v>
      </c>
      <c r="L79" s="4">
        <v>117716379.89000002</v>
      </c>
    </row>
    <row r="80" spans="1:12">
      <c r="A80" s="83">
        <f t="shared" si="6"/>
        <v>64</v>
      </c>
      <c r="C80" s="4" t="s">
        <v>332</v>
      </c>
      <c r="D80" s="41">
        <v>2696958.58</v>
      </c>
      <c r="F80" s="41">
        <v>26282.01</v>
      </c>
      <c r="H80" s="42">
        <v>-30528.07</v>
      </c>
      <c r="J80" s="41">
        <v>0</v>
      </c>
      <c r="L80" s="42">
        <v>88219</v>
      </c>
    </row>
    <row r="81" spans="1:12">
      <c r="A81" s="83">
        <f t="shared" si="6"/>
        <v>65</v>
      </c>
      <c r="C81" s="485" t="s">
        <v>794</v>
      </c>
      <c r="D81" s="4">
        <f>D79-D80</f>
        <v>452376827.42000002</v>
      </c>
      <c r="F81" s="4">
        <f>F79-F80</f>
        <v>718103983.55999994</v>
      </c>
      <c r="H81" s="4">
        <f>H79-H80</f>
        <v>779361972.48000002</v>
      </c>
      <c r="J81" s="4">
        <f>J79-J80</f>
        <v>96458553.439999998</v>
      </c>
      <c r="L81" s="235">
        <f>L79-L80</f>
        <v>117628160.89000002</v>
      </c>
    </row>
  </sheetData>
  <phoneticPr fontId="10" type="noConversion"/>
  <printOptions horizontalCentered="1"/>
  <pageMargins left="0.75" right="0.25" top="0.75" bottom="0.4" header="0" footer="0.25"/>
  <pageSetup scale="63" orientation="portrait" r:id="rId1"/>
  <headerFooter alignWithMargins="0">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autoPageBreaks="0" fitToPage="1"/>
  </sheetPr>
  <dimension ref="A1:P83"/>
  <sheetViews>
    <sheetView showGridLines="0" topLeftCell="A43" zoomScaleNormal="75" workbookViewId="0">
      <selection activeCell="A4" sqref="A4"/>
    </sheetView>
  </sheetViews>
  <sheetFormatPr defaultColWidth="14.44140625" defaultRowHeight="12.75"/>
  <cols>
    <col min="1" max="1" width="5" style="74" customWidth="1"/>
    <col min="2" max="2" width="3" style="4" customWidth="1"/>
    <col min="3" max="3" width="26.77734375" style="4" customWidth="1"/>
    <col min="4" max="4" width="14" style="4" customWidth="1"/>
    <col min="5" max="5" width="0.88671875" style="4" customWidth="1"/>
    <col min="6" max="6" width="14" style="4" customWidth="1"/>
    <col min="7" max="7" width="0.88671875" style="4" customWidth="1"/>
    <col min="8" max="8" width="14" style="4" customWidth="1"/>
    <col min="9" max="9" width="0.88671875" style="4" customWidth="1"/>
    <col min="10" max="10" width="12.88671875" style="4" customWidth="1"/>
    <col min="11" max="11" width="0.88671875" style="4" customWidth="1"/>
    <col min="12" max="12" width="14" style="4" customWidth="1"/>
    <col min="13" max="13" width="0.77734375" style="4" customWidth="1"/>
    <col min="14" max="14" width="14.44140625" style="4" bestFit="1" customWidth="1"/>
    <col min="15" max="15" width="14.44140625" style="4"/>
    <col min="16" max="16" width="4.77734375" style="74" customWidth="1"/>
    <col min="17" max="16384" width="14.44140625" style="4"/>
  </cols>
  <sheetData>
    <row r="1" spans="1:16">
      <c r="A1" s="71" t="s">
        <v>27</v>
      </c>
      <c r="B1" s="72"/>
      <c r="C1" s="72"/>
      <c r="D1" s="72"/>
      <c r="E1" s="72"/>
      <c r="F1" s="72"/>
      <c r="G1" s="72"/>
      <c r="H1" s="72"/>
      <c r="I1" s="72"/>
      <c r="J1" s="72"/>
      <c r="K1" s="72"/>
      <c r="L1" s="72"/>
      <c r="M1" s="72"/>
      <c r="N1" s="482" t="s">
        <v>789</v>
      </c>
      <c r="P1" s="71"/>
    </row>
    <row r="2" spans="1:16">
      <c r="A2" s="71" t="s">
        <v>32</v>
      </c>
      <c r="B2" s="72"/>
      <c r="C2" s="72"/>
      <c r="D2" s="72"/>
      <c r="E2" s="72"/>
      <c r="F2" s="72"/>
      <c r="G2" s="72"/>
      <c r="H2" s="72"/>
      <c r="I2" s="72"/>
      <c r="J2" s="72"/>
      <c r="K2" s="72"/>
      <c r="L2" s="72"/>
      <c r="M2" s="72"/>
      <c r="N2" s="73"/>
      <c r="P2" s="71"/>
    </row>
    <row r="3" spans="1:16">
      <c r="A3" s="483" t="s">
        <v>790</v>
      </c>
      <c r="B3" s="72"/>
      <c r="C3" s="72"/>
      <c r="D3" s="72"/>
      <c r="E3" s="72"/>
      <c r="F3" s="72"/>
      <c r="G3" s="72"/>
      <c r="H3" s="72"/>
      <c r="I3" s="72"/>
      <c r="J3" s="72"/>
      <c r="K3" s="72"/>
      <c r="L3" s="72"/>
      <c r="M3" s="72"/>
      <c r="N3" s="77" t="s">
        <v>148</v>
      </c>
      <c r="P3" s="71"/>
    </row>
    <row r="4" spans="1:16">
      <c r="A4" s="503" t="s">
        <v>269</v>
      </c>
      <c r="D4" s="77"/>
      <c r="E4" s="26"/>
      <c r="I4" s="76"/>
      <c r="K4" s="76"/>
      <c r="L4" s="76"/>
      <c r="M4" s="76"/>
      <c r="N4" s="77" t="s">
        <v>33</v>
      </c>
      <c r="P4" s="71"/>
    </row>
    <row r="5" spans="1:16">
      <c r="A5" s="74" t="s">
        <v>165</v>
      </c>
      <c r="D5" s="76"/>
      <c r="E5" s="26"/>
      <c r="H5" s="183"/>
      <c r="J5" s="78" t="s">
        <v>200</v>
      </c>
      <c r="L5" s="78" t="s">
        <v>142</v>
      </c>
      <c r="N5" s="77" t="s">
        <v>125</v>
      </c>
      <c r="P5" s="71"/>
    </row>
    <row r="6" spans="1:16">
      <c r="A6" s="79" t="s">
        <v>141</v>
      </c>
      <c r="D6" s="76" t="s">
        <v>123</v>
      </c>
      <c r="F6" s="76" t="s">
        <v>143</v>
      </c>
      <c r="H6" s="76" t="s">
        <v>144</v>
      </c>
      <c r="J6" s="76" t="s">
        <v>176</v>
      </c>
      <c r="L6" s="167" t="s">
        <v>29</v>
      </c>
      <c r="M6" s="77"/>
      <c r="N6" s="167" t="s">
        <v>126</v>
      </c>
      <c r="P6" s="71"/>
    </row>
    <row r="7" spans="1:16">
      <c r="A7" s="80" t="s">
        <v>145</v>
      </c>
      <c r="B7" s="81" t="s">
        <v>28</v>
      </c>
      <c r="C7" s="82"/>
      <c r="D7" s="35"/>
      <c r="F7" s="35"/>
      <c r="H7" s="35"/>
      <c r="J7" s="35"/>
      <c r="N7" s="35"/>
      <c r="P7" s="71"/>
    </row>
    <row r="8" spans="1:16">
      <c r="A8" s="83">
        <f t="shared" ref="A8:A38" si="0">+A7+1</f>
        <v>2</v>
      </c>
      <c r="C8" s="484" t="s">
        <v>327</v>
      </c>
      <c r="D8" s="25">
        <f t="shared" ref="D8:D20" si="1">+D29+D50</f>
        <v>3376471881.6609998</v>
      </c>
      <c r="E8" s="26"/>
      <c r="F8" s="25">
        <f t="shared" ref="F8:L20" si="2">+F29+F50</f>
        <v>879821606.03609991</v>
      </c>
      <c r="G8" s="25">
        <f t="shared" si="2"/>
        <v>0</v>
      </c>
      <c r="H8" s="25">
        <f t="shared" si="2"/>
        <v>1715016130.1701</v>
      </c>
      <c r="I8" s="25">
        <f t="shared" si="2"/>
        <v>0</v>
      </c>
      <c r="J8" s="25">
        <f t="shared" si="2"/>
        <v>217019896.25840002</v>
      </c>
      <c r="K8" s="25">
        <f t="shared" si="2"/>
        <v>0</v>
      </c>
      <c r="L8" s="25">
        <f t="shared" si="2"/>
        <v>305707979.36019999</v>
      </c>
      <c r="M8" s="25"/>
      <c r="N8" s="25">
        <f t="shared" ref="N8:N20" si="3">SUM(D8:L8)</f>
        <v>6494037493.4857998</v>
      </c>
      <c r="P8" s="71"/>
    </row>
    <row r="9" spans="1:16">
      <c r="A9" s="83">
        <f t="shared" si="0"/>
        <v>3</v>
      </c>
      <c r="C9" s="484" t="s">
        <v>791</v>
      </c>
      <c r="D9" s="26">
        <f t="shared" si="1"/>
        <v>3383195648.1139054</v>
      </c>
      <c r="E9" s="26"/>
      <c r="F9" s="26">
        <f t="shared" si="2"/>
        <v>883844345.62985587</v>
      </c>
      <c r="G9" s="26">
        <f t="shared" si="2"/>
        <v>0</v>
      </c>
      <c r="H9" s="26">
        <f t="shared" si="2"/>
        <v>1722420452.9620838</v>
      </c>
      <c r="I9" s="26">
        <f t="shared" si="2"/>
        <v>0</v>
      </c>
      <c r="J9" s="26">
        <f t="shared" si="2"/>
        <v>220021764.99097747</v>
      </c>
      <c r="K9" s="26">
        <f t="shared" si="2"/>
        <v>0</v>
      </c>
      <c r="L9" s="26">
        <f t="shared" si="2"/>
        <v>309729401.99096847</v>
      </c>
      <c r="M9" s="105"/>
      <c r="N9" s="18">
        <f t="shared" si="3"/>
        <v>6519211613.6877909</v>
      </c>
      <c r="P9" s="71"/>
    </row>
    <row r="10" spans="1:16">
      <c r="A10" s="83">
        <f t="shared" si="0"/>
        <v>4</v>
      </c>
      <c r="C10" s="84" t="s">
        <v>271</v>
      </c>
      <c r="D10" s="26">
        <f t="shared" si="1"/>
        <v>3404420764.2981362</v>
      </c>
      <c r="E10" s="26"/>
      <c r="F10" s="26">
        <f t="shared" si="2"/>
        <v>888399278.6218009</v>
      </c>
      <c r="G10" s="26">
        <f t="shared" si="2"/>
        <v>0</v>
      </c>
      <c r="H10" s="26">
        <f t="shared" si="2"/>
        <v>1730423752.2279165</v>
      </c>
      <c r="I10" s="26">
        <f t="shared" si="2"/>
        <v>0</v>
      </c>
      <c r="J10" s="26">
        <f t="shared" si="2"/>
        <v>223989589.36072865</v>
      </c>
      <c r="K10" s="26">
        <f t="shared" si="2"/>
        <v>0</v>
      </c>
      <c r="L10" s="26">
        <f t="shared" si="2"/>
        <v>313677868.59656197</v>
      </c>
      <c r="M10" s="105"/>
      <c r="N10" s="18">
        <f t="shared" si="3"/>
        <v>6560911253.1051445</v>
      </c>
      <c r="P10" s="83"/>
    </row>
    <row r="11" spans="1:16">
      <c r="A11" s="83">
        <f t="shared" si="0"/>
        <v>5</v>
      </c>
      <c r="C11" s="84" t="s">
        <v>272</v>
      </c>
      <c r="D11" s="26">
        <f t="shared" si="1"/>
        <v>3422783942.9096737</v>
      </c>
      <c r="E11" s="26"/>
      <c r="F11" s="26">
        <f t="shared" si="2"/>
        <v>892315247.39791012</v>
      </c>
      <c r="G11" s="26">
        <f t="shared" si="2"/>
        <v>0</v>
      </c>
      <c r="H11" s="26">
        <f t="shared" si="2"/>
        <v>1728114851.2862508</v>
      </c>
      <c r="I11" s="26">
        <f t="shared" si="2"/>
        <v>0</v>
      </c>
      <c r="J11" s="26">
        <f t="shared" si="2"/>
        <v>225348728.1512264</v>
      </c>
      <c r="K11" s="26">
        <f t="shared" si="2"/>
        <v>0</v>
      </c>
      <c r="L11" s="26">
        <f t="shared" si="2"/>
        <v>309758133.89537609</v>
      </c>
      <c r="M11" s="105"/>
      <c r="N11" s="18">
        <f t="shared" si="3"/>
        <v>6578320903.6404371</v>
      </c>
      <c r="P11" s="83"/>
    </row>
    <row r="12" spans="1:16">
      <c r="A12" s="83">
        <f t="shared" si="0"/>
        <v>6</v>
      </c>
      <c r="C12" s="84" t="s">
        <v>168</v>
      </c>
      <c r="D12" s="26">
        <f t="shared" si="1"/>
        <v>3443040718.4199996</v>
      </c>
      <c r="E12" s="26"/>
      <c r="F12" s="26">
        <f t="shared" si="2"/>
        <v>896544533.6099993</v>
      </c>
      <c r="G12" s="26">
        <f t="shared" si="2"/>
        <v>0</v>
      </c>
      <c r="H12" s="26">
        <f t="shared" si="2"/>
        <v>1737530012.6000004</v>
      </c>
      <c r="I12" s="26">
        <f t="shared" si="2"/>
        <v>0</v>
      </c>
      <c r="J12" s="26">
        <f t="shared" si="2"/>
        <v>229384000.17999995</v>
      </c>
      <c r="K12" s="26">
        <f t="shared" si="2"/>
        <v>0</v>
      </c>
      <c r="L12" s="26">
        <f t="shared" si="2"/>
        <v>313896466.09000003</v>
      </c>
      <c r="M12" s="105"/>
      <c r="N12" s="18">
        <f t="shared" si="3"/>
        <v>6620395730.8999996</v>
      </c>
      <c r="P12" s="83"/>
    </row>
    <row r="13" spans="1:16">
      <c r="A13" s="83">
        <f t="shared" si="0"/>
        <v>7</v>
      </c>
      <c r="C13" s="84" t="s">
        <v>273</v>
      </c>
      <c r="D13" s="26">
        <f t="shared" si="1"/>
        <v>3464182841.6100001</v>
      </c>
      <c r="E13" s="26"/>
      <c r="F13" s="26">
        <f t="shared" si="2"/>
        <v>901695489.3599999</v>
      </c>
      <c r="G13" s="26">
        <f t="shared" si="2"/>
        <v>0</v>
      </c>
      <c r="H13" s="26">
        <f t="shared" si="2"/>
        <v>1746810699.3699989</v>
      </c>
      <c r="I13" s="26">
        <f t="shared" si="2"/>
        <v>0</v>
      </c>
      <c r="J13" s="26">
        <f t="shared" si="2"/>
        <v>233416357.03000015</v>
      </c>
      <c r="K13" s="26">
        <f t="shared" si="2"/>
        <v>0</v>
      </c>
      <c r="L13" s="26">
        <f t="shared" si="2"/>
        <v>317982452.17999983</v>
      </c>
      <c r="M13" s="105"/>
      <c r="N13" s="18">
        <f t="shared" si="3"/>
        <v>6664087839.5499992</v>
      </c>
      <c r="P13" s="83"/>
    </row>
    <row r="14" spans="1:16">
      <c r="A14" s="83">
        <f t="shared" si="0"/>
        <v>8</v>
      </c>
      <c r="C14" s="84" t="s">
        <v>274</v>
      </c>
      <c r="D14" s="26">
        <f t="shared" si="1"/>
        <v>3455709613.9499998</v>
      </c>
      <c r="E14" s="26"/>
      <c r="F14" s="26">
        <f t="shared" si="2"/>
        <v>906409909.19999981</v>
      </c>
      <c r="G14" s="26">
        <f t="shared" si="2"/>
        <v>0</v>
      </c>
      <c r="H14" s="26">
        <f t="shared" si="2"/>
        <v>1752070132.8900001</v>
      </c>
      <c r="I14" s="26">
        <f t="shared" si="2"/>
        <v>0</v>
      </c>
      <c r="J14" s="26">
        <f t="shared" si="2"/>
        <v>235807235.00000006</v>
      </c>
      <c r="K14" s="26">
        <f t="shared" si="2"/>
        <v>0</v>
      </c>
      <c r="L14" s="26">
        <f t="shared" si="2"/>
        <v>317708130.00999999</v>
      </c>
      <c r="M14" s="105"/>
      <c r="N14" s="18">
        <f t="shared" si="3"/>
        <v>6667705021.0500002</v>
      </c>
      <c r="P14" s="83"/>
    </row>
    <row r="15" spans="1:16">
      <c r="A15" s="83">
        <f t="shared" si="0"/>
        <v>9</v>
      </c>
      <c r="C15" s="84" t="s">
        <v>170</v>
      </c>
      <c r="D15" s="26">
        <f t="shared" si="1"/>
        <v>3476941128.1911802</v>
      </c>
      <c r="E15" s="26"/>
      <c r="F15" s="26">
        <f t="shared" si="2"/>
        <v>911809342.56999993</v>
      </c>
      <c r="G15" s="26">
        <f t="shared" si="2"/>
        <v>0</v>
      </c>
      <c r="H15" s="26">
        <f t="shared" si="2"/>
        <v>1761562507.2499995</v>
      </c>
      <c r="I15" s="26">
        <f t="shared" si="2"/>
        <v>0</v>
      </c>
      <c r="J15" s="26">
        <f t="shared" si="2"/>
        <v>239970473.46999997</v>
      </c>
      <c r="K15" s="26">
        <f t="shared" si="2"/>
        <v>0</v>
      </c>
      <c r="L15" s="26">
        <f t="shared" si="2"/>
        <v>321891960.24000001</v>
      </c>
      <c r="M15" s="105"/>
      <c r="N15" s="18">
        <f t="shared" si="3"/>
        <v>6712175411.721179</v>
      </c>
      <c r="P15" s="83"/>
    </row>
    <row r="16" spans="1:16">
      <c r="A16" s="83">
        <f t="shared" si="0"/>
        <v>10</v>
      </c>
      <c r="C16" s="84" t="s">
        <v>275</v>
      </c>
      <c r="D16" s="26">
        <f t="shared" si="1"/>
        <v>3498283012.9288621</v>
      </c>
      <c r="E16" s="26"/>
      <c r="F16" s="26">
        <f t="shared" si="2"/>
        <v>917094929.0800004</v>
      </c>
      <c r="G16" s="26">
        <f t="shared" si="2"/>
        <v>0</v>
      </c>
      <c r="H16" s="26">
        <f t="shared" si="2"/>
        <v>1771437356.97</v>
      </c>
      <c r="I16" s="26">
        <f t="shared" si="2"/>
        <v>0</v>
      </c>
      <c r="J16" s="26">
        <f t="shared" si="2"/>
        <v>244128635.12000012</v>
      </c>
      <c r="K16" s="26">
        <f t="shared" si="2"/>
        <v>0</v>
      </c>
      <c r="L16" s="26">
        <f t="shared" si="2"/>
        <v>326358630.13999999</v>
      </c>
      <c r="M16" s="105"/>
      <c r="N16" s="18">
        <f t="shared" si="3"/>
        <v>6757302564.238863</v>
      </c>
      <c r="P16" s="83"/>
    </row>
    <row r="17" spans="1:16">
      <c r="A17" s="83">
        <f t="shared" si="0"/>
        <v>11</v>
      </c>
      <c r="C17" s="84" t="s">
        <v>276</v>
      </c>
      <c r="D17" s="26">
        <f t="shared" si="1"/>
        <v>3513260392.3299994</v>
      </c>
      <c r="E17" s="26"/>
      <c r="F17" s="26">
        <f t="shared" si="2"/>
        <v>922486980.77000034</v>
      </c>
      <c r="G17" s="26">
        <f t="shared" si="2"/>
        <v>0</v>
      </c>
      <c r="H17" s="26">
        <f t="shared" si="2"/>
        <v>1775963935.9400001</v>
      </c>
      <c r="I17" s="26">
        <f t="shared" si="2"/>
        <v>0</v>
      </c>
      <c r="J17" s="26">
        <f t="shared" si="2"/>
        <v>246229945.4199999</v>
      </c>
      <c r="K17" s="26">
        <f t="shared" si="2"/>
        <v>0</v>
      </c>
      <c r="L17" s="26">
        <f t="shared" si="2"/>
        <v>326339646.12000012</v>
      </c>
      <c r="M17" s="105"/>
      <c r="N17" s="18">
        <f t="shared" si="3"/>
        <v>6784280900.579999</v>
      </c>
      <c r="P17" s="83"/>
    </row>
    <row r="18" spans="1:16">
      <c r="A18" s="83">
        <f t="shared" si="0"/>
        <v>12</v>
      </c>
      <c r="C18" s="84" t="s">
        <v>277</v>
      </c>
      <c r="D18" s="26">
        <f t="shared" si="1"/>
        <v>3534350049.7999997</v>
      </c>
      <c r="E18" s="26"/>
      <c r="F18" s="26">
        <f t="shared" si="2"/>
        <v>928289470.38000083</v>
      </c>
      <c r="G18" s="26">
        <f t="shared" si="2"/>
        <v>0</v>
      </c>
      <c r="H18" s="26">
        <f t="shared" si="2"/>
        <v>1783316728.7799995</v>
      </c>
      <c r="I18" s="26">
        <f t="shared" si="2"/>
        <v>0</v>
      </c>
      <c r="J18" s="26">
        <f t="shared" si="2"/>
        <v>250513001.78999996</v>
      </c>
      <c r="K18" s="26">
        <f t="shared" si="2"/>
        <v>0</v>
      </c>
      <c r="L18" s="26">
        <f t="shared" si="2"/>
        <v>330728129.96999997</v>
      </c>
      <c r="M18" s="105"/>
      <c r="N18" s="18">
        <f t="shared" si="3"/>
        <v>6827197380.7200003</v>
      </c>
      <c r="P18" s="83"/>
    </row>
    <row r="19" spans="1:16">
      <c r="A19" s="83">
        <f t="shared" si="0"/>
        <v>13</v>
      </c>
      <c r="C19" s="84" t="s">
        <v>278</v>
      </c>
      <c r="D19" s="26">
        <f t="shared" si="1"/>
        <v>3546122935.9699998</v>
      </c>
      <c r="E19" s="26"/>
      <c r="F19" s="26">
        <f t="shared" si="2"/>
        <v>933642409.45999944</v>
      </c>
      <c r="G19" s="26">
        <f t="shared" si="2"/>
        <v>0</v>
      </c>
      <c r="H19" s="26">
        <f t="shared" si="2"/>
        <v>1779091955.4400005</v>
      </c>
      <c r="I19" s="26">
        <f t="shared" si="2"/>
        <v>0</v>
      </c>
      <c r="J19" s="26">
        <f t="shared" si="2"/>
        <v>255075844.25000009</v>
      </c>
      <c r="K19" s="26">
        <f t="shared" si="2"/>
        <v>0</v>
      </c>
      <c r="L19" s="26">
        <f t="shared" si="2"/>
        <v>334432062.20000005</v>
      </c>
      <c r="M19" s="105"/>
      <c r="N19" s="18">
        <f t="shared" si="3"/>
        <v>6848365207.3199997</v>
      </c>
      <c r="P19" s="83"/>
    </row>
    <row r="20" spans="1:16">
      <c r="A20" s="83">
        <f t="shared" si="0"/>
        <v>14</v>
      </c>
      <c r="C20" s="484" t="s">
        <v>792</v>
      </c>
      <c r="D20" s="26">
        <f t="shared" si="1"/>
        <v>3561071965.5799999</v>
      </c>
      <c r="E20" s="26"/>
      <c r="F20" s="26">
        <f t="shared" si="2"/>
        <v>938264400.49000025</v>
      </c>
      <c r="G20" s="26">
        <f t="shared" si="2"/>
        <v>0</v>
      </c>
      <c r="H20" s="26">
        <f t="shared" si="2"/>
        <v>1797426303.3900003</v>
      </c>
      <c r="I20" s="26">
        <f t="shared" si="2"/>
        <v>0</v>
      </c>
      <c r="J20" s="26">
        <f t="shared" si="2"/>
        <v>259429340.03999984</v>
      </c>
      <c r="K20" s="26">
        <f t="shared" si="2"/>
        <v>0</v>
      </c>
      <c r="L20" s="26">
        <f t="shared" si="2"/>
        <v>332681909.55000001</v>
      </c>
      <c r="M20" s="105"/>
      <c r="N20" s="18">
        <f t="shared" si="3"/>
        <v>6888873919.0500002</v>
      </c>
      <c r="P20" s="83"/>
    </row>
    <row r="21" spans="1:16">
      <c r="A21" s="83">
        <f t="shared" si="0"/>
        <v>15</v>
      </c>
      <c r="C21" s="84"/>
      <c r="D21" s="34"/>
      <c r="F21" s="34"/>
      <c r="H21" s="34"/>
      <c r="I21" s="18"/>
      <c r="J21" s="34"/>
      <c r="K21" s="18"/>
      <c r="L21" s="168"/>
      <c r="M21" s="105"/>
      <c r="N21" s="34"/>
      <c r="P21" s="83"/>
    </row>
    <row r="22" spans="1:16" ht="13.5" thickBot="1">
      <c r="A22" s="83">
        <f t="shared" si="0"/>
        <v>16</v>
      </c>
      <c r="C22" s="176" t="s">
        <v>147</v>
      </c>
      <c r="D22" s="36">
        <f>D43+D64</f>
        <v>3467679607.3663659</v>
      </c>
      <c r="F22" s="36">
        <f>F43+F64</f>
        <v>907739841.73889732</v>
      </c>
      <c r="G22" s="72"/>
      <c r="H22" s="36">
        <f>H43+H64</f>
        <v>1753937293.7904885</v>
      </c>
      <c r="I22" s="171"/>
      <c r="J22" s="36">
        <f>J43+J64</f>
        <v>236948831.62010252</v>
      </c>
      <c r="K22" s="25"/>
      <c r="L22" s="36">
        <f>L43+L64</f>
        <v>320068674.64177746</v>
      </c>
      <c r="M22" s="108"/>
      <c r="N22" s="36">
        <f>N43+N64</f>
        <v>6686374249.1576309</v>
      </c>
      <c r="P22" s="83"/>
    </row>
    <row r="23" spans="1:16" ht="13.5" thickTop="1">
      <c r="A23" s="83"/>
      <c r="D23" s="18"/>
      <c r="F23" s="18"/>
      <c r="H23" s="18"/>
      <c r="I23" s="18"/>
      <c r="J23" s="18"/>
      <c r="K23" s="18"/>
      <c r="L23" s="18"/>
      <c r="M23" s="18"/>
      <c r="N23" s="18"/>
      <c r="P23" s="83"/>
    </row>
    <row r="24" spans="1:16">
      <c r="A24" s="83"/>
      <c r="E24" s="26"/>
      <c r="I24" s="76"/>
      <c r="K24" s="76"/>
      <c r="L24" s="76"/>
      <c r="M24" s="76"/>
      <c r="N24" s="77" t="s">
        <v>148</v>
      </c>
      <c r="P24" s="83"/>
    </row>
    <row r="25" spans="1:16">
      <c r="A25" s="83"/>
      <c r="D25" s="77"/>
      <c r="E25" s="26"/>
      <c r="I25" s="76"/>
      <c r="K25" s="76"/>
      <c r="L25" s="76"/>
      <c r="M25" s="76"/>
      <c r="N25" s="77" t="s">
        <v>33</v>
      </c>
      <c r="P25" s="83"/>
    </row>
    <row r="26" spans="1:16">
      <c r="A26" s="83"/>
      <c r="D26" s="76"/>
      <c r="E26" s="26"/>
      <c r="H26" s="183"/>
      <c r="J26" s="78" t="s">
        <v>200</v>
      </c>
      <c r="L26" s="78" t="s">
        <v>142</v>
      </c>
      <c r="N26" s="77" t="s">
        <v>125</v>
      </c>
      <c r="P26" s="83"/>
    </row>
    <row r="27" spans="1:16">
      <c r="A27" s="83"/>
      <c r="C27" s="7"/>
      <c r="D27" s="76" t="s">
        <v>123</v>
      </c>
      <c r="F27" s="76" t="s">
        <v>143</v>
      </c>
      <c r="H27" s="76" t="s">
        <v>144</v>
      </c>
      <c r="J27" s="76" t="s">
        <v>176</v>
      </c>
      <c r="L27" s="167" t="s">
        <v>29</v>
      </c>
      <c r="M27" s="77"/>
      <c r="N27" s="167" t="s">
        <v>126</v>
      </c>
      <c r="P27" s="83"/>
    </row>
    <row r="28" spans="1:16">
      <c r="A28" s="83">
        <f>A22+1</f>
        <v>17</v>
      </c>
      <c r="B28" s="81" t="s">
        <v>30</v>
      </c>
      <c r="C28" s="82"/>
      <c r="D28" s="35"/>
      <c r="F28" s="35"/>
      <c r="H28" s="35"/>
      <c r="J28" s="35"/>
      <c r="N28" s="35"/>
      <c r="P28" s="83"/>
    </row>
    <row r="29" spans="1:16" ht="13.5" customHeight="1">
      <c r="A29" s="83">
        <f t="shared" si="0"/>
        <v>18</v>
      </c>
      <c r="C29" s="484" t="s">
        <v>327</v>
      </c>
      <c r="D29" s="26">
        <v>3103795126.0609999</v>
      </c>
      <c r="F29" s="26">
        <v>677007760.99609995</v>
      </c>
      <c r="H29" s="26">
        <v>1360385759.6100998</v>
      </c>
      <c r="J29" s="26">
        <v>182582271.17840001</v>
      </c>
      <c r="L29" s="26">
        <v>252392007.36019999</v>
      </c>
      <c r="M29" s="25"/>
      <c r="N29" s="25">
        <f t="shared" ref="N29:N41" si="4">SUM(D29:L29)</f>
        <v>5576162925.2058001</v>
      </c>
      <c r="P29" s="83"/>
    </row>
    <row r="30" spans="1:16">
      <c r="A30" s="83">
        <f t="shared" si="0"/>
        <v>19</v>
      </c>
      <c r="C30" s="484" t="s">
        <v>791</v>
      </c>
      <c r="D30" s="26">
        <v>3109744866.1339054</v>
      </c>
      <c r="F30" s="26">
        <v>679564591.55985582</v>
      </c>
      <c r="H30" s="26">
        <v>1365996275.3620837</v>
      </c>
      <c r="J30" s="26">
        <v>185126937.00097746</v>
      </c>
      <c r="L30" s="26">
        <v>255879792.5809685</v>
      </c>
      <c r="M30" s="105"/>
      <c r="N30" s="18">
        <f t="shared" si="4"/>
        <v>5596312462.6377916</v>
      </c>
      <c r="P30" s="83"/>
    </row>
    <row r="31" spans="1:16">
      <c r="A31" s="83">
        <f t="shared" si="0"/>
        <v>20</v>
      </c>
      <c r="C31" s="84" t="s">
        <v>271</v>
      </c>
      <c r="D31" s="26">
        <v>3129814201.2081361</v>
      </c>
      <c r="F31" s="26">
        <v>683136418.22180092</v>
      </c>
      <c r="H31" s="26">
        <v>1372354077.1379166</v>
      </c>
      <c r="J31" s="26">
        <v>188615903.51072866</v>
      </c>
      <c r="L31" s="26">
        <v>259400255.98656195</v>
      </c>
      <c r="M31" s="105"/>
      <c r="N31" s="18">
        <f t="shared" si="4"/>
        <v>5633320856.0651445</v>
      </c>
      <c r="P31" s="83"/>
    </row>
    <row r="32" spans="1:16">
      <c r="A32" s="83">
        <f t="shared" si="0"/>
        <v>21</v>
      </c>
      <c r="C32" s="84" t="s">
        <v>272</v>
      </c>
      <c r="D32" s="26">
        <v>3147097655.5296736</v>
      </c>
      <c r="F32" s="26">
        <v>685969260.81791019</v>
      </c>
      <c r="H32" s="26">
        <v>1368295110.5162508</v>
      </c>
      <c r="J32" s="26">
        <v>190123323.88122639</v>
      </c>
      <c r="L32" s="26">
        <v>257418407.27537608</v>
      </c>
      <c r="M32" s="105"/>
      <c r="N32" s="18">
        <f t="shared" si="4"/>
        <v>5648903758.0204372</v>
      </c>
      <c r="P32" s="83"/>
    </row>
    <row r="33" spans="1:16">
      <c r="A33" s="83">
        <f t="shared" si="0"/>
        <v>22</v>
      </c>
      <c r="C33" s="84" t="s">
        <v>168</v>
      </c>
      <c r="D33" s="26">
        <v>3166208779.2999997</v>
      </c>
      <c r="F33" s="26">
        <v>689342315.64999926</v>
      </c>
      <c r="H33" s="26">
        <v>1375834732.2500002</v>
      </c>
      <c r="J33" s="26">
        <v>193675706.53999993</v>
      </c>
      <c r="L33" s="26">
        <v>261011404.38</v>
      </c>
      <c r="M33" s="105"/>
      <c r="N33" s="18">
        <f t="shared" si="4"/>
        <v>5686072938.1199989</v>
      </c>
      <c r="P33" s="83"/>
    </row>
    <row r="34" spans="1:16">
      <c r="A34" s="83">
        <f t="shared" si="0"/>
        <v>23</v>
      </c>
      <c r="C34" s="84" t="s">
        <v>273</v>
      </c>
      <c r="D34" s="26">
        <v>3186193904.27</v>
      </c>
      <c r="F34" s="26">
        <v>693488265.94999993</v>
      </c>
      <c r="H34" s="26">
        <v>1383144169.769999</v>
      </c>
      <c r="J34" s="26">
        <v>197219691.81000015</v>
      </c>
      <c r="L34" s="26">
        <v>264556095.73999983</v>
      </c>
      <c r="M34" s="105"/>
      <c r="N34" s="18">
        <f t="shared" si="4"/>
        <v>5724602127.539999</v>
      </c>
      <c r="P34" s="83"/>
    </row>
    <row r="35" spans="1:16">
      <c r="A35" s="83">
        <f t="shared" si="0"/>
        <v>24</v>
      </c>
      <c r="C35" s="84" t="s">
        <v>274</v>
      </c>
      <c r="D35" s="26">
        <v>3177732270.9299998</v>
      </c>
      <c r="F35" s="26">
        <v>697111358.24999976</v>
      </c>
      <c r="H35" s="26">
        <v>1386943051.05</v>
      </c>
      <c r="J35" s="26">
        <v>199302067.48000008</v>
      </c>
      <c r="L35" s="26">
        <v>264989517.66999999</v>
      </c>
      <c r="M35" s="105"/>
      <c r="N35" s="18">
        <f t="shared" si="4"/>
        <v>5726078265.3800001</v>
      </c>
      <c r="P35" s="83"/>
    </row>
    <row r="36" spans="1:16">
      <c r="A36" s="83">
        <f t="shared" si="0"/>
        <v>25</v>
      </c>
      <c r="C36" s="84" t="s">
        <v>170</v>
      </c>
      <c r="D36" s="26">
        <v>3197882606.68118</v>
      </c>
      <c r="F36" s="26">
        <v>701148463.77999997</v>
      </c>
      <c r="H36" s="26">
        <v>1394502759.6499996</v>
      </c>
      <c r="J36" s="26">
        <v>202955498.60999995</v>
      </c>
      <c r="L36" s="26">
        <v>268632727.11000001</v>
      </c>
      <c r="M36" s="105"/>
      <c r="N36" s="18">
        <f t="shared" si="4"/>
        <v>5765122055.8311787</v>
      </c>
      <c r="P36" s="83"/>
    </row>
    <row r="37" spans="1:16">
      <c r="A37" s="83">
        <f t="shared" si="0"/>
        <v>26</v>
      </c>
      <c r="C37" s="84" t="s">
        <v>275</v>
      </c>
      <c r="D37" s="26">
        <v>3218115448.0788622</v>
      </c>
      <c r="F37" s="26">
        <v>705143834.67000043</v>
      </c>
      <c r="H37" s="26">
        <v>1402259660.3699999</v>
      </c>
      <c r="J37" s="26">
        <v>206599232.93000013</v>
      </c>
      <c r="L37" s="26">
        <v>272478768.31999999</v>
      </c>
      <c r="M37" s="105"/>
      <c r="N37" s="18">
        <f t="shared" si="4"/>
        <v>5804596944.3688622</v>
      </c>
      <c r="P37" s="83"/>
    </row>
    <row r="38" spans="1:16">
      <c r="A38" s="83">
        <f t="shared" si="0"/>
        <v>27</v>
      </c>
      <c r="C38" s="84" t="s">
        <v>276</v>
      </c>
      <c r="D38" s="26">
        <v>3232540203.4599996</v>
      </c>
      <c r="F38" s="26">
        <v>709137515.65000033</v>
      </c>
      <c r="H38" s="26">
        <v>1405420771.9500003</v>
      </c>
      <c r="J38" s="26">
        <v>208194288.40999991</v>
      </c>
      <c r="L38" s="26">
        <v>272127953.55000013</v>
      </c>
      <c r="M38" s="105"/>
      <c r="N38" s="18">
        <f t="shared" si="4"/>
        <v>5827420733.0199995</v>
      </c>
      <c r="P38" s="83"/>
    </row>
    <row r="39" spans="1:16">
      <c r="A39" s="83">
        <f t="shared" ref="A39:A64" si="5">+A38+1</f>
        <v>28</v>
      </c>
      <c r="C39" s="84" t="s">
        <v>277</v>
      </c>
      <c r="D39" s="26">
        <v>3252785257.9699998</v>
      </c>
      <c r="F39" s="26">
        <v>713600451.03000081</v>
      </c>
      <c r="H39" s="26">
        <v>1410918410.0899994</v>
      </c>
      <c r="J39" s="26">
        <v>211983615.73999995</v>
      </c>
      <c r="L39" s="26">
        <v>275921135.58999997</v>
      </c>
      <c r="M39" s="105"/>
      <c r="N39" s="18">
        <f t="shared" si="4"/>
        <v>5865208870.4200001</v>
      </c>
      <c r="P39" s="83"/>
    </row>
    <row r="40" spans="1:16">
      <c r="A40" s="83">
        <f t="shared" si="5"/>
        <v>29</v>
      </c>
      <c r="C40" s="84" t="s">
        <v>278</v>
      </c>
      <c r="D40" s="26">
        <v>3263465411.6399999</v>
      </c>
      <c r="F40" s="26">
        <v>717646406.08999944</v>
      </c>
      <c r="H40" s="26">
        <v>1404675718.2600005</v>
      </c>
      <c r="J40" s="26">
        <v>216005474.72000009</v>
      </c>
      <c r="L40" s="26">
        <v>279166113.05000001</v>
      </c>
      <c r="M40" s="105"/>
      <c r="N40" s="18">
        <f t="shared" si="4"/>
        <v>5880959123.7600002</v>
      </c>
      <c r="P40" s="83"/>
    </row>
    <row r="41" spans="1:16">
      <c r="A41" s="83">
        <f t="shared" si="5"/>
        <v>30</v>
      </c>
      <c r="C41" s="484" t="s">
        <v>792</v>
      </c>
      <c r="D41" s="26">
        <v>3277210697.9499998</v>
      </c>
      <c r="F41" s="26">
        <v>721792727.00000024</v>
      </c>
      <c r="H41" s="26">
        <v>1422200718.6600001</v>
      </c>
      <c r="J41" s="26">
        <v>219885344.82999986</v>
      </c>
      <c r="L41" s="26">
        <v>277260590.85000002</v>
      </c>
      <c r="M41" s="105"/>
      <c r="N41" s="18">
        <f t="shared" si="4"/>
        <v>5918350079.29</v>
      </c>
      <c r="P41" s="83"/>
    </row>
    <row r="42" spans="1:16">
      <c r="A42" s="83">
        <f t="shared" si="5"/>
        <v>31</v>
      </c>
      <c r="C42" s="84"/>
      <c r="D42" s="34"/>
      <c r="F42" s="34"/>
      <c r="H42" s="34"/>
      <c r="J42" s="34"/>
      <c r="L42" s="168"/>
      <c r="M42" s="105"/>
      <c r="N42" s="34"/>
      <c r="P42" s="83"/>
    </row>
    <row r="43" spans="1:16" ht="13.5" thickBot="1">
      <c r="A43" s="83">
        <f t="shared" si="5"/>
        <v>32</v>
      </c>
      <c r="C43" s="176" t="s">
        <v>147</v>
      </c>
      <c r="D43" s="36">
        <f>SUM(D29:D41)/13</f>
        <v>3189429725.3240581</v>
      </c>
      <c r="F43" s="36">
        <f>SUM(F29:F41)/13</f>
        <v>698006874.5896666</v>
      </c>
      <c r="H43" s="36">
        <f>SUM(H29:H41)/13</f>
        <v>1388687016.5135653</v>
      </c>
      <c r="J43" s="36">
        <f>SUM(J29:J41)/13</f>
        <v>200174565.89548713</v>
      </c>
      <c r="L43" s="36">
        <f>SUM(L29:L41)/13</f>
        <v>266248828.420239</v>
      </c>
      <c r="M43" s="108"/>
      <c r="N43" s="36">
        <f>SUM(N29:N41)/13</f>
        <v>5742547010.7430153</v>
      </c>
      <c r="P43" s="83"/>
    </row>
    <row r="44" spans="1:16" ht="13.5" thickTop="1">
      <c r="A44" s="83"/>
      <c r="C44" s="7"/>
      <c r="D44" s="37"/>
      <c r="E44" s="7"/>
      <c r="F44" s="37"/>
      <c r="H44" s="37"/>
      <c r="J44" s="37"/>
      <c r="K44" s="7"/>
      <c r="L44" s="37"/>
      <c r="M44" s="7"/>
      <c r="N44" s="7"/>
      <c r="P44" s="83"/>
    </row>
    <row r="45" spans="1:16">
      <c r="A45" s="83"/>
      <c r="C45" s="7"/>
      <c r="E45" s="26"/>
      <c r="I45" s="76"/>
      <c r="K45" s="76"/>
      <c r="L45" s="76"/>
      <c r="M45" s="76"/>
      <c r="N45" s="77" t="s">
        <v>148</v>
      </c>
      <c r="P45" s="83"/>
    </row>
    <row r="46" spans="1:16">
      <c r="A46" s="83"/>
      <c r="C46" s="7"/>
      <c r="D46" s="77"/>
      <c r="E46" s="26"/>
      <c r="I46" s="76"/>
      <c r="K46" s="76"/>
      <c r="L46" s="76"/>
      <c r="M46" s="76"/>
      <c r="N46" s="77" t="s">
        <v>33</v>
      </c>
      <c r="P46" s="83"/>
    </row>
    <row r="47" spans="1:16">
      <c r="A47" s="83"/>
      <c r="C47" s="7"/>
      <c r="D47" s="76"/>
      <c r="E47" s="26"/>
      <c r="H47" s="183"/>
      <c r="J47" s="78" t="s">
        <v>200</v>
      </c>
      <c r="L47" s="78" t="s">
        <v>142</v>
      </c>
      <c r="N47" s="77" t="s">
        <v>125</v>
      </c>
      <c r="P47" s="83"/>
    </row>
    <row r="48" spans="1:16">
      <c r="A48" s="83"/>
      <c r="C48" s="7"/>
      <c r="D48" s="76" t="s">
        <v>123</v>
      </c>
      <c r="F48" s="76" t="s">
        <v>143</v>
      </c>
      <c r="H48" s="76" t="s">
        <v>144</v>
      </c>
      <c r="J48" s="76" t="s">
        <v>176</v>
      </c>
      <c r="L48" s="167" t="s">
        <v>29</v>
      </c>
      <c r="M48" s="77"/>
      <c r="N48" s="167" t="s">
        <v>126</v>
      </c>
      <c r="P48" s="83"/>
    </row>
    <row r="49" spans="1:16">
      <c r="A49" s="83">
        <f>A43+1</f>
        <v>33</v>
      </c>
      <c r="B49" s="81" t="s">
        <v>31</v>
      </c>
      <c r="C49" s="82"/>
      <c r="D49" s="35"/>
      <c r="F49" s="35"/>
      <c r="H49" s="35"/>
      <c r="J49" s="35"/>
      <c r="N49" s="35"/>
      <c r="P49" s="83"/>
    </row>
    <row r="50" spans="1:16">
      <c r="A50" s="83">
        <f t="shared" si="5"/>
        <v>34</v>
      </c>
      <c r="C50" s="484" t="s">
        <v>327</v>
      </c>
      <c r="D50" s="26">
        <v>272676755.60000002</v>
      </c>
      <c r="E50" s="26"/>
      <c r="F50" s="26">
        <v>202813845.04000002</v>
      </c>
      <c r="G50" s="26"/>
      <c r="H50" s="26">
        <v>354630370.56000012</v>
      </c>
      <c r="I50" s="26"/>
      <c r="J50" s="26">
        <v>34437625.079999998</v>
      </c>
      <c r="K50" s="18"/>
      <c r="L50" s="26">
        <v>53315972.000000007</v>
      </c>
      <c r="M50" s="25"/>
      <c r="N50" s="25">
        <f t="shared" ref="N50:N62" si="6">SUM(D50:L50)</f>
        <v>917874568.28000021</v>
      </c>
      <c r="P50" s="83"/>
    </row>
    <row r="51" spans="1:16">
      <c r="A51" s="83">
        <f t="shared" si="5"/>
        <v>35</v>
      </c>
      <c r="C51" s="484" t="s">
        <v>791</v>
      </c>
      <c r="D51" s="26">
        <v>273450781.97999996</v>
      </c>
      <c r="E51" s="26"/>
      <c r="F51" s="26">
        <v>204279754.06999999</v>
      </c>
      <c r="G51" s="26"/>
      <c r="H51" s="26">
        <v>356424177.60000002</v>
      </c>
      <c r="I51" s="26"/>
      <c r="J51" s="26">
        <v>34894827.99000001</v>
      </c>
      <c r="K51" s="18"/>
      <c r="L51" s="26">
        <v>53849609.409999996</v>
      </c>
      <c r="M51" s="105"/>
      <c r="N51" s="18">
        <f t="shared" si="6"/>
        <v>922899151.04999995</v>
      </c>
      <c r="P51" s="83"/>
    </row>
    <row r="52" spans="1:16">
      <c r="A52" s="83">
        <f t="shared" si="5"/>
        <v>36</v>
      </c>
      <c r="C52" s="84" t="s">
        <v>271</v>
      </c>
      <c r="D52" s="26">
        <v>274606563.08999997</v>
      </c>
      <c r="E52" s="26"/>
      <c r="F52" s="26">
        <v>205262860.39999998</v>
      </c>
      <c r="G52" s="26"/>
      <c r="H52" s="26">
        <v>358069675.08999997</v>
      </c>
      <c r="I52" s="26"/>
      <c r="J52" s="26">
        <v>35373685.849999994</v>
      </c>
      <c r="K52" s="18"/>
      <c r="L52" s="26">
        <v>54277612.609999999</v>
      </c>
      <c r="M52" s="105"/>
      <c r="N52" s="18">
        <f t="shared" si="6"/>
        <v>927590397.03999996</v>
      </c>
      <c r="P52" s="83"/>
    </row>
    <row r="53" spans="1:16">
      <c r="A53" s="83">
        <f t="shared" si="5"/>
        <v>37</v>
      </c>
      <c r="C53" s="84" t="s">
        <v>272</v>
      </c>
      <c r="D53" s="26">
        <v>275686287.38000005</v>
      </c>
      <c r="E53" s="26"/>
      <c r="F53" s="26">
        <v>206345986.57999998</v>
      </c>
      <c r="G53" s="26"/>
      <c r="H53" s="26">
        <v>359819740.76999998</v>
      </c>
      <c r="I53" s="26"/>
      <c r="J53" s="26">
        <v>35225404.269999996</v>
      </c>
      <c r="K53" s="18"/>
      <c r="L53" s="26">
        <v>52339726.61999999</v>
      </c>
      <c r="M53" s="105"/>
      <c r="N53" s="18">
        <f t="shared" si="6"/>
        <v>929417145.62</v>
      </c>
      <c r="P53" s="83"/>
    </row>
    <row r="54" spans="1:16">
      <c r="A54" s="83">
        <f t="shared" si="5"/>
        <v>38</v>
      </c>
      <c r="C54" s="84" t="s">
        <v>168</v>
      </c>
      <c r="D54" s="26">
        <v>276831939.11999995</v>
      </c>
      <c r="E54" s="26"/>
      <c r="F54" s="26">
        <v>207202217.96000001</v>
      </c>
      <c r="G54" s="26"/>
      <c r="H54" s="26">
        <v>361695280.35000002</v>
      </c>
      <c r="I54" s="26"/>
      <c r="J54" s="26">
        <v>35708293.640000001</v>
      </c>
      <c r="K54" s="18"/>
      <c r="L54" s="26">
        <v>52885061.710000023</v>
      </c>
      <c r="M54" s="105"/>
      <c r="N54" s="18">
        <f t="shared" si="6"/>
        <v>934322792.77999997</v>
      </c>
      <c r="P54" s="83"/>
    </row>
    <row r="55" spans="1:16">
      <c r="A55" s="83">
        <f t="shared" si="5"/>
        <v>39</v>
      </c>
      <c r="C55" s="84" t="s">
        <v>273</v>
      </c>
      <c r="D55" s="26">
        <v>277988937.33999997</v>
      </c>
      <c r="E55" s="26"/>
      <c r="F55" s="26">
        <v>208207223.41</v>
      </c>
      <c r="G55" s="26"/>
      <c r="H55" s="26">
        <v>363666529.59999985</v>
      </c>
      <c r="I55" s="26"/>
      <c r="J55" s="26">
        <v>36196665.220000006</v>
      </c>
      <c r="K55" s="18"/>
      <c r="L55" s="26">
        <v>53426356.43999999</v>
      </c>
      <c r="M55" s="105"/>
      <c r="N55" s="18">
        <f t="shared" si="6"/>
        <v>939485712.00999987</v>
      </c>
      <c r="P55" s="83"/>
    </row>
    <row r="56" spans="1:16">
      <c r="A56" s="83">
        <f t="shared" si="5"/>
        <v>40</v>
      </c>
      <c r="C56" s="84" t="s">
        <v>274</v>
      </c>
      <c r="D56" s="26">
        <v>277977343.01999998</v>
      </c>
      <c r="E56" s="26"/>
      <c r="F56" s="26">
        <v>209298550.94999999</v>
      </c>
      <c r="G56" s="26"/>
      <c r="H56" s="26">
        <v>365127081.84000009</v>
      </c>
      <c r="I56" s="26"/>
      <c r="J56" s="26">
        <v>36505167.519999996</v>
      </c>
      <c r="K56" s="18"/>
      <c r="L56" s="26">
        <v>52718612.340000011</v>
      </c>
      <c r="M56" s="105"/>
      <c r="N56" s="18">
        <f t="shared" si="6"/>
        <v>941626755.67000008</v>
      </c>
      <c r="P56" s="83"/>
    </row>
    <row r="57" spans="1:16">
      <c r="A57" s="83">
        <f t="shared" si="5"/>
        <v>41</v>
      </c>
      <c r="C57" s="84" t="s">
        <v>170</v>
      </c>
      <c r="D57" s="26">
        <v>279058521.50999999</v>
      </c>
      <c r="E57" s="26"/>
      <c r="F57" s="26">
        <v>210660878.78999999</v>
      </c>
      <c r="G57" s="26"/>
      <c r="H57" s="26">
        <v>367059747.60000002</v>
      </c>
      <c r="I57" s="26"/>
      <c r="J57" s="26">
        <v>37014974.859999999</v>
      </c>
      <c r="K57" s="18"/>
      <c r="L57" s="26">
        <v>53259233.130000025</v>
      </c>
      <c r="M57" s="105"/>
      <c r="N57" s="18">
        <f t="shared" si="6"/>
        <v>947053355.88999999</v>
      </c>
      <c r="P57" s="83"/>
    </row>
    <row r="58" spans="1:16">
      <c r="A58" s="83">
        <f t="shared" si="5"/>
        <v>42</v>
      </c>
      <c r="C58" s="84" t="s">
        <v>275</v>
      </c>
      <c r="D58" s="26">
        <v>280167564.85000002</v>
      </c>
      <c r="E58" s="26"/>
      <c r="F58" s="26">
        <v>211951094.40999997</v>
      </c>
      <c r="G58" s="26"/>
      <c r="H58" s="26">
        <v>369177696.60000008</v>
      </c>
      <c r="I58" s="26"/>
      <c r="J58" s="26">
        <v>37529402.189999998</v>
      </c>
      <c r="K58" s="18"/>
      <c r="L58" s="26">
        <v>53879861.820000008</v>
      </c>
      <c r="M58" s="105"/>
      <c r="N58" s="18">
        <f t="shared" si="6"/>
        <v>952705619.87000024</v>
      </c>
      <c r="P58" s="83"/>
    </row>
    <row r="59" spans="1:16">
      <c r="A59" s="83">
        <f t="shared" si="5"/>
        <v>43</v>
      </c>
      <c r="C59" s="84" t="s">
        <v>276</v>
      </c>
      <c r="D59" s="26">
        <v>280720188.87</v>
      </c>
      <c r="E59" s="26"/>
      <c r="F59" s="26">
        <v>213349465.11999997</v>
      </c>
      <c r="G59" s="26"/>
      <c r="H59" s="26">
        <v>370543163.98999989</v>
      </c>
      <c r="I59" s="26"/>
      <c r="J59" s="26">
        <v>38035657.009999998</v>
      </c>
      <c r="K59" s="18"/>
      <c r="L59" s="26">
        <v>54211692.57</v>
      </c>
      <c r="M59" s="105"/>
      <c r="N59" s="18">
        <f t="shared" si="6"/>
        <v>956860167.55999994</v>
      </c>
    </row>
    <row r="60" spans="1:16">
      <c r="A60" s="83">
        <f t="shared" si="5"/>
        <v>44</v>
      </c>
      <c r="C60" s="84" t="s">
        <v>277</v>
      </c>
      <c r="D60" s="26">
        <v>281564791.82999992</v>
      </c>
      <c r="E60" s="26"/>
      <c r="F60" s="26">
        <v>214689019.35000002</v>
      </c>
      <c r="G60" s="26"/>
      <c r="H60" s="26">
        <v>372398318.69</v>
      </c>
      <c r="I60" s="26"/>
      <c r="J60" s="26">
        <v>38529386.050000004</v>
      </c>
      <c r="K60" s="18"/>
      <c r="L60" s="26">
        <v>54806994.380000003</v>
      </c>
      <c r="M60" s="105"/>
      <c r="N60" s="18">
        <f t="shared" si="6"/>
        <v>961988510.29999983</v>
      </c>
    </row>
    <row r="61" spans="1:16">
      <c r="A61" s="83">
        <f t="shared" si="5"/>
        <v>45</v>
      </c>
      <c r="C61" s="84" t="s">
        <v>278</v>
      </c>
      <c r="D61" s="26">
        <v>282657524.32999992</v>
      </c>
      <c r="E61" s="26"/>
      <c r="F61" s="26">
        <v>215996003.37</v>
      </c>
      <c r="G61" s="26"/>
      <c r="H61" s="26">
        <v>374416237.17999995</v>
      </c>
      <c r="I61" s="26"/>
      <c r="J61" s="26">
        <v>39070369.529999994</v>
      </c>
      <c r="K61" s="18"/>
      <c r="L61" s="26">
        <v>55265949.150000006</v>
      </c>
      <c r="M61" s="105"/>
      <c r="N61" s="18">
        <f t="shared" si="6"/>
        <v>967406083.55999982</v>
      </c>
      <c r="P61" s="83"/>
    </row>
    <row r="62" spans="1:16">
      <c r="A62" s="83">
        <f t="shared" si="5"/>
        <v>46</v>
      </c>
      <c r="C62" s="484" t="s">
        <v>792</v>
      </c>
      <c r="D62" s="26">
        <v>283861267.63</v>
      </c>
      <c r="E62" s="26"/>
      <c r="F62" s="26">
        <v>216471673.49000004</v>
      </c>
      <c r="G62" s="26"/>
      <c r="H62" s="26">
        <v>375225584.73000014</v>
      </c>
      <c r="I62" s="26"/>
      <c r="J62" s="26">
        <v>39543995.209999993</v>
      </c>
      <c r="K62" s="18"/>
      <c r="L62" s="26">
        <v>55421318.699999988</v>
      </c>
      <c r="M62" s="105"/>
      <c r="N62" s="18">
        <f t="shared" si="6"/>
        <v>970523839.76000023</v>
      </c>
      <c r="P62" s="83"/>
    </row>
    <row r="63" spans="1:16">
      <c r="A63" s="83">
        <f t="shared" si="5"/>
        <v>47</v>
      </c>
      <c r="C63" s="84"/>
      <c r="D63" s="34"/>
      <c r="F63" s="34"/>
      <c r="H63" s="34"/>
      <c r="I63" s="18"/>
      <c r="J63" s="34"/>
      <c r="K63" s="18"/>
      <c r="L63" s="168"/>
      <c r="M63" s="105"/>
      <c r="N63" s="34"/>
      <c r="P63" s="83"/>
    </row>
    <row r="64" spans="1:16" ht="13.5" thickBot="1">
      <c r="A64" s="83">
        <f t="shared" si="5"/>
        <v>48</v>
      </c>
      <c r="C64" s="176" t="s">
        <v>147</v>
      </c>
      <c r="D64" s="36">
        <f>SUM(D50:D62)/13</f>
        <v>278249882.04230767</v>
      </c>
      <c r="F64" s="36">
        <f>SUM(F50:F62)/13</f>
        <v>209732967.14923078</v>
      </c>
      <c r="G64" s="72"/>
      <c r="H64" s="36">
        <f>SUM(H50:H62)/13</f>
        <v>365250277.27692312</v>
      </c>
      <c r="I64" s="171"/>
      <c r="J64" s="36">
        <f>SUM(J50:J62)/13</f>
        <v>36774265.72461538</v>
      </c>
      <c r="K64" s="25"/>
      <c r="L64" s="36">
        <f>SUM(L50:L62)/13</f>
        <v>53819846.221538469</v>
      </c>
      <c r="M64" s="108"/>
      <c r="N64" s="36">
        <f>SUM(N50:N62)/13</f>
        <v>943827238.41461539</v>
      </c>
      <c r="P64" s="83"/>
    </row>
    <row r="65" spans="1:16" ht="13.5" thickTop="1">
      <c r="P65" s="83"/>
    </row>
    <row r="66" spans="1:16">
      <c r="H66" s="26"/>
      <c r="I66" s="26"/>
      <c r="J66" s="26"/>
      <c r="P66" s="83"/>
    </row>
    <row r="67" spans="1:16">
      <c r="A67" s="83">
        <f>A64+1</f>
        <v>49</v>
      </c>
      <c r="C67" s="81" t="s">
        <v>30</v>
      </c>
      <c r="P67" s="83"/>
    </row>
    <row r="68" spans="1:16">
      <c r="A68" s="83">
        <f>A67+1</f>
        <v>50</v>
      </c>
      <c r="C68" s="484" t="s">
        <v>329</v>
      </c>
      <c r="D68" s="4">
        <v>3221274906</v>
      </c>
      <c r="F68" s="4">
        <v>677008199</v>
      </c>
      <c r="H68" s="4">
        <v>1362063541</v>
      </c>
      <c r="J68" s="4">
        <v>182582271</v>
      </c>
      <c r="L68" s="4">
        <v>250562677</v>
      </c>
      <c r="P68" s="83"/>
    </row>
    <row r="69" spans="1:16">
      <c r="A69" s="83">
        <f t="shared" ref="A69:A83" si="7">A68+1</f>
        <v>51</v>
      </c>
      <c r="C69" s="4" t="s">
        <v>333</v>
      </c>
      <c r="D69" s="41">
        <v>117479780</v>
      </c>
      <c r="F69" s="41">
        <v>438</v>
      </c>
      <c r="H69" s="41">
        <v>1677781.39</v>
      </c>
      <c r="J69" s="41">
        <v>0</v>
      </c>
      <c r="L69" s="42">
        <v>-1829330</v>
      </c>
      <c r="P69" s="83"/>
    </row>
    <row r="70" spans="1:16">
      <c r="A70" s="83">
        <f t="shared" si="7"/>
        <v>52</v>
      </c>
      <c r="C70" s="485" t="s">
        <v>330</v>
      </c>
      <c r="D70" s="4">
        <f>D68-D69</f>
        <v>3103795126</v>
      </c>
      <c r="F70" s="4">
        <f>F68-F69</f>
        <v>677007761</v>
      </c>
      <c r="H70" s="4">
        <f>H68-H69</f>
        <v>1360385759.6099999</v>
      </c>
      <c r="J70" s="4">
        <f>J68-J69</f>
        <v>182582271</v>
      </c>
      <c r="L70" s="4">
        <f>L68-L69</f>
        <v>252392007</v>
      </c>
      <c r="P70" s="83"/>
    </row>
    <row r="71" spans="1:16">
      <c r="A71" s="83">
        <f t="shared" si="7"/>
        <v>53</v>
      </c>
      <c r="P71" s="83"/>
    </row>
    <row r="72" spans="1:16">
      <c r="A72" s="83">
        <f t="shared" si="7"/>
        <v>54</v>
      </c>
      <c r="C72" s="484" t="s">
        <v>793</v>
      </c>
      <c r="D72" s="4">
        <v>3402306416</v>
      </c>
      <c r="F72" s="4">
        <v>721798420</v>
      </c>
      <c r="H72" s="4">
        <v>1423924855</v>
      </c>
      <c r="J72" s="4">
        <v>200174565.92010248</v>
      </c>
      <c r="L72" s="4">
        <v>275295789</v>
      </c>
      <c r="P72" s="83"/>
    </row>
    <row r="73" spans="1:16">
      <c r="A73" s="83">
        <f t="shared" si="7"/>
        <v>55</v>
      </c>
      <c r="C73" s="4" t="s">
        <v>333</v>
      </c>
      <c r="D73" s="41">
        <v>125095718.05</v>
      </c>
      <c r="F73" s="41">
        <v>5693</v>
      </c>
      <c r="H73" s="41">
        <v>1724136</v>
      </c>
      <c r="J73" s="41">
        <v>0</v>
      </c>
      <c r="L73" s="42">
        <v>-1964801.85</v>
      </c>
      <c r="P73" s="83"/>
    </row>
    <row r="74" spans="1:16">
      <c r="A74" s="83">
        <f t="shared" si="7"/>
        <v>56</v>
      </c>
      <c r="C74" s="485" t="s">
        <v>794</v>
      </c>
      <c r="D74" s="4">
        <f>D72-D73</f>
        <v>3277210697.9499998</v>
      </c>
      <c r="F74" s="4">
        <f>F72-F73</f>
        <v>721792727</v>
      </c>
      <c r="H74" s="4">
        <f>H72-H73</f>
        <v>1422200719</v>
      </c>
      <c r="J74" s="4">
        <f>J72-J73</f>
        <v>200174565.92010248</v>
      </c>
      <c r="L74" s="4">
        <f>L72-L73</f>
        <v>277260590.85000002</v>
      </c>
      <c r="P74" s="83"/>
    </row>
    <row r="75" spans="1:16">
      <c r="A75" s="83">
        <f t="shared" si="7"/>
        <v>57</v>
      </c>
      <c r="P75" s="83"/>
    </row>
    <row r="76" spans="1:16">
      <c r="A76" s="83">
        <f t="shared" si="7"/>
        <v>58</v>
      </c>
      <c r="C76" s="81" t="s">
        <v>331</v>
      </c>
      <c r="P76" s="83"/>
    </row>
    <row r="77" spans="1:16">
      <c r="A77" s="83">
        <f t="shared" si="7"/>
        <v>59</v>
      </c>
      <c r="C77" s="484" t="s">
        <v>329</v>
      </c>
      <c r="D77" s="4">
        <v>272919242</v>
      </c>
      <c r="F77" s="4">
        <v>202813845</v>
      </c>
      <c r="H77" s="4">
        <v>354733164</v>
      </c>
      <c r="J77" s="4">
        <v>34437625</v>
      </c>
      <c r="L77" s="4">
        <v>53316335</v>
      </c>
      <c r="P77" s="83"/>
    </row>
    <row r="78" spans="1:16">
      <c r="A78" s="83">
        <f t="shared" si="7"/>
        <v>60</v>
      </c>
      <c r="C78" s="4" t="s">
        <v>333</v>
      </c>
      <c r="D78" s="41">
        <v>242486</v>
      </c>
      <c r="F78" s="41">
        <v>0</v>
      </c>
      <c r="H78" s="42">
        <v>102793</v>
      </c>
      <c r="J78" s="41">
        <v>0</v>
      </c>
      <c r="L78" s="42">
        <v>363</v>
      </c>
    </row>
    <row r="79" spans="1:16">
      <c r="A79" s="83">
        <f t="shared" si="7"/>
        <v>61</v>
      </c>
      <c r="C79" s="485" t="s">
        <v>330</v>
      </c>
      <c r="D79" s="4">
        <f>D77-D78</f>
        <v>272676756</v>
      </c>
      <c r="F79" s="4">
        <f>F77-F78</f>
        <v>202813845</v>
      </c>
      <c r="H79" s="4">
        <f>H77-H78</f>
        <v>354630371</v>
      </c>
      <c r="J79" s="4">
        <f>J77-J78</f>
        <v>34437625</v>
      </c>
      <c r="L79" s="4">
        <f>L77-L78</f>
        <v>53315972</v>
      </c>
    </row>
    <row r="80" spans="1:16">
      <c r="A80" s="83">
        <f t="shared" si="7"/>
        <v>62</v>
      </c>
    </row>
    <row r="81" spans="1:12">
      <c r="A81" s="83">
        <f t="shared" si="7"/>
        <v>63</v>
      </c>
      <c r="C81" s="484" t="s">
        <v>793</v>
      </c>
      <c r="D81" s="4">
        <v>284398554.39999998</v>
      </c>
      <c r="F81" s="4">
        <v>216472967.64000005</v>
      </c>
      <c r="H81" s="4">
        <v>375325196.95000017</v>
      </c>
      <c r="J81" s="4">
        <v>39543995.209999993</v>
      </c>
      <c r="L81" s="4">
        <v>55426044.739999987</v>
      </c>
    </row>
    <row r="82" spans="1:12">
      <c r="A82" s="83">
        <f t="shared" si="7"/>
        <v>64</v>
      </c>
      <c r="C82" s="4" t="s">
        <v>333</v>
      </c>
      <c r="D82" s="41">
        <v>537286.77</v>
      </c>
      <c r="F82" s="41">
        <v>1294.1500000000001</v>
      </c>
      <c r="H82" s="42">
        <v>99612.22</v>
      </c>
      <c r="J82" s="41">
        <v>0</v>
      </c>
      <c r="L82" s="42">
        <v>4726.04</v>
      </c>
    </row>
    <row r="83" spans="1:12">
      <c r="A83" s="83">
        <f t="shared" si="7"/>
        <v>65</v>
      </c>
      <c r="C83" s="485" t="s">
        <v>794</v>
      </c>
      <c r="D83" s="4">
        <f>D81-D82</f>
        <v>283861267.63</v>
      </c>
      <c r="F83" s="4">
        <f>F81-F82</f>
        <v>216471673.49000004</v>
      </c>
      <c r="H83" s="4">
        <f>H81-H82</f>
        <v>375225584.73000014</v>
      </c>
      <c r="J83" s="4">
        <f>J81-J82</f>
        <v>39543995.209999993</v>
      </c>
      <c r="L83" s="235">
        <f>L81-L82</f>
        <v>55421318.699999988</v>
      </c>
    </row>
  </sheetData>
  <phoneticPr fontId="10" type="noConversion"/>
  <printOptions horizontalCentered="1"/>
  <pageMargins left="0.75" right="0.25" top="0.75" bottom="0.4" header="0" footer="0.25"/>
  <pageSetup scale="65" orientation="portrait" r:id="rId1"/>
  <headerFooter alignWithMargins="0">
    <oddFooter>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N69"/>
  <sheetViews>
    <sheetView showGridLines="0" zoomScaleNormal="75" workbookViewId="0">
      <selection activeCell="A4" sqref="A4"/>
    </sheetView>
  </sheetViews>
  <sheetFormatPr defaultColWidth="14.44140625" defaultRowHeight="12.75"/>
  <cols>
    <col min="1" max="1" width="4.77734375" style="74" customWidth="1"/>
    <col min="2" max="2" width="2.77734375" style="4" customWidth="1"/>
    <col min="3" max="3" width="29.33203125" style="4" customWidth="1"/>
    <col min="4" max="4" width="14.44140625" style="4" customWidth="1"/>
    <col min="5" max="5" width="0.88671875" style="4" customWidth="1"/>
    <col min="6" max="6" width="14.44140625" style="4" bestFit="1" customWidth="1"/>
    <col min="7" max="7" width="0.88671875" style="4" customWidth="1"/>
    <col min="8" max="8" width="15.5546875" style="4" bestFit="1" customWidth="1"/>
    <col min="9" max="9" width="0.88671875" style="4" customWidth="1"/>
    <col min="10" max="10" width="12.88671875" style="4" customWidth="1"/>
    <col min="11" max="11" width="0.88671875" style="4" customWidth="1"/>
    <col min="12" max="12" width="14.44140625" style="4" customWidth="1"/>
    <col min="13" max="13" width="0.77734375" style="4" customWidth="1"/>
    <col min="14" max="14" width="14.44140625" style="4" bestFit="1" customWidth="1"/>
    <col min="15" max="16384" width="14.44140625" style="4"/>
  </cols>
  <sheetData>
    <row r="1" spans="1:14">
      <c r="A1" s="71" t="s">
        <v>27</v>
      </c>
      <c r="B1" s="72"/>
      <c r="C1" s="72"/>
      <c r="D1" s="72"/>
      <c r="E1" s="72"/>
      <c r="F1" s="72"/>
      <c r="G1" s="72"/>
      <c r="H1" s="72"/>
      <c r="I1" s="72"/>
      <c r="J1" s="72"/>
      <c r="K1" s="72"/>
      <c r="L1" s="72"/>
      <c r="M1" s="72"/>
      <c r="N1" s="482" t="s">
        <v>789</v>
      </c>
    </row>
    <row r="2" spans="1:14">
      <c r="A2" s="71" t="s">
        <v>203</v>
      </c>
      <c r="B2" s="72"/>
      <c r="C2" s="72"/>
      <c r="D2" s="72"/>
      <c r="E2" s="72"/>
      <c r="F2" s="72"/>
      <c r="G2" s="72"/>
      <c r="H2" s="72"/>
      <c r="I2" s="72"/>
      <c r="J2" s="72"/>
      <c r="K2" s="72"/>
      <c r="L2" s="72"/>
      <c r="M2" s="72"/>
      <c r="N2" s="73"/>
    </row>
    <row r="3" spans="1:14">
      <c r="A3" s="483" t="s">
        <v>790</v>
      </c>
      <c r="B3" s="72"/>
      <c r="C3" s="72"/>
      <c r="D3" s="72"/>
      <c r="E3" s="72"/>
      <c r="F3" s="72"/>
      <c r="G3" s="72"/>
      <c r="H3" s="72"/>
      <c r="I3" s="72"/>
      <c r="J3" s="72"/>
      <c r="K3" s="72"/>
      <c r="L3" s="72"/>
      <c r="M3" s="72"/>
    </row>
    <row r="4" spans="1:14">
      <c r="A4" s="503" t="s">
        <v>269</v>
      </c>
    </row>
    <row r="5" spans="1:14">
      <c r="A5" s="7"/>
      <c r="B5" s="7"/>
      <c r="C5" s="7"/>
      <c r="E5" s="26"/>
      <c r="I5" s="76"/>
      <c r="K5" s="76"/>
      <c r="L5" s="76"/>
      <c r="M5" s="76"/>
      <c r="N5" s="77" t="s">
        <v>148</v>
      </c>
    </row>
    <row r="6" spans="1:14">
      <c r="D6" s="77"/>
      <c r="E6" s="26"/>
      <c r="I6" s="76"/>
      <c r="K6" s="76"/>
      <c r="L6" s="76"/>
      <c r="M6" s="76"/>
      <c r="N6" s="77" t="s">
        <v>33</v>
      </c>
    </row>
    <row r="7" spans="1:14">
      <c r="A7" s="74" t="s">
        <v>165</v>
      </c>
      <c r="D7" s="76"/>
      <c r="E7" s="26"/>
      <c r="H7" s="183"/>
      <c r="J7" s="78" t="s">
        <v>200</v>
      </c>
      <c r="L7" s="78" t="s">
        <v>142</v>
      </c>
      <c r="N7" s="77" t="s">
        <v>125</v>
      </c>
    </row>
    <row r="8" spans="1:14">
      <c r="A8" s="79" t="s">
        <v>141</v>
      </c>
      <c r="D8" s="76" t="s">
        <v>123</v>
      </c>
      <c r="F8" s="76" t="s">
        <v>143</v>
      </c>
      <c r="H8" s="76" t="s">
        <v>144</v>
      </c>
      <c r="J8" s="76" t="s">
        <v>176</v>
      </c>
      <c r="L8" s="167" t="s">
        <v>29</v>
      </c>
      <c r="M8" s="77"/>
      <c r="N8" s="167" t="s">
        <v>126</v>
      </c>
    </row>
    <row r="9" spans="1:14">
      <c r="A9" s="80" t="s">
        <v>145</v>
      </c>
      <c r="B9" s="81" t="s">
        <v>28</v>
      </c>
      <c r="C9" s="82"/>
      <c r="D9" s="35"/>
      <c r="F9" s="35"/>
      <c r="H9" s="35"/>
      <c r="J9" s="35"/>
      <c r="N9" s="35"/>
    </row>
    <row r="10" spans="1:14">
      <c r="A10" s="83">
        <f t="shared" ref="A10:A41" si="0">+A9+1</f>
        <v>2</v>
      </c>
      <c r="C10" s="484" t="s">
        <v>327</v>
      </c>
      <c r="D10" s="25">
        <f t="shared" ref="D10:D22" si="1">+D32+D54</f>
        <v>4279614309.2890005</v>
      </c>
      <c r="E10" s="26"/>
      <c r="F10" s="25">
        <f t="shared" ref="F10:L22" si="2">+F32+F54</f>
        <v>2010743761.7639</v>
      </c>
      <c r="G10" s="25">
        <f t="shared" si="2"/>
        <v>0</v>
      </c>
      <c r="H10" s="25">
        <f t="shared" si="2"/>
        <v>2394999554.1799002</v>
      </c>
      <c r="I10" s="25">
        <f t="shared" si="2"/>
        <v>0</v>
      </c>
      <c r="J10" s="25">
        <f t="shared" si="2"/>
        <v>464763749.72159994</v>
      </c>
      <c r="K10" s="25">
        <f t="shared" si="2"/>
        <v>0</v>
      </c>
      <c r="L10" s="25">
        <f t="shared" si="2"/>
        <v>294222213.63980001</v>
      </c>
      <c r="M10" s="25"/>
      <c r="N10" s="25">
        <f t="shared" ref="N10:N22" si="3">SUM(D10:L10)</f>
        <v>9444343588.5941982</v>
      </c>
    </row>
    <row r="11" spans="1:14">
      <c r="A11" s="83">
        <f t="shared" si="0"/>
        <v>3</v>
      </c>
      <c r="C11" s="484" t="s">
        <v>791</v>
      </c>
      <c r="D11" s="26">
        <f t="shared" si="1"/>
        <v>4261073838.9960942</v>
      </c>
      <c r="E11" s="26"/>
      <c r="F11" s="26">
        <f t="shared" si="2"/>
        <v>2006421960.9701455</v>
      </c>
      <c r="G11" s="26">
        <f t="shared" si="2"/>
        <v>0</v>
      </c>
      <c r="H11" s="26">
        <f t="shared" si="2"/>
        <v>2394741660.1079159</v>
      </c>
      <c r="I11" s="26">
        <f t="shared" si="2"/>
        <v>0</v>
      </c>
      <c r="J11" s="26">
        <f t="shared" si="2"/>
        <v>466747131.09902257</v>
      </c>
      <c r="K11" s="26">
        <f t="shared" si="2"/>
        <v>0</v>
      </c>
      <c r="L11" s="26">
        <f t="shared" si="2"/>
        <v>292181288.5290314</v>
      </c>
      <c r="M11" s="105"/>
      <c r="N11" s="18">
        <f t="shared" si="3"/>
        <v>9421165879.7022095</v>
      </c>
    </row>
    <row r="12" spans="1:14">
      <c r="A12" s="83">
        <f t="shared" si="0"/>
        <v>4</v>
      </c>
      <c r="C12" s="84" t="s">
        <v>271</v>
      </c>
      <c r="D12" s="26">
        <f t="shared" si="1"/>
        <v>4249070645.8918638</v>
      </c>
      <c r="E12" s="26"/>
      <c r="F12" s="26">
        <f t="shared" si="2"/>
        <v>2001372479.5982003</v>
      </c>
      <c r="G12" s="26">
        <f t="shared" si="2"/>
        <v>0</v>
      </c>
      <c r="H12" s="26">
        <f t="shared" si="2"/>
        <v>2398506731.9220834</v>
      </c>
      <c r="I12" s="26">
        <f t="shared" si="2"/>
        <v>0</v>
      </c>
      <c r="J12" s="26">
        <f t="shared" si="2"/>
        <v>467089423.04927135</v>
      </c>
      <c r="K12" s="26">
        <f t="shared" si="2"/>
        <v>0</v>
      </c>
      <c r="L12" s="26">
        <f t="shared" si="2"/>
        <v>292987386.74343812</v>
      </c>
      <c r="M12" s="105"/>
      <c r="N12" s="18">
        <f t="shared" si="3"/>
        <v>9409026667.2048569</v>
      </c>
    </row>
    <row r="13" spans="1:14">
      <c r="A13" s="83">
        <f t="shared" si="0"/>
        <v>5</v>
      </c>
      <c r="C13" s="84" t="s">
        <v>272</v>
      </c>
      <c r="D13" s="26">
        <f t="shared" si="1"/>
        <v>4235631506.0603266</v>
      </c>
      <c r="E13" s="26"/>
      <c r="F13" s="26">
        <f t="shared" si="2"/>
        <v>2048225494.1220925</v>
      </c>
      <c r="G13" s="26">
        <f t="shared" si="2"/>
        <v>0</v>
      </c>
      <c r="H13" s="26">
        <f t="shared" si="2"/>
        <v>2401069783.5637488</v>
      </c>
      <c r="I13" s="26">
        <f t="shared" si="2"/>
        <v>0</v>
      </c>
      <c r="J13" s="26">
        <f t="shared" si="2"/>
        <v>465756693.35877347</v>
      </c>
      <c r="K13" s="26">
        <f t="shared" si="2"/>
        <v>0</v>
      </c>
      <c r="L13" s="26">
        <f t="shared" si="2"/>
        <v>293547528.3646239</v>
      </c>
      <c r="M13" s="105"/>
      <c r="N13" s="18">
        <f t="shared" si="3"/>
        <v>9444231005.4695663</v>
      </c>
    </row>
    <row r="14" spans="1:14">
      <c r="A14" s="83">
        <f t="shared" si="0"/>
        <v>6</v>
      </c>
      <c r="C14" s="84" t="s">
        <v>168</v>
      </c>
      <c r="D14" s="26">
        <f t="shared" si="1"/>
        <v>4226337256.5200005</v>
      </c>
      <c r="E14" s="26"/>
      <c r="F14" s="26">
        <f t="shared" si="2"/>
        <v>2363746083.1000032</v>
      </c>
      <c r="G14" s="26">
        <f t="shared" si="2"/>
        <v>0</v>
      </c>
      <c r="H14" s="26">
        <f t="shared" si="2"/>
        <v>2406907809.3999987</v>
      </c>
      <c r="I14" s="26">
        <f t="shared" si="2"/>
        <v>0</v>
      </c>
      <c r="J14" s="26">
        <f t="shared" si="2"/>
        <v>469493964.87000006</v>
      </c>
      <c r="K14" s="26">
        <f t="shared" si="2"/>
        <v>0</v>
      </c>
      <c r="L14" s="26">
        <f t="shared" si="2"/>
        <v>291551436.28000009</v>
      </c>
      <c r="M14" s="105"/>
      <c r="N14" s="18">
        <f t="shared" si="3"/>
        <v>9758036550.1700039</v>
      </c>
    </row>
    <row r="15" spans="1:14">
      <c r="A15" s="83">
        <f t="shared" si="0"/>
        <v>7</v>
      </c>
      <c r="C15" s="84" t="s">
        <v>273</v>
      </c>
      <c r="D15" s="26">
        <f t="shared" si="1"/>
        <v>4226044223.6100001</v>
      </c>
      <c r="E15" s="26"/>
      <c r="F15" s="26">
        <f t="shared" si="2"/>
        <v>2415391539.0900016</v>
      </c>
      <c r="G15" s="26">
        <f t="shared" si="2"/>
        <v>0</v>
      </c>
      <c r="H15" s="26">
        <f t="shared" si="2"/>
        <v>2413657764.5300007</v>
      </c>
      <c r="I15" s="26">
        <f t="shared" si="2"/>
        <v>0</v>
      </c>
      <c r="J15" s="26">
        <f t="shared" si="2"/>
        <v>470688283.92999971</v>
      </c>
      <c r="K15" s="26">
        <f t="shared" si="2"/>
        <v>0</v>
      </c>
      <c r="L15" s="26">
        <f t="shared" si="2"/>
        <v>289209079.56000018</v>
      </c>
      <c r="M15" s="105"/>
      <c r="N15" s="18">
        <f t="shared" si="3"/>
        <v>9814990890.7200031</v>
      </c>
    </row>
    <row r="16" spans="1:14">
      <c r="A16" s="83">
        <f t="shared" si="0"/>
        <v>8</v>
      </c>
      <c r="C16" s="84" t="s">
        <v>274</v>
      </c>
      <c r="D16" s="26">
        <f t="shared" si="1"/>
        <v>4218698460.4499993</v>
      </c>
      <c r="E16" s="26"/>
      <c r="F16" s="26">
        <f t="shared" si="2"/>
        <v>2446993395.130002</v>
      </c>
      <c r="G16" s="26">
        <f t="shared" si="2"/>
        <v>0</v>
      </c>
      <c r="H16" s="26">
        <f t="shared" si="2"/>
        <v>2435667471.4899998</v>
      </c>
      <c r="I16" s="26">
        <f t="shared" si="2"/>
        <v>0</v>
      </c>
      <c r="J16" s="26">
        <f t="shared" si="2"/>
        <v>472029356.25999987</v>
      </c>
      <c r="K16" s="26">
        <f t="shared" si="2"/>
        <v>0</v>
      </c>
      <c r="L16" s="26">
        <f t="shared" si="2"/>
        <v>286789409.67000008</v>
      </c>
      <c r="M16" s="105"/>
      <c r="N16" s="18">
        <f t="shared" si="3"/>
        <v>9860178093.0000019</v>
      </c>
    </row>
    <row r="17" spans="1:14">
      <c r="A17" s="83">
        <f t="shared" si="0"/>
        <v>9</v>
      </c>
      <c r="C17" s="84" t="s">
        <v>170</v>
      </c>
      <c r="D17" s="26">
        <f t="shared" si="1"/>
        <v>4209830976.0988202</v>
      </c>
      <c r="E17" s="26"/>
      <c r="F17" s="26">
        <f t="shared" si="2"/>
        <v>2463337268.670002</v>
      </c>
      <c r="G17" s="26">
        <f t="shared" si="2"/>
        <v>0</v>
      </c>
      <c r="H17" s="26">
        <f t="shared" si="2"/>
        <v>2455000005.1700001</v>
      </c>
      <c r="I17" s="26">
        <f t="shared" si="2"/>
        <v>0</v>
      </c>
      <c r="J17" s="26">
        <f t="shared" si="2"/>
        <v>470432573.39999998</v>
      </c>
      <c r="K17" s="26">
        <f t="shared" si="2"/>
        <v>0</v>
      </c>
      <c r="L17" s="26">
        <f t="shared" si="2"/>
        <v>283734656.54999989</v>
      </c>
      <c r="M17" s="105"/>
      <c r="N17" s="18">
        <f t="shared" si="3"/>
        <v>9882335479.8888206</v>
      </c>
    </row>
    <row r="18" spans="1:14">
      <c r="A18" s="83">
        <f t="shared" si="0"/>
        <v>10</v>
      </c>
      <c r="C18" s="84" t="s">
        <v>275</v>
      </c>
      <c r="D18" s="26">
        <f t="shared" si="1"/>
        <v>4210768156.011138</v>
      </c>
      <c r="E18" s="26"/>
      <c r="F18" s="26">
        <f t="shared" si="2"/>
        <v>2480313038.9000025</v>
      </c>
      <c r="G18" s="26">
        <f t="shared" si="2"/>
        <v>0</v>
      </c>
      <c r="H18" s="26">
        <f t="shared" si="2"/>
        <v>2463943023.9599996</v>
      </c>
      <c r="I18" s="26">
        <f t="shared" si="2"/>
        <v>0</v>
      </c>
      <c r="J18" s="26">
        <f t="shared" si="2"/>
        <v>468447799.03999984</v>
      </c>
      <c r="K18" s="26">
        <f t="shared" si="2"/>
        <v>0</v>
      </c>
      <c r="L18" s="26">
        <f t="shared" si="2"/>
        <v>285828894.77999997</v>
      </c>
      <c r="M18" s="105"/>
      <c r="N18" s="18">
        <f t="shared" si="3"/>
        <v>9909300912.6911392</v>
      </c>
    </row>
    <row r="19" spans="1:14">
      <c r="A19" s="83">
        <f t="shared" si="0"/>
        <v>11</v>
      </c>
      <c r="C19" s="84" t="s">
        <v>276</v>
      </c>
      <c r="D19" s="26">
        <f t="shared" si="1"/>
        <v>4207320790.0100012</v>
      </c>
      <c r="E19" s="26"/>
      <c r="F19" s="26">
        <f t="shared" si="2"/>
        <v>2485499685.8400016</v>
      </c>
      <c r="G19" s="26">
        <f t="shared" si="2"/>
        <v>0</v>
      </c>
      <c r="H19" s="26">
        <f t="shared" si="2"/>
        <v>2474243972.0700002</v>
      </c>
      <c r="I19" s="26">
        <f t="shared" si="2"/>
        <v>0</v>
      </c>
      <c r="J19" s="26">
        <f t="shared" si="2"/>
        <v>472558638.50000024</v>
      </c>
      <c r="K19" s="26">
        <f t="shared" si="2"/>
        <v>0</v>
      </c>
      <c r="L19" s="26">
        <f t="shared" si="2"/>
        <v>282525985.16999978</v>
      </c>
      <c r="M19" s="105"/>
      <c r="N19" s="18">
        <f t="shared" si="3"/>
        <v>9922149071.5900021</v>
      </c>
    </row>
    <row r="20" spans="1:14">
      <c r="A20" s="83">
        <f t="shared" si="0"/>
        <v>12</v>
      </c>
      <c r="C20" s="84" t="s">
        <v>277</v>
      </c>
      <c r="D20" s="26">
        <f t="shared" si="1"/>
        <v>4198454949.5200005</v>
      </c>
      <c r="E20" s="26"/>
      <c r="F20" s="26">
        <f t="shared" si="2"/>
        <v>2508170486.960001</v>
      </c>
      <c r="G20" s="26">
        <f t="shared" si="2"/>
        <v>0</v>
      </c>
      <c r="H20" s="26">
        <f t="shared" si="2"/>
        <v>2482295885.2400007</v>
      </c>
      <c r="I20" s="26">
        <f t="shared" si="2"/>
        <v>0</v>
      </c>
      <c r="J20" s="26">
        <f t="shared" si="2"/>
        <v>504750955.65000015</v>
      </c>
      <c r="K20" s="26">
        <f t="shared" si="2"/>
        <v>0</v>
      </c>
      <c r="L20" s="26">
        <f t="shared" si="2"/>
        <v>287107234.21999997</v>
      </c>
      <c r="M20" s="105"/>
      <c r="N20" s="18">
        <f t="shared" si="3"/>
        <v>9980779511.5900002</v>
      </c>
    </row>
    <row r="21" spans="1:14">
      <c r="A21" s="83">
        <f t="shared" si="0"/>
        <v>13</v>
      </c>
      <c r="C21" s="84" t="s">
        <v>278</v>
      </c>
      <c r="D21" s="26">
        <f t="shared" si="1"/>
        <v>4206100841.4000015</v>
      </c>
      <c r="E21" s="26"/>
      <c r="F21" s="26">
        <f t="shared" si="2"/>
        <v>2526539520.3700027</v>
      </c>
      <c r="G21" s="26">
        <f t="shared" si="2"/>
        <v>0</v>
      </c>
      <c r="H21" s="26">
        <f t="shared" si="2"/>
        <v>2491684417.3899994</v>
      </c>
      <c r="I21" s="26">
        <f t="shared" si="2"/>
        <v>0</v>
      </c>
      <c r="J21" s="26">
        <f t="shared" si="2"/>
        <v>496384073.39999986</v>
      </c>
      <c r="K21" s="26">
        <f t="shared" si="2"/>
        <v>0</v>
      </c>
      <c r="L21" s="26">
        <f t="shared" si="2"/>
        <v>316115678.80999994</v>
      </c>
      <c r="M21" s="105"/>
      <c r="N21" s="18">
        <f t="shared" si="3"/>
        <v>10036824531.370003</v>
      </c>
    </row>
    <row r="22" spans="1:14">
      <c r="A22" s="83">
        <f t="shared" si="0"/>
        <v>14</v>
      </c>
      <c r="C22" s="484" t="s">
        <v>792</v>
      </c>
      <c r="D22" s="26">
        <f t="shared" si="1"/>
        <v>4258422581.2300005</v>
      </c>
      <c r="E22" s="26"/>
      <c r="F22" s="26">
        <f t="shared" si="2"/>
        <v>2593572330.0699997</v>
      </c>
      <c r="G22" s="26">
        <f t="shared" si="2"/>
        <v>0</v>
      </c>
      <c r="H22" s="26">
        <f t="shared" si="2"/>
        <v>2517111062.0899997</v>
      </c>
      <c r="I22" s="26">
        <f t="shared" si="2"/>
        <v>0</v>
      </c>
      <c r="J22" s="26">
        <f t="shared" si="2"/>
        <v>525624160.40000015</v>
      </c>
      <c r="K22" s="26">
        <f t="shared" si="2"/>
        <v>0</v>
      </c>
      <c r="L22" s="26">
        <f t="shared" si="2"/>
        <v>344529965.34000003</v>
      </c>
      <c r="M22" s="105"/>
      <c r="N22" s="18">
        <f t="shared" si="3"/>
        <v>10239260099.129999</v>
      </c>
    </row>
    <row r="23" spans="1:14">
      <c r="A23" s="83">
        <f t="shared" si="0"/>
        <v>15</v>
      </c>
      <c r="C23" s="84"/>
      <c r="D23" s="34"/>
      <c r="F23" s="34"/>
      <c r="H23" s="34"/>
      <c r="I23" s="18"/>
      <c r="J23" s="34"/>
      <c r="K23" s="18"/>
      <c r="L23" s="168"/>
      <c r="M23" s="105"/>
      <c r="N23" s="34"/>
    </row>
    <row r="24" spans="1:14" ht="13.5" thickBot="1">
      <c r="A24" s="83">
        <f t="shared" si="0"/>
        <v>16</v>
      </c>
      <c r="C24" s="176" t="s">
        <v>147</v>
      </c>
      <c r="D24" s="36">
        <f>D46+D68</f>
        <v>4229797579.6220965</v>
      </c>
      <c r="F24" s="36">
        <f>F46+F68</f>
        <v>2334640541.8911042</v>
      </c>
      <c r="G24" s="72"/>
      <c r="H24" s="36">
        <f>H46+H68</f>
        <v>2440756087.7779727</v>
      </c>
      <c r="I24" s="171"/>
      <c r="J24" s="36">
        <f>J46+J68</f>
        <v>478058984.82143593</v>
      </c>
      <c r="K24" s="25"/>
      <c r="L24" s="36">
        <f>L46+L68</f>
        <v>295410058.28129941</v>
      </c>
      <c r="M24" s="108"/>
      <c r="N24" s="36">
        <f>N46+N68</f>
        <v>9778663252.3939095</v>
      </c>
    </row>
    <row r="25" spans="1:14" ht="13.5" thickTop="1">
      <c r="A25" s="83"/>
      <c r="D25" s="18"/>
      <c r="F25" s="18"/>
      <c r="H25" s="18"/>
      <c r="I25" s="18"/>
      <c r="J25" s="18"/>
      <c r="K25" s="18"/>
      <c r="L25" s="18"/>
      <c r="M25" s="18"/>
      <c r="N25" s="18"/>
    </row>
    <row r="26" spans="1:14">
      <c r="A26" s="83"/>
      <c r="D26" s="18"/>
      <c r="F26" s="18"/>
      <c r="H26" s="18"/>
      <c r="I26" s="18"/>
      <c r="J26" s="18"/>
      <c r="K26" s="18"/>
      <c r="L26" s="18"/>
      <c r="M26" s="18"/>
      <c r="N26" s="18"/>
    </row>
    <row r="27" spans="1:14">
      <c r="A27" s="83"/>
      <c r="E27" s="26"/>
      <c r="I27" s="76"/>
      <c r="K27" s="76"/>
      <c r="L27" s="76"/>
      <c r="M27" s="76"/>
      <c r="N27" s="77" t="s">
        <v>148</v>
      </c>
    </row>
    <row r="28" spans="1:14">
      <c r="A28" s="83"/>
      <c r="D28" s="77"/>
      <c r="E28" s="26"/>
      <c r="I28" s="76"/>
      <c r="K28" s="76"/>
      <c r="L28" s="76"/>
      <c r="M28" s="76"/>
      <c r="N28" s="77" t="s">
        <v>33</v>
      </c>
    </row>
    <row r="29" spans="1:14">
      <c r="A29" s="83"/>
      <c r="D29" s="76"/>
      <c r="E29" s="26"/>
      <c r="H29" s="183"/>
      <c r="J29" s="78" t="s">
        <v>200</v>
      </c>
      <c r="L29" s="78" t="s">
        <v>142</v>
      </c>
      <c r="N29" s="77" t="s">
        <v>125</v>
      </c>
    </row>
    <row r="30" spans="1:14">
      <c r="A30" s="83"/>
      <c r="C30" s="7"/>
      <c r="D30" s="76" t="s">
        <v>123</v>
      </c>
      <c r="F30" s="76" t="s">
        <v>143</v>
      </c>
      <c r="H30" s="76" t="s">
        <v>144</v>
      </c>
      <c r="J30" s="76" t="s">
        <v>176</v>
      </c>
      <c r="L30" s="167" t="s">
        <v>29</v>
      </c>
      <c r="M30" s="77"/>
      <c r="N30" s="167" t="s">
        <v>126</v>
      </c>
    </row>
    <row r="31" spans="1:14">
      <c r="A31" s="83">
        <f>A24+1</f>
        <v>17</v>
      </c>
      <c r="B31" s="81" t="s">
        <v>30</v>
      </c>
      <c r="C31" s="82"/>
      <c r="D31" s="35"/>
      <c r="F31" s="35"/>
      <c r="H31" s="35"/>
      <c r="J31" s="35"/>
      <c r="N31" s="35"/>
    </row>
    <row r="32" spans="1:14" ht="13.5" customHeight="1">
      <c r="A32" s="83">
        <f t="shared" si="0"/>
        <v>18</v>
      </c>
      <c r="C32" s="484" t="s">
        <v>327</v>
      </c>
      <c r="D32" s="25">
        <f>'WP Gross Plant'!D28-'WP Accum Deprec'!D29</f>
        <v>4106229471.2490005</v>
      </c>
      <c r="E32" s="26"/>
      <c r="F32" s="25">
        <f>'WP Gross Plant'!F28-'WP Accum Deprec'!F29</f>
        <v>1583064946.0039001</v>
      </c>
      <c r="G32" s="26"/>
      <c r="H32" s="25">
        <f>'WP Gross Plant'!H28-'WP Accum Deprec'!H29</f>
        <v>2015733327.3899002</v>
      </c>
      <c r="I32" s="26"/>
      <c r="J32" s="25">
        <f>'WP Gross Plant'!J28-'WP Accum Deprec'!J29</f>
        <v>411330030.82159996</v>
      </c>
      <c r="K32" s="18"/>
      <c r="L32" s="25">
        <f>'WP Gross Plant'!L28-'WP Accum Deprec'!L29</f>
        <v>243496350.63980001</v>
      </c>
      <c r="M32" s="25"/>
      <c r="N32" s="25">
        <f t="shared" ref="N32:N44" si="4">SUM(D32:L32)</f>
        <v>8359854126.1042013</v>
      </c>
    </row>
    <row r="33" spans="1:14">
      <c r="A33" s="83">
        <f t="shared" si="0"/>
        <v>19</v>
      </c>
      <c r="C33" s="484" t="s">
        <v>791</v>
      </c>
      <c r="D33" s="25">
        <f>'WP Gross Plant'!D29-'WP Accum Deprec'!D30</f>
        <v>4088059707.6760941</v>
      </c>
      <c r="E33" s="26"/>
      <c r="F33" s="25">
        <f>'WP Gross Plant'!F29-'WP Accum Deprec'!F30</f>
        <v>1579480495.1201453</v>
      </c>
      <c r="G33" s="26"/>
      <c r="H33" s="25">
        <f>'WP Gross Plant'!H29-'WP Accum Deprec'!H30</f>
        <v>2015012151.9479158</v>
      </c>
      <c r="I33" s="26"/>
      <c r="J33" s="25">
        <f>'WP Gross Plant'!J29-'WP Accum Deprec'!J30</f>
        <v>413274161.20902258</v>
      </c>
      <c r="K33" s="18"/>
      <c r="L33" s="25">
        <f>'WP Gross Plant'!L29-'WP Accum Deprec'!L30</f>
        <v>241615527.5290314</v>
      </c>
      <c r="M33" s="105"/>
      <c r="N33" s="18">
        <f t="shared" si="4"/>
        <v>8337442043.4822102</v>
      </c>
    </row>
    <row r="34" spans="1:14">
      <c r="A34" s="83">
        <f t="shared" si="0"/>
        <v>20</v>
      </c>
      <c r="C34" s="84" t="s">
        <v>271</v>
      </c>
      <c r="D34" s="25">
        <f>'WP Gross Plant'!D30-'WP Accum Deprec'!D31</f>
        <v>4077044376.7318635</v>
      </c>
      <c r="E34" s="26"/>
      <c r="F34" s="25">
        <f>'WP Gross Plant'!F30-'WP Accum Deprec'!F31</f>
        <v>1574481871.0582004</v>
      </c>
      <c r="G34" s="26"/>
      <c r="H34" s="25">
        <f>'WP Gross Plant'!H30-'WP Accum Deprec'!H31</f>
        <v>2018551090.4620833</v>
      </c>
      <c r="I34" s="26"/>
      <c r="J34" s="25">
        <f>'WP Gross Plant'!J30-'WP Accum Deprec'!J31</f>
        <v>413823587.51927131</v>
      </c>
      <c r="K34" s="18"/>
      <c r="L34" s="25">
        <f>'WP Gross Plant'!L30-'WP Accum Deprec'!L31</f>
        <v>239579135.23343813</v>
      </c>
      <c r="M34" s="105"/>
      <c r="N34" s="18">
        <f t="shared" si="4"/>
        <v>8323480061.0048571</v>
      </c>
    </row>
    <row r="35" spans="1:14">
      <c r="A35" s="83">
        <f t="shared" si="0"/>
        <v>21</v>
      </c>
      <c r="C35" s="84" t="s">
        <v>272</v>
      </c>
      <c r="D35" s="25">
        <f>'WP Gross Plant'!D31-'WP Accum Deprec'!D32</f>
        <v>4064679806.7303267</v>
      </c>
      <c r="E35" s="26"/>
      <c r="F35" s="25">
        <f>'WP Gross Plant'!F31-'WP Accum Deprec'!F32</f>
        <v>1601710448.0420923</v>
      </c>
      <c r="G35" s="26"/>
      <c r="H35" s="25">
        <f>'WP Gross Plant'!H31-'WP Accum Deprec'!H32</f>
        <v>2019779324.1137488</v>
      </c>
      <c r="I35" s="26"/>
      <c r="J35" s="25">
        <f>'WP Gross Plant'!J31-'WP Accum Deprec'!J32</f>
        <v>412970556.00877345</v>
      </c>
      <c r="K35" s="18"/>
      <c r="L35" s="25">
        <f>'WP Gross Plant'!L31-'WP Accum Deprec'!L32</f>
        <v>240050430.83462387</v>
      </c>
      <c r="M35" s="105"/>
      <c r="N35" s="18">
        <f t="shared" si="4"/>
        <v>8339190565.7295656</v>
      </c>
    </row>
    <row r="36" spans="1:14">
      <c r="A36" s="83">
        <f t="shared" si="0"/>
        <v>22</v>
      </c>
      <c r="C36" s="84" t="s">
        <v>168</v>
      </c>
      <c r="D36" s="25">
        <f>'WP Gross Plant'!D32-'WP Accum Deprec'!D33</f>
        <v>4055870249.2900004</v>
      </c>
      <c r="E36" s="26"/>
      <c r="F36" s="25">
        <f>'WP Gross Plant'!F32-'WP Accum Deprec'!F33</f>
        <v>1913710622.900003</v>
      </c>
      <c r="G36" s="26"/>
      <c r="H36" s="25">
        <f>'WP Gross Plant'!H32-'WP Accum Deprec'!H33</f>
        <v>2023360456.069999</v>
      </c>
      <c r="I36" s="26"/>
      <c r="J36" s="25">
        <f>'WP Gross Plant'!J32-'WP Accum Deprec'!J33</f>
        <v>416199298.44000006</v>
      </c>
      <c r="K36" s="18"/>
      <c r="L36" s="25">
        <f>'WP Gross Plant'!L32-'WP Accum Deprec'!L33</f>
        <v>238461502.87000006</v>
      </c>
      <c r="M36" s="105"/>
      <c r="N36" s="18">
        <f t="shared" si="4"/>
        <v>8647602129.5700035</v>
      </c>
    </row>
    <row r="37" spans="1:14">
      <c r="A37" s="83">
        <f t="shared" si="0"/>
        <v>23</v>
      </c>
      <c r="C37" s="84" t="s">
        <v>273</v>
      </c>
      <c r="D37" s="25">
        <f>'WP Gross Plant'!D33-'WP Accum Deprec'!D34</f>
        <v>4056725748.9299998</v>
      </c>
      <c r="E37" s="26"/>
      <c r="F37" s="25">
        <f>'WP Gross Plant'!F33-'WP Accum Deprec'!F34</f>
        <v>1950829811.9400015</v>
      </c>
      <c r="G37" s="26"/>
      <c r="H37" s="25">
        <f>'WP Gross Plant'!H33-'WP Accum Deprec'!H34</f>
        <v>2029199249.1100006</v>
      </c>
      <c r="I37" s="26"/>
      <c r="J37" s="25">
        <f>'WP Gross Plant'!J33-'WP Accum Deprec'!J34</f>
        <v>416569131.0599997</v>
      </c>
      <c r="K37" s="18"/>
      <c r="L37" s="25">
        <f>'WP Gross Plant'!L33-'WP Accum Deprec'!L34</f>
        <v>236415122.15000015</v>
      </c>
      <c r="M37" s="105"/>
      <c r="N37" s="18">
        <f t="shared" si="4"/>
        <v>8689739063.1900005</v>
      </c>
    </row>
    <row r="38" spans="1:14">
      <c r="A38" s="83">
        <f t="shared" si="0"/>
        <v>24</v>
      </c>
      <c r="C38" s="84" t="s">
        <v>274</v>
      </c>
      <c r="D38" s="25">
        <f>'WP Gross Plant'!D34-'WP Accum Deprec'!D35</f>
        <v>4050529655.0699992</v>
      </c>
      <c r="E38" s="26"/>
      <c r="F38" s="25">
        <f>'WP Gross Plant'!F34-'WP Accum Deprec'!F35</f>
        <v>1977083596.7400019</v>
      </c>
      <c r="G38" s="26"/>
      <c r="H38" s="25">
        <f>'WP Gross Plant'!H34-'WP Accum Deprec'!H35</f>
        <v>2048109070.7499998</v>
      </c>
      <c r="I38" s="26"/>
      <c r="J38" s="25">
        <f>'WP Gross Plant'!J34-'WP Accum Deprec'!J35</f>
        <v>417108975.81999987</v>
      </c>
      <c r="K38" s="18"/>
      <c r="L38" s="25">
        <f>'WP Gross Plant'!L34-'WP Accum Deprec'!L35</f>
        <v>234311781.13000008</v>
      </c>
      <c r="M38" s="105"/>
      <c r="N38" s="18">
        <f t="shared" si="4"/>
        <v>8727143079.5100002</v>
      </c>
    </row>
    <row r="39" spans="1:14">
      <c r="A39" s="83">
        <f t="shared" si="0"/>
        <v>25</v>
      </c>
      <c r="C39" s="84" t="s">
        <v>170</v>
      </c>
      <c r="D39" s="25">
        <f>'WP Gross Plant'!D35-'WP Accum Deprec'!D36</f>
        <v>4041946788.9988203</v>
      </c>
      <c r="E39" s="26"/>
      <c r="F39" s="25">
        <f>'WP Gross Plant'!F35-'WP Accum Deprec'!F36</f>
        <v>1993105426.660002</v>
      </c>
      <c r="G39" s="26"/>
      <c r="H39" s="25">
        <f>'WP Gross Plant'!H35-'WP Accum Deprec'!H36</f>
        <v>2062072289.2200003</v>
      </c>
      <c r="I39" s="26"/>
      <c r="J39" s="25">
        <f>'WP Gross Plant'!J35-'WP Accum Deprec'!J36</f>
        <v>415430387.71999997</v>
      </c>
      <c r="K39" s="18"/>
      <c r="L39" s="25">
        <f>'WP Gross Plant'!L35-'WP Accum Deprec'!L36</f>
        <v>231747000.6099999</v>
      </c>
      <c r="M39" s="105"/>
      <c r="N39" s="18">
        <f t="shared" si="4"/>
        <v>8744301893.2088223</v>
      </c>
    </row>
    <row r="40" spans="1:14">
      <c r="A40" s="83">
        <f t="shared" si="0"/>
        <v>26</v>
      </c>
      <c r="C40" s="84" t="s">
        <v>275</v>
      </c>
      <c r="D40" s="25">
        <f>'WP Gross Plant'!D36-'WP Accum Deprec'!D37</f>
        <v>4043935041.8511381</v>
      </c>
      <c r="E40" s="26"/>
      <c r="F40" s="25">
        <f>'WP Gross Plant'!F36-'WP Accum Deprec'!F37</f>
        <v>2011077934.7700024</v>
      </c>
      <c r="G40" s="26"/>
      <c r="H40" s="25">
        <f>'WP Gross Plant'!H36-'WP Accum Deprec'!H37</f>
        <v>2070336991.6699996</v>
      </c>
      <c r="I40" s="26"/>
      <c r="J40" s="25">
        <f>'WP Gross Plant'!J36-'WP Accum Deprec'!J37</f>
        <v>413780764.25999981</v>
      </c>
      <c r="K40" s="18"/>
      <c r="L40" s="25">
        <f>'WP Gross Plant'!L36-'WP Accum Deprec'!L37</f>
        <v>233159346.57999992</v>
      </c>
      <c r="M40" s="105"/>
      <c r="N40" s="18">
        <f t="shared" si="4"/>
        <v>8772290079.1311398</v>
      </c>
    </row>
    <row r="41" spans="1:14">
      <c r="A41" s="83">
        <f t="shared" si="0"/>
        <v>27</v>
      </c>
      <c r="C41" s="84" t="s">
        <v>276</v>
      </c>
      <c r="D41" s="25">
        <f>'WP Gross Plant'!D37-'WP Accum Deprec'!D38</f>
        <v>4040977382.2000012</v>
      </c>
      <c r="E41" s="26"/>
      <c r="F41" s="25">
        <f>'WP Gross Plant'!F37-'WP Accum Deprec'!F38</f>
        <v>2016999656.6300018</v>
      </c>
      <c r="G41" s="26"/>
      <c r="H41" s="25">
        <f>'WP Gross Plant'!H37-'WP Accum Deprec'!H38</f>
        <v>2078118645.9200001</v>
      </c>
      <c r="I41" s="26"/>
      <c r="J41" s="25">
        <f>'WP Gross Plant'!J37-'WP Accum Deprec'!J38</f>
        <v>418088262.20000023</v>
      </c>
      <c r="K41" s="18"/>
      <c r="L41" s="25">
        <f>'WP Gross Plant'!L37-'WP Accum Deprec'!L38</f>
        <v>230398339.85999978</v>
      </c>
      <c r="M41" s="105"/>
      <c r="N41" s="18">
        <f t="shared" si="4"/>
        <v>8784582286.8100033</v>
      </c>
    </row>
    <row r="42" spans="1:14">
      <c r="A42" s="83">
        <f t="shared" ref="A42:A68" si="5">+A41+1</f>
        <v>28</v>
      </c>
      <c r="C42" s="84" t="s">
        <v>277</v>
      </c>
      <c r="D42" s="25">
        <f>'WP Gross Plant'!D38-'WP Accum Deprec'!D39</f>
        <v>4032139120.4600005</v>
      </c>
      <c r="E42" s="26"/>
      <c r="F42" s="25">
        <f>'WP Gross Plant'!F38-'WP Accum Deprec'!F39</f>
        <v>2024303621.460001</v>
      </c>
      <c r="G42" s="26"/>
      <c r="H42" s="25">
        <f>'WP Gross Plant'!H38-'WP Accum Deprec'!H39</f>
        <v>2084011087.0100009</v>
      </c>
      <c r="I42" s="26"/>
      <c r="J42" s="25">
        <f>'WP Gross Plant'!J38-'WP Accum Deprec'!J39</f>
        <v>450672958.92000014</v>
      </c>
      <c r="K42" s="18"/>
      <c r="L42" s="25">
        <f>'WP Gross Plant'!L38-'WP Accum Deprec'!L39</f>
        <v>234664243.22999996</v>
      </c>
      <c r="M42" s="105"/>
      <c r="N42" s="18">
        <f t="shared" si="4"/>
        <v>8825791031.0800037</v>
      </c>
    </row>
    <row r="43" spans="1:14">
      <c r="A43" s="83">
        <f t="shared" si="5"/>
        <v>29</v>
      </c>
      <c r="C43" s="84" t="s">
        <v>278</v>
      </c>
      <c r="D43" s="25">
        <f>'WP Gross Plant'!D39-'WP Accum Deprec'!D40</f>
        <v>4040656219.4100013</v>
      </c>
      <c r="E43" s="26"/>
      <c r="F43" s="25">
        <f>'WP Gross Plant'!F39-'WP Accum Deprec'!F40</f>
        <v>2040019423.9600027</v>
      </c>
      <c r="G43" s="26"/>
      <c r="H43" s="25">
        <f>'WP Gross Plant'!H39-'WP Accum Deprec'!H40</f>
        <v>2092726095.3299992</v>
      </c>
      <c r="I43" s="26"/>
      <c r="J43" s="25">
        <f>'WP Gross Plant'!J39-'WP Accum Deprec'!J40</f>
        <v>442663854.09999985</v>
      </c>
      <c r="K43" s="18"/>
      <c r="L43" s="25">
        <f>'WP Gross Plant'!L39-'WP Accum Deprec'!L40</f>
        <v>260378772.38999993</v>
      </c>
      <c r="M43" s="105"/>
      <c r="N43" s="18">
        <f t="shared" si="4"/>
        <v>8876444365.1900024</v>
      </c>
    </row>
    <row r="44" spans="1:14">
      <c r="A44" s="83">
        <f t="shared" si="5"/>
        <v>30</v>
      </c>
      <c r="C44" s="484" t="s">
        <v>792</v>
      </c>
      <c r="D44" s="25">
        <f>'WP Gross Plant'!D40-'WP Accum Deprec'!D41</f>
        <v>4089907022.0500002</v>
      </c>
      <c r="E44" s="26"/>
      <c r="F44" s="25">
        <f>'WP Gross Plant'!F40-'WP Accum Deprec'!F41</f>
        <v>2091940019.9999998</v>
      </c>
      <c r="G44" s="26"/>
      <c r="H44" s="25">
        <f>'WP Gross Plant'!H40-'WP Accum Deprec'!H41</f>
        <v>2112974674.3399999</v>
      </c>
      <c r="I44" s="26"/>
      <c r="J44" s="25">
        <f>'WP Gross Plant'!J40-'WP Accum Deprec'!J41</f>
        <v>468709602.17000014</v>
      </c>
      <c r="K44" s="18"/>
      <c r="L44" s="25">
        <f>'WP Gross Plant'!L40-'WP Accum Deprec'!L41</f>
        <v>282323123.14999998</v>
      </c>
      <c r="M44" s="105"/>
      <c r="N44" s="18">
        <f t="shared" si="4"/>
        <v>9045854441.710001</v>
      </c>
    </row>
    <row r="45" spans="1:14">
      <c r="A45" s="83">
        <f t="shared" si="5"/>
        <v>31</v>
      </c>
      <c r="C45" s="84"/>
      <c r="D45" s="34"/>
      <c r="F45" s="34"/>
      <c r="H45" s="34"/>
      <c r="I45" s="18"/>
      <c r="J45" s="34"/>
      <c r="K45" s="18"/>
      <c r="L45" s="168"/>
      <c r="M45" s="105"/>
      <c r="N45" s="34"/>
    </row>
    <row r="46" spans="1:14" ht="13.5" thickBot="1">
      <c r="A46" s="83">
        <f t="shared" si="5"/>
        <v>32</v>
      </c>
      <c r="C46" s="176" t="s">
        <v>147</v>
      </c>
      <c r="D46" s="36">
        <f>'WP Gross Plant'!D42-'WP Accum Deprec'!D43</f>
        <v>4060669276.2036347</v>
      </c>
      <c r="F46" s="36">
        <f>'WP Gross Plant'!F42-'WP Accum Deprec'!F43</f>
        <v>1873677528.8680274</v>
      </c>
      <c r="G46" s="72"/>
      <c r="H46" s="36">
        <f>'WP Gross Plant'!H42-'WP Accum Deprec'!H43</f>
        <v>2051537265.6410496</v>
      </c>
      <c r="I46" s="171"/>
      <c r="J46" s="36">
        <f>'WP Gross Plant'!J42-'WP Accum Deprec'!J43</f>
        <v>423893966.94220513</v>
      </c>
      <c r="K46" s="25"/>
      <c r="L46" s="36">
        <f>'WP Gross Plant'!L42-'WP Accum Deprec'!L43</f>
        <v>242046205.86206862</v>
      </c>
      <c r="M46" s="108"/>
      <c r="N46" s="36">
        <f>'WP Gross Plant'!N42-'WP Accum Deprec'!N43</f>
        <v>8651824243.5169868</v>
      </c>
    </row>
    <row r="47" spans="1:14" ht="13.5" thickTop="1">
      <c r="A47" s="83"/>
      <c r="C47" s="7"/>
      <c r="D47" s="7"/>
      <c r="E47" s="7"/>
      <c r="F47" s="7"/>
      <c r="G47" s="7"/>
      <c r="H47" s="7"/>
      <c r="I47" s="7"/>
      <c r="J47" s="7"/>
      <c r="K47" s="7"/>
      <c r="L47" s="7"/>
      <c r="M47" s="7"/>
      <c r="N47" s="7"/>
    </row>
    <row r="48" spans="1:14">
      <c r="A48" s="83"/>
      <c r="C48" s="7"/>
      <c r="D48" s="7"/>
      <c r="E48" s="7"/>
      <c r="F48" s="7"/>
      <c r="G48" s="7"/>
      <c r="H48" s="7"/>
      <c r="I48" s="7"/>
      <c r="J48" s="7"/>
      <c r="K48" s="7"/>
      <c r="L48" s="7"/>
      <c r="M48" s="7"/>
      <c r="N48" s="7"/>
    </row>
    <row r="49" spans="1:14">
      <c r="A49" s="83"/>
      <c r="C49" s="7"/>
      <c r="E49" s="26"/>
      <c r="I49" s="76"/>
      <c r="K49" s="76"/>
      <c r="L49" s="76"/>
      <c r="M49" s="76"/>
      <c r="N49" s="77" t="s">
        <v>148</v>
      </c>
    </row>
    <row r="50" spans="1:14">
      <c r="A50" s="83"/>
      <c r="C50" s="7"/>
      <c r="D50" s="77"/>
      <c r="E50" s="26"/>
      <c r="I50" s="76"/>
      <c r="K50" s="76"/>
      <c r="L50" s="76"/>
      <c r="M50" s="76"/>
      <c r="N50" s="77" t="s">
        <v>33</v>
      </c>
    </row>
    <row r="51" spans="1:14">
      <c r="A51" s="83"/>
      <c r="C51" s="7"/>
      <c r="D51" s="76"/>
      <c r="E51" s="26"/>
      <c r="H51" s="183"/>
      <c r="J51" s="78" t="s">
        <v>200</v>
      </c>
      <c r="L51" s="78" t="s">
        <v>142</v>
      </c>
      <c r="N51" s="77" t="s">
        <v>125</v>
      </c>
    </row>
    <row r="52" spans="1:14">
      <c r="A52" s="83"/>
      <c r="C52" s="7"/>
      <c r="D52" s="76" t="s">
        <v>123</v>
      </c>
      <c r="F52" s="76" t="s">
        <v>143</v>
      </c>
      <c r="H52" s="76" t="s">
        <v>144</v>
      </c>
      <c r="J52" s="76" t="s">
        <v>176</v>
      </c>
      <c r="L52" s="167" t="s">
        <v>29</v>
      </c>
      <c r="M52" s="77"/>
      <c r="N52" s="167" t="s">
        <v>126</v>
      </c>
    </row>
    <row r="53" spans="1:14">
      <c r="A53" s="83">
        <f>A46+1</f>
        <v>33</v>
      </c>
      <c r="B53" s="81" t="s">
        <v>31</v>
      </c>
      <c r="C53" s="82"/>
      <c r="D53" s="35"/>
      <c r="F53" s="35"/>
      <c r="H53" s="35"/>
      <c r="J53" s="35"/>
      <c r="N53" s="35"/>
    </row>
    <row r="54" spans="1:14">
      <c r="A54" s="83">
        <f t="shared" si="5"/>
        <v>34</v>
      </c>
      <c r="C54" s="484" t="s">
        <v>327</v>
      </c>
      <c r="D54" s="25">
        <f>'WP Gross Plant'!D48-'WP Accum Deprec'!D50</f>
        <v>173384838.04000002</v>
      </c>
      <c r="E54" s="26"/>
      <c r="F54" s="25">
        <f>'WP Gross Plant'!F48-'WP Accum Deprec'!F50</f>
        <v>427678815.75999993</v>
      </c>
      <c r="G54" s="26"/>
      <c r="H54" s="25">
        <f>'WP Gross Plant'!H48-'WP Accum Deprec'!H50</f>
        <v>379266226.7899999</v>
      </c>
      <c r="I54" s="26"/>
      <c r="J54" s="25">
        <f>'WP Gross Plant'!J48-'WP Accum Deprec'!J50</f>
        <v>53433718.900000006</v>
      </c>
      <c r="K54" s="18"/>
      <c r="L54" s="25">
        <f>'WP Gross Plant'!L48-'WP Accum Deprec'!L50</f>
        <v>50725863.000000007</v>
      </c>
      <c r="M54" s="25"/>
      <c r="N54" s="25">
        <f t="shared" ref="N54:N66" si="6">SUM(D54:L54)</f>
        <v>1084489462.49</v>
      </c>
    </row>
    <row r="55" spans="1:14">
      <c r="A55" s="83">
        <f t="shared" si="5"/>
        <v>35</v>
      </c>
      <c r="C55" s="484" t="s">
        <v>791</v>
      </c>
      <c r="D55" s="25">
        <f>'WP Gross Plant'!D49-'WP Accum Deprec'!D51</f>
        <v>173014131.32000011</v>
      </c>
      <c r="E55" s="26"/>
      <c r="F55" s="25">
        <f>'WP Gross Plant'!F49-'WP Accum Deprec'!F51</f>
        <v>426941465.85000008</v>
      </c>
      <c r="G55" s="26"/>
      <c r="H55" s="25">
        <f>'WP Gross Plant'!H49-'WP Accum Deprec'!H51</f>
        <v>379729508.16000021</v>
      </c>
      <c r="I55" s="26"/>
      <c r="J55" s="25">
        <f>'WP Gross Plant'!J49-'WP Accum Deprec'!J51</f>
        <v>53472969.890000001</v>
      </c>
      <c r="K55" s="18"/>
      <c r="L55" s="25">
        <f>'WP Gross Plant'!L49-'WP Accum Deprec'!L51</f>
        <v>50565761</v>
      </c>
      <c r="M55" s="105"/>
      <c r="N55" s="18">
        <f t="shared" si="6"/>
        <v>1083723836.2200003</v>
      </c>
    </row>
    <row r="56" spans="1:14">
      <c r="A56" s="83">
        <f t="shared" si="5"/>
        <v>36</v>
      </c>
      <c r="C56" s="84" t="s">
        <v>271</v>
      </c>
      <c r="D56" s="25">
        <f>'WP Gross Plant'!D50-'WP Accum Deprec'!D52</f>
        <v>172026269.16000009</v>
      </c>
      <c r="E56" s="26"/>
      <c r="F56" s="25">
        <f>'WP Gross Plant'!F50-'WP Accum Deprec'!F52</f>
        <v>426890608.54000008</v>
      </c>
      <c r="G56" s="26"/>
      <c r="H56" s="25">
        <f>'WP Gross Plant'!H50-'WP Accum Deprec'!H52</f>
        <v>379955641.4600001</v>
      </c>
      <c r="I56" s="26"/>
      <c r="J56" s="25">
        <f>'WP Gross Plant'!J50-'WP Accum Deprec'!J52</f>
        <v>53265835.530000001</v>
      </c>
      <c r="K56" s="18"/>
      <c r="L56" s="25">
        <f>'WP Gross Plant'!L50-'WP Accum Deprec'!L52</f>
        <v>53408251.510000005</v>
      </c>
      <c r="M56" s="105"/>
      <c r="N56" s="18">
        <f t="shared" si="6"/>
        <v>1085546606.2000003</v>
      </c>
    </row>
    <row r="57" spans="1:14">
      <c r="A57" s="83">
        <f t="shared" si="5"/>
        <v>37</v>
      </c>
      <c r="C57" s="84" t="s">
        <v>272</v>
      </c>
      <c r="D57" s="25">
        <f>'WP Gross Plant'!D51-'WP Accum Deprec'!D53</f>
        <v>170951699.32999998</v>
      </c>
      <c r="E57" s="26"/>
      <c r="F57" s="25">
        <f>'WP Gross Plant'!F51-'WP Accum Deprec'!F53</f>
        <v>446515046.0800001</v>
      </c>
      <c r="G57" s="26"/>
      <c r="H57" s="25">
        <f>'WP Gross Plant'!H51-'WP Accum Deprec'!H53</f>
        <v>381290459.45000005</v>
      </c>
      <c r="I57" s="26"/>
      <c r="J57" s="25">
        <f>'WP Gross Plant'!J51-'WP Accum Deprec'!J53</f>
        <v>52786137.350000009</v>
      </c>
      <c r="K57" s="18"/>
      <c r="L57" s="25">
        <f>'WP Gross Plant'!L51-'WP Accum Deprec'!L53</f>
        <v>53497097.530000031</v>
      </c>
      <c r="M57" s="105"/>
      <c r="N57" s="18">
        <f t="shared" si="6"/>
        <v>1105040439.7400002</v>
      </c>
    </row>
    <row r="58" spans="1:14">
      <c r="A58" s="83">
        <f t="shared" si="5"/>
        <v>38</v>
      </c>
      <c r="C58" s="84" t="s">
        <v>168</v>
      </c>
      <c r="D58" s="25">
        <f>'WP Gross Plant'!D52-'WP Accum Deprec'!D54</f>
        <v>170467007.23000014</v>
      </c>
      <c r="E58" s="26"/>
      <c r="F58" s="25">
        <f>'WP Gross Plant'!F52-'WP Accum Deprec'!F54</f>
        <v>450035460.20000005</v>
      </c>
      <c r="G58" s="26"/>
      <c r="H58" s="25">
        <f>'WP Gross Plant'!H52-'WP Accum Deprec'!H54</f>
        <v>383547353.32999992</v>
      </c>
      <c r="I58" s="26"/>
      <c r="J58" s="25">
        <f>'WP Gross Plant'!J52-'WP Accum Deprec'!J54</f>
        <v>53294666.430000007</v>
      </c>
      <c r="K58" s="18"/>
      <c r="L58" s="25">
        <f>'WP Gross Plant'!L52-'WP Accum Deprec'!L54</f>
        <v>53089933.409999996</v>
      </c>
      <c r="M58" s="105"/>
      <c r="N58" s="18">
        <f t="shared" si="6"/>
        <v>1110434420.6000001</v>
      </c>
    </row>
    <row r="59" spans="1:14">
      <c r="A59" s="83">
        <f t="shared" si="5"/>
        <v>39</v>
      </c>
      <c r="C59" s="84" t="s">
        <v>273</v>
      </c>
      <c r="D59" s="25">
        <f>'WP Gross Plant'!D53-'WP Accum Deprec'!D55</f>
        <v>169318474.68000013</v>
      </c>
      <c r="E59" s="26"/>
      <c r="F59" s="25">
        <f>'WP Gross Plant'!F53-'WP Accum Deprec'!F55</f>
        <v>464561727.1500001</v>
      </c>
      <c r="G59" s="26"/>
      <c r="H59" s="25">
        <f>'WP Gross Plant'!H53-'WP Accum Deprec'!H55</f>
        <v>384458515.42000026</v>
      </c>
      <c r="I59" s="26"/>
      <c r="J59" s="25">
        <f>'WP Gross Plant'!J53-'WP Accum Deprec'!J55</f>
        <v>54119152.869999997</v>
      </c>
      <c r="K59" s="18"/>
      <c r="L59" s="25">
        <f>'WP Gross Plant'!L53-'WP Accum Deprec'!L55</f>
        <v>52793957.410000034</v>
      </c>
      <c r="M59" s="105"/>
      <c r="N59" s="18">
        <f t="shared" si="6"/>
        <v>1125251827.5300004</v>
      </c>
    </row>
    <row r="60" spans="1:14">
      <c r="A60" s="83">
        <f t="shared" si="5"/>
        <v>40</v>
      </c>
      <c r="C60" s="84" t="s">
        <v>274</v>
      </c>
      <c r="D60" s="25">
        <f>'WP Gross Plant'!D54-'WP Accum Deprec'!D56</f>
        <v>168168805.38000005</v>
      </c>
      <c r="E60" s="26"/>
      <c r="F60" s="25">
        <f>'WP Gross Plant'!F54-'WP Accum Deprec'!F56</f>
        <v>469909798.38999993</v>
      </c>
      <c r="G60" s="26"/>
      <c r="H60" s="25">
        <f>'WP Gross Plant'!H54-'WP Accum Deprec'!H56</f>
        <v>387558400.73999995</v>
      </c>
      <c r="I60" s="26"/>
      <c r="J60" s="25">
        <f>'WP Gross Plant'!J54-'WP Accum Deprec'!J56</f>
        <v>54920380.440000013</v>
      </c>
      <c r="K60" s="18"/>
      <c r="L60" s="25">
        <f>'WP Gross Plant'!L54-'WP Accum Deprec'!L56</f>
        <v>52477628.540000014</v>
      </c>
      <c r="M60" s="105"/>
      <c r="N60" s="18">
        <f t="shared" si="6"/>
        <v>1133035013.49</v>
      </c>
    </row>
    <row r="61" spans="1:14">
      <c r="A61" s="83">
        <f t="shared" si="5"/>
        <v>41</v>
      </c>
      <c r="C61" s="84" t="s">
        <v>170</v>
      </c>
      <c r="D61" s="25">
        <f>'WP Gross Plant'!D55-'WP Accum Deprec'!D57</f>
        <v>167884187.10000002</v>
      </c>
      <c r="E61" s="26"/>
      <c r="F61" s="25">
        <f>'WP Gross Plant'!F55-'WP Accum Deprec'!F57</f>
        <v>470231842.00999999</v>
      </c>
      <c r="G61" s="26"/>
      <c r="H61" s="25">
        <f>'WP Gross Plant'!H55-'WP Accum Deprec'!H57</f>
        <v>392927715.94999981</v>
      </c>
      <c r="I61" s="26"/>
      <c r="J61" s="25">
        <f>'WP Gross Plant'!J55-'WP Accum Deprec'!J57</f>
        <v>55002185.680000022</v>
      </c>
      <c r="K61" s="18"/>
      <c r="L61" s="25">
        <f>'WP Gross Plant'!L55-'WP Accum Deprec'!L57</f>
        <v>51987655.939999998</v>
      </c>
      <c r="M61" s="105"/>
      <c r="N61" s="18">
        <f t="shared" si="6"/>
        <v>1138033586.6799998</v>
      </c>
    </row>
    <row r="62" spans="1:14">
      <c r="A62" s="83">
        <f t="shared" si="5"/>
        <v>42</v>
      </c>
      <c r="C62" s="84" t="s">
        <v>275</v>
      </c>
      <c r="D62" s="25">
        <f>'WP Gross Plant'!D56-'WP Accum Deprec'!D58</f>
        <v>166833114.16000003</v>
      </c>
      <c r="E62" s="26"/>
      <c r="F62" s="25">
        <f>'WP Gross Plant'!F56-'WP Accum Deprec'!F58</f>
        <v>469235104.13</v>
      </c>
      <c r="G62" s="26"/>
      <c r="H62" s="25">
        <f>'WP Gross Plant'!H56-'WP Accum Deprec'!H58</f>
        <v>393606032.2899999</v>
      </c>
      <c r="I62" s="26"/>
      <c r="J62" s="25">
        <f>'WP Gross Plant'!J56-'WP Accum Deprec'!J58</f>
        <v>54667034.780000016</v>
      </c>
      <c r="K62" s="18"/>
      <c r="L62" s="25">
        <f>'WP Gross Plant'!L56-'WP Accum Deprec'!L58</f>
        <v>52669548.200000033</v>
      </c>
      <c r="M62" s="105"/>
      <c r="N62" s="18">
        <f t="shared" si="6"/>
        <v>1137010833.5599999</v>
      </c>
    </row>
    <row r="63" spans="1:14">
      <c r="A63" s="83">
        <f t="shared" si="5"/>
        <v>43</v>
      </c>
      <c r="C63" s="84" t="s">
        <v>276</v>
      </c>
      <c r="D63" s="25">
        <f>'WP Gross Plant'!D57-'WP Accum Deprec'!D59</f>
        <v>166343407.81</v>
      </c>
      <c r="E63" s="26"/>
      <c r="F63" s="25">
        <f>'WP Gross Plant'!F57-'WP Accum Deprec'!F59</f>
        <v>468500029.20999992</v>
      </c>
      <c r="G63" s="26"/>
      <c r="H63" s="25">
        <f>'WP Gross Plant'!H57-'WP Accum Deprec'!H59</f>
        <v>396125326.1500001</v>
      </c>
      <c r="I63" s="26"/>
      <c r="J63" s="25">
        <f>'WP Gross Plant'!J57-'WP Accum Deprec'!J59</f>
        <v>54470376.300000004</v>
      </c>
      <c r="K63" s="18"/>
      <c r="L63" s="25">
        <f>'WP Gross Plant'!L57-'WP Accum Deprec'!L59</f>
        <v>52127645.310000025</v>
      </c>
      <c r="M63" s="105"/>
      <c r="N63" s="18">
        <f t="shared" si="6"/>
        <v>1137566784.78</v>
      </c>
    </row>
    <row r="64" spans="1:14">
      <c r="A64" s="83">
        <f t="shared" si="5"/>
        <v>44</v>
      </c>
      <c r="C64" s="84" t="s">
        <v>277</v>
      </c>
      <c r="D64" s="25">
        <f>'WP Gross Plant'!D58-'WP Accum Deprec'!D60</f>
        <v>166315829.06000012</v>
      </c>
      <c r="E64" s="26"/>
      <c r="F64" s="25">
        <f>'WP Gross Plant'!F58-'WP Accum Deprec'!F60</f>
        <v>483866865.5</v>
      </c>
      <c r="G64" s="26"/>
      <c r="H64" s="25">
        <f>'WP Gross Plant'!H58-'WP Accum Deprec'!H60</f>
        <v>398284798.22999984</v>
      </c>
      <c r="I64" s="26"/>
      <c r="J64" s="25">
        <f>'WP Gross Plant'!J58-'WP Accum Deprec'!J60</f>
        <v>54077996.729999997</v>
      </c>
      <c r="K64" s="18"/>
      <c r="L64" s="25">
        <f>'WP Gross Plant'!L58-'WP Accum Deprec'!L60</f>
        <v>52442990.990000017</v>
      </c>
      <c r="M64" s="105"/>
      <c r="N64" s="18">
        <f t="shared" si="6"/>
        <v>1154988480.51</v>
      </c>
    </row>
    <row r="65" spans="1:14">
      <c r="A65" s="83">
        <f t="shared" si="5"/>
        <v>45</v>
      </c>
      <c r="C65" s="84" t="s">
        <v>278</v>
      </c>
      <c r="D65" s="25">
        <f>'WP Gross Plant'!D59-'WP Accum Deprec'!D61</f>
        <v>165444621.99000007</v>
      </c>
      <c r="E65" s="26"/>
      <c r="F65" s="25">
        <f>'WP Gross Plant'!F59-'WP Accum Deprec'!F61</f>
        <v>486520096.40999997</v>
      </c>
      <c r="G65" s="26"/>
      <c r="H65" s="25">
        <f>'WP Gross Plant'!H59-'WP Accum Deprec'!H61</f>
        <v>398958322.06000006</v>
      </c>
      <c r="I65" s="26"/>
      <c r="J65" s="25">
        <f>'WP Gross Plant'!J59-'WP Accum Deprec'!J61</f>
        <v>53720219.300000004</v>
      </c>
      <c r="K65" s="18"/>
      <c r="L65" s="25">
        <f>'WP Gross Plant'!L59-'WP Accum Deprec'!L61</f>
        <v>55736906.420000002</v>
      </c>
      <c r="M65" s="105"/>
      <c r="N65" s="18">
        <f t="shared" si="6"/>
        <v>1160380166.1800003</v>
      </c>
    </row>
    <row r="66" spans="1:14">
      <c r="A66" s="83">
        <f t="shared" si="5"/>
        <v>46</v>
      </c>
      <c r="C66" s="484" t="s">
        <v>792</v>
      </c>
      <c r="D66" s="25">
        <f>'WP Gross Plant'!D60-'WP Accum Deprec'!D62</f>
        <v>168515559.18000013</v>
      </c>
      <c r="E66" s="26"/>
      <c r="F66" s="25">
        <f>'WP Gross Plant'!F60-'WP Accum Deprec'!F62</f>
        <v>501632310.06999993</v>
      </c>
      <c r="G66" s="26"/>
      <c r="H66" s="25">
        <f>'WP Gross Plant'!H60-'WP Accum Deprec'!H62</f>
        <v>404136387.74999988</v>
      </c>
      <c r="I66" s="26"/>
      <c r="J66" s="25">
        <f>'WP Gross Plant'!J60-'WP Accum Deprec'!J62</f>
        <v>56914558.230000004</v>
      </c>
      <c r="K66" s="18"/>
      <c r="L66" s="25">
        <f>'WP Gross Plant'!L60-'WP Accum Deprec'!L62</f>
        <v>62206842.190000027</v>
      </c>
      <c r="M66" s="105"/>
      <c r="N66" s="18">
        <f t="shared" si="6"/>
        <v>1193405657.4200001</v>
      </c>
    </row>
    <row r="67" spans="1:14">
      <c r="A67" s="83">
        <f t="shared" si="5"/>
        <v>47</v>
      </c>
      <c r="C67" s="84"/>
      <c r="D67" s="34"/>
      <c r="F67" s="34"/>
      <c r="H67" s="34"/>
      <c r="I67" s="18"/>
      <c r="J67" s="34"/>
      <c r="K67" s="18"/>
      <c r="L67" s="168"/>
      <c r="M67" s="105"/>
      <c r="N67" s="34"/>
    </row>
    <row r="68" spans="1:14" ht="13.5" thickBot="1">
      <c r="A68" s="83">
        <f t="shared" si="5"/>
        <v>48</v>
      </c>
      <c r="C68" s="176" t="s">
        <v>147</v>
      </c>
      <c r="D68" s="36">
        <f>'WP Gross Plant'!D62-'WP Accum Deprec'!D64</f>
        <v>169128303.41846162</v>
      </c>
      <c r="F68" s="36">
        <f>'WP Gross Plant'!F62-'WP Accum Deprec'!F64</f>
        <v>460963013.02307695</v>
      </c>
      <c r="G68" s="72"/>
      <c r="H68" s="36">
        <f>'WP Gross Plant'!H62-'WP Accum Deprec'!H64</f>
        <v>389218822.13692313</v>
      </c>
      <c r="I68" s="171"/>
      <c r="J68" s="36">
        <f>'WP Gross Plant'!J62-'WP Accum Deprec'!J64</f>
        <v>54165017.879230767</v>
      </c>
      <c r="K68" s="25"/>
      <c r="L68" s="36">
        <f>'WP Gross Plant'!L62-'WP Accum Deprec'!L64</f>
        <v>53363852.419230774</v>
      </c>
      <c r="M68" s="108"/>
      <c r="N68" s="36">
        <f>'WP Gross Plant'!N62-'WP Accum Deprec'!N64</f>
        <v>1126839008.8769231</v>
      </c>
    </row>
    <row r="69" spans="1:14" ht="13.5" thickTop="1"/>
  </sheetData>
  <phoneticPr fontId="10" type="noConversion"/>
  <printOptions horizontalCentered="1"/>
  <pageMargins left="0.75" right="0.25" top="0.75" bottom="0.4" header="0" footer="0.25"/>
  <pageSetup scale="62"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8</vt:i4>
      </vt:variant>
    </vt:vector>
  </HeadingPairs>
  <TitlesOfParts>
    <vt:vector size="40" baseType="lpstr">
      <vt:lpstr>Revision Explanation</vt:lpstr>
      <vt:lpstr>Protocol Matrix</vt:lpstr>
      <vt:lpstr>2014 True Up Calculation Rev 1</vt:lpstr>
      <vt:lpstr>Comparison Rev 1</vt:lpstr>
      <vt:lpstr>2014 Attachment O Rev 1</vt:lpstr>
      <vt:lpstr>WP Cover Rev 1</vt:lpstr>
      <vt:lpstr>WP Gross Plant</vt:lpstr>
      <vt:lpstr>WP Accum Deprec</vt:lpstr>
      <vt:lpstr>WP Net Plant</vt:lpstr>
      <vt:lpstr>WP CWIP</vt:lpstr>
      <vt:lpstr>WP CWIP Detail Rev 1</vt:lpstr>
      <vt:lpstr>WP Adj to Rate Base Rev 1</vt:lpstr>
      <vt:lpstr>WP PreFunded AFUDC Rev 1</vt:lpstr>
      <vt:lpstr>WP Land HFFU</vt:lpstr>
      <vt:lpstr>WP Working Capital</vt:lpstr>
      <vt:lpstr>WP O&amp;M</vt:lpstr>
      <vt:lpstr>WP Dep &amp; Amort Exp</vt:lpstr>
      <vt:lpstr>WP Taxes Other Than Income</vt:lpstr>
      <vt:lpstr>WP Support for Alloc Factors</vt:lpstr>
      <vt:lpstr>WP Capital Structure</vt:lpstr>
      <vt:lpstr>WP Revenue Credits Rev 1</vt:lpstr>
      <vt:lpstr>WP FERC 456 Rev 1</vt:lpstr>
      <vt:lpstr>WP Att GG 2014 Actuals Rev 1</vt:lpstr>
      <vt:lpstr>WP Att GG Support Rev 1</vt:lpstr>
      <vt:lpstr>WP Att MM 2014 Actuals Rev 1</vt:lpstr>
      <vt:lpstr>WP Att MM Support Rev 1</vt:lpstr>
      <vt:lpstr>WP True Up Calc in 2014 Formula</vt:lpstr>
      <vt:lpstr>WP True Up Interest</vt:lpstr>
      <vt:lpstr>WP Divisor</vt:lpstr>
      <vt:lpstr>WP Tax Rate Calc</vt:lpstr>
      <vt:lpstr>WP 2014 Projected Rate</vt:lpstr>
      <vt:lpstr>WP GG and MM Projects Rev 1</vt:lpstr>
      <vt:lpstr>'Comparison Rev 1'!OLE_LINK1</vt:lpstr>
      <vt:lpstr>'Protocol Matrix'!OLE_LINK4</vt:lpstr>
      <vt:lpstr>'2014 Attachment O Rev 1'!Print_Area</vt:lpstr>
      <vt:lpstr>'Comparison Rev 1'!Print_Area</vt:lpstr>
      <vt:lpstr>'WP CWIP'!Print_Area</vt:lpstr>
      <vt:lpstr>'WP CWIP Detail Rev 1'!Print_Area</vt:lpstr>
      <vt:lpstr>'WP True Up Interest'!Print_Area</vt:lpstr>
      <vt:lpstr>'WP Working Capital'!Print_Area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Teekay</cp:lastModifiedBy>
  <cp:lastPrinted>2015-05-28T19:11:04Z</cp:lastPrinted>
  <dcterms:created xsi:type="dcterms:W3CDTF">2005-09-09T21:44:27Z</dcterms:created>
  <dcterms:modified xsi:type="dcterms:W3CDTF">2015-06-12T13:32:25Z</dcterms:modified>
</cp:coreProperties>
</file>