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75" windowWidth="14880" windowHeight="7200" tabRatio="795" activeTab="2"/>
  </bookViews>
  <sheets>
    <sheet name="Version Control" sheetId="24" r:id="rId1"/>
    <sheet name="Proof of True-Up " sheetId="8" r:id="rId2"/>
    <sheet name="Att GG True Up Combined" sheetId="19" r:id="rId3"/>
    <sheet name="Interest Over Collect" sheetId="6" r:id="rId4"/>
    <sheet name="Interest Under Collect " sheetId="5" r:id="rId5"/>
    <sheet name="Actual Load" sheetId="3" r:id="rId6"/>
    <sheet name="Zonal Load" sheetId="2" r:id="rId7"/>
    <sheet name="Att GG at 12.38 " sheetId="22" r:id="rId8"/>
    <sheet name="Att GG at 10.82" sheetId="20" r:id="rId9"/>
    <sheet name="Att GG Support" sheetId="21" r:id="rId10"/>
    <sheet name="MM Proof of True-Up" sheetId="16" r:id="rId11"/>
    <sheet name="Att MM True Up" sheetId="11" r:id="rId12"/>
    <sheet name="Att MM at 12.38" sheetId="10" r:id="rId13"/>
    <sheet name="Att MM at 10.82" sheetId="23" r:id="rId14"/>
    <sheet name="Attachment MM Supporting Data" sheetId="13" r:id="rId15"/>
  </sheets>
  <definedNames>
    <definedName name="_xlnm.Print_Area" localSheetId="5">'Actual Load'!$A$1:$E$40</definedName>
    <definedName name="_xlnm.Print_Area" localSheetId="8">'Att GG at 10.82'!$A$1:$P$96</definedName>
    <definedName name="_xlnm.Print_Area" localSheetId="7">'Att GG at 12.38 '!$A$1:$P$96</definedName>
    <definedName name="_xlnm.Print_Area" localSheetId="2">'Att GG True Up Combined'!$B$1:$N$917</definedName>
    <definedName name="_xlnm.Print_Area" localSheetId="13">'Att MM at 10.82'!$A$1:$T$95</definedName>
    <definedName name="_xlnm.Print_Area" localSheetId="12">'Att MM at 12.38'!$A$1:$T$95</definedName>
    <definedName name="_xlnm.Print_Area" localSheetId="11">'Att MM True Up'!$A$1:$L$52</definedName>
    <definedName name="_xlnm.Print_Area" localSheetId="3">'Interest Over Collect'!$A$1:$J$35</definedName>
    <definedName name="_xlnm.Print_Area" localSheetId="4">'Interest Under Collect '!$A$1:$J$36</definedName>
    <definedName name="_xlnm.Print_Area" localSheetId="0">'Version Control'!$A$1:$C$33</definedName>
    <definedName name="_xlnm.Print_Area" localSheetId="6">'Zonal Load'!$A$1:$N$39</definedName>
  </definedNames>
  <calcPr calcId="145621"/>
</workbook>
</file>

<file path=xl/calcChain.xml><?xml version="1.0" encoding="utf-8"?>
<calcChain xmlns="http://schemas.openxmlformats.org/spreadsheetml/2006/main">
  <c r="C60" i="5" l="1"/>
  <c r="C59" i="5"/>
  <c r="F870" i="19" l="1"/>
  <c r="F869" i="19"/>
  <c r="K870" i="19"/>
  <c r="K869" i="19"/>
  <c r="B23" i="5"/>
  <c r="B25" i="6"/>
  <c r="H12" i="6"/>
  <c r="H13" i="6"/>
  <c r="H14" i="6"/>
  <c r="H15" i="6"/>
  <c r="F14" i="6"/>
  <c r="F13" i="6"/>
  <c r="F12" i="6"/>
  <c r="F863" i="19" l="1"/>
  <c r="B83" i="3" l="1"/>
  <c r="D4" i="3"/>
  <c r="D5" i="3"/>
  <c r="D6" i="3"/>
  <c r="D7" i="3"/>
  <c r="D8" i="3"/>
  <c r="D9" i="3"/>
  <c r="D10" i="3"/>
  <c r="D11" i="3"/>
  <c r="D12" i="3"/>
  <c r="D13" i="3"/>
  <c r="D14" i="3"/>
  <c r="D15" i="3"/>
  <c r="D16" i="3"/>
  <c r="D17" i="3"/>
  <c r="D18" i="3"/>
  <c r="D19" i="3"/>
  <c r="D20" i="3"/>
  <c r="D21" i="3"/>
  <c r="D22" i="3"/>
  <c r="D24" i="3"/>
  <c r="D25" i="3"/>
  <c r="D26" i="3"/>
  <c r="D27" i="3"/>
  <c r="D28" i="3"/>
  <c r="D29" i="3"/>
  <c r="D30" i="3"/>
  <c r="D31" i="3"/>
  <c r="D32" i="3"/>
  <c r="D33" i="3"/>
  <c r="D34" i="3"/>
  <c r="D35" i="3"/>
  <c r="D36" i="3"/>
  <c r="D37" i="3"/>
  <c r="D38" i="3"/>
  <c r="E19" i="11" l="1"/>
  <c r="J28" i="11" l="1"/>
  <c r="E47" i="11"/>
  <c r="E51" i="11" s="1"/>
  <c r="F46" i="11" s="1"/>
  <c r="O72" i="23"/>
  <c r="F72" i="23"/>
  <c r="E72" i="23"/>
  <c r="L72" i="23" s="1"/>
  <c r="O72" i="10"/>
  <c r="F72" i="10"/>
  <c r="E72" i="10"/>
  <c r="T89" i="23"/>
  <c r="Q89" i="23"/>
  <c r="J64" i="23"/>
  <c r="J62" i="23"/>
  <c r="R61" i="23"/>
  <c r="J61" i="23"/>
  <c r="C61" i="23"/>
  <c r="J42" i="23"/>
  <c r="L42" i="23" s="1"/>
  <c r="J38" i="23"/>
  <c r="L38" i="23" s="1"/>
  <c r="J27" i="23"/>
  <c r="J33" i="23" s="1"/>
  <c r="J34" i="23" s="1"/>
  <c r="J20" i="23"/>
  <c r="J48" i="23" s="1"/>
  <c r="L48" i="23" s="1"/>
  <c r="K90" i="20"/>
  <c r="K89" i="20"/>
  <c r="K88" i="20"/>
  <c r="K87" i="20"/>
  <c r="K86" i="20"/>
  <c r="K85" i="20"/>
  <c r="K84" i="20"/>
  <c r="K83" i="20"/>
  <c r="K82" i="20"/>
  <c r="K81" i="20"/>
  <c r="K80" i="20"/>
  <c r="K79" i="20"/>
  <c r="K78" i="20"/>
  <c r="K77" i="20"/>
  <c r="K76" i="20"/>
  <c r="K75" i="20"/>
  <c r="K74" i="20"/>
  <c r="K73" i="20"/>
  <c r="H90" i="20"/>
  <c r="H89" i="20"/>
  <c r="H88" i="20"/>
  <c r="H87" i="20"/>
  <c r="H86" i="20"/>
  <c r="H85" i="20"/>
  <c r="H84" i="20"/>
  <c r="H83" i="20"/>
  <c r="H82" i="20"/>
  <c r="H81" i="20"/>
  <c r="H80" i="20"/>
  <c r="H79" i="20"/>
  <c r="H78" i="20"/>
  <c r="H77" i="20"/>
  <c r="H76" i="20"/>
  <c r="H75" i="20"/>
  <c r="H74" i="20"/>
  <c r="H73" i="20"/>
  <c r="E90" i="20"/>
  <c r="E89" i="20"/>
  <c r="E88" i="20"/>
  <c r="E87" i="20"/>
  <c r="E86" i="20"/>
  <c r="E85" i="20"/>
  <c r="E84" i="20"/>
  <c r="E83" i="20"/>
  <c r="E82" i="20"/>
  <c r="E81" i="20"/>
  <c r="E80" i="20"/>
  <c r="E79" i="20"/>
  <c r="E78" i="20"/>
  <c r="E77" i="20"/>
  <c r="E76" i="20"/>
  <c r="E75" i="20"/>
  <c r="E74" i="20"/>
  <c r="E73" i="20"/>
  <c r="E95" i="20" s="1"/>
  <c r="K90" i="22"/>
  <c r="K89" i="22"/>
  <c r="K88" i="22"/>
  <c r="K87" i="22"/>
  <c r="K86" i="22"/>
  <c r="K85" i="22"/>
  <c r="K84" i="22"/>
  <c r="K83" i="22"/>
  <c r="K82" i="22"/>
  <c r="K81" i="22"/>
  <c r="K80" i="22"/>
  <c r="K79" i="22"/>
  <c r="K78" i="22"/>
  <c r="K77" i="22"/>
  <c r="K76" i="22"/>
  <c r="K75" i="22"/>
  <c r="K74" i="22"/>
  <c r="K73" i="22"/>
  <c r="H90" i="22"/>
  <c r="H89" i="22"/>
  <c r="H88" i="22"/>
  <c r="H87" i="22"/>
  <c r="H86" i="22"/>
  <c r="H85" i="22"/>
  <c r="H84" i="22"/>
  <c r="H83" i="22"/>
  <c r="H82" i="22"/>
  <c r="H81" i="22"/>
  <c r="H80" i="22"/>
  <c r="H79" i="22"/>
  <c r="H78" i="22"/>
  <c r="H77" i="22"/>
  <c r="H76" i="22"/>
  <c r="H75" i="22"/>
  <c r="H74" i="22"/>
  <c r="H73" i="22"/>
  <c r="E73" i="22"/>
  <c r="E90" i="22"/>
  <c r="E89" i="22"/>
  <c r="E88" i="22"/>
  <c r="E87" i="22"/>
  <c r="E86" i="22"/>
  <c r="E85" i="22"/>
  <c r="E84" i="22"/>
  <c r="E83" i="22"/>
  <c r="E82" i="22"/>
  <c r="E81" i="22"/>
  <c r="E80" i="22"/>
  <c r="E79" i="22"/>
  <c r="E78" i="22"/>
  <c r="E77" i="22"/>
  <c r="E76" i="22"/>
  <c r="E75" i="22"/>
  <c r="E74" i="22"/>
  <c r="P95" i="20"/>
  <c r="M95" i="20"/>
  <c r="G65" i="20"/>
  <c r="G63" i="20"/>
  <c r="N62" i="20"/>
  <c r="G62" i="20"/>
  <c r="C62" i="20"/>
  <c r="N61" i="20"/>
  <c r="G41" i="20"/>
  <c r="L41" i="20" s="1"/>
  <c r="G37" i="20"/>
  <c r="L37" i="20" s="1"/>
  <c r="G31" i="20"/>
  <c r="L31" i="20" s="1"/>
  <c r="G23" i="20"/>
  <c r="L23" i="20" s="1"/>
  <c r="G27" i="20"/>
  <c r="L27" i="20" s="1"/>
  <c r="T61" i="21"/>
  <c r="S61" i="21"/>
  <c r="R61" i="21"/>
  <c r="Q61" i="21"/>
  <c r="P61" i="21"/>
  <c r="O61" i="21"/>
  <c r="N61" i="21"/>
  <c r="M61" i="21"/>
  <c r="L61" i="21"/>
  <c r="K61" i="21"/>
  <c r="J61" i="21"/>
  <c r="I61" i="21"/>
  <c r="H61" i="21"/>
  <c r="G61" i="21"/>
  <c r="F61" i="21"/>
  <c r="E61" i="21"/>
  <c r="D61" i="21"/>
  <c r="C61" i="21"/>
  <c r="T55" i="21"/>
  <c r="S55" i="21"/>
  <c r="R55" i="21"/>
  <c r="Q55" i="21"/>
  <c r="P55" i="21"/>
  <c r="O55" i="21"/>
  <c r="N55" i="21"/>
  <c r="M55" i="21"/>
  <c r="L55" i="21"/>
  <c r="K55" i="21"/>
  <c r="J55" i="21"/>
  <c r="I55" i="21"/>
  <c r="H55" i="21"/>
  <c r="G55" i="21"/>
  <c r="F55" i="21"/>
  <c r="E55" i="21"/>
  <c r="D55" i="21"/>
  <c r="C55" i="21"/>
  <c r="T54" i="21"/>
  <c r="S54" i="21"/>
  <c r="R54" i="21"/>
  <c r="Q54" i="21"/>
  <c r="P54" i="21"/>
  <c r="O54" i="21"/>
  <c r="N54" i="21"/>
  <c r="M54" i="21"/>
  <c r="L54" i="21"/>
  <c r="K54" i="21"/>
  <c r="J54" i="21"/>
  <c r="I54" i="21"/>
  <c r="H54" i="21"/>
  <c r="G54" i="21"/>
  <c r="F54" i="21"/>
  <c r="E54" i="21"/>
  <c r="D54" i="21"/>
  <c r="C54" i="21"/>
  <c r="T53" i="21"/>
  <c r="S53" i="21"/>
  <c r="R53" i="21"/>
  <c r="Q53" i="21"/>
  <c r="P53" i="21"/>
  <c r="O53" i="21"/>
  <c r="N53" i="21"/>
  <c r="M53" i="21"/>
  <c r="L53" i="21"/>
  <c r="K53" i="21"/>
  <c r="J53" i="21"/>
  <c r="I53" i="21"/>
  <c r="H53" i="21"/>
  <c r="G53" i="21"/>
  <c r="F53" i="21"/>
  <c r="E53" i="21"/>
  <c r="D53" i="21"/>
  <c r="C53" i="21"/>
  <c r="T52" i="21"/>
  <c r="S52" i="21"/>
  <c r="R52" i="21"/>
  <c r="Q52" i="21"/>
  <c r="P52" i="21"/>
  <c r="O52" i="21"/>
  <c r="N52" i="21"/>
  <c r="M52" i="21"/>
  <c r="L52" i="21"/>
  <c r="K52" i="21"/>
  <c r="J52" i="21"/>
  <c r="I52" i="21"/>
  <c r="H52" i="21"/>
  <c r="G52" i="21"/>
  <c r="F52" i="21"/>
  <c r="E52" i="21"/>
  <c r="D52" i="21"/>
  <c r="C52" i="21"/>
  <c r="T51" i="21"/>
  <c r="S51" i="21"/>
  <c r="R51" i="21"/>
  <c r="Q51" i="21"/>
  <c r="P51" i="21"/>
  <c r="O51" i="21"/>
  <c r="N51" i="21"/>
  <c r="M51" i="21"/>
  <c r="L51" i="21"/>
  <c r="K51" i="21"/>
  <c r="J51" i="21"/>
  <c r="I51" i="21"/>
  <c r="H51" i="21"/>
  <c r="G51" i="21"/>
  <c r="F51" i="21"/>
  <c r="E51" i="21"/>
  <c r="D51" i="21"/>
  <c r="C51" i="21"/>
  <c r="T50" i="21"/>
  <c r="S50" i="21"/>
  <c r="R50" i="21"/>
  <c r="Q50" i="21"/>
  <c r="P50" i="21"/>
  <c r="O50" i="21"/>
  <c r="N50" i="21"/>
  <c r="M50" i="21"/>
  <c r="L50" i="21"/>
  <c r="K50" i="21"/>
  <c r="J50" i="21"/>
  <c r="I50" i="21"/>
  <c r="H50" i="21"/>
  <c r="G50" i="21"/>
  <c r="F50" i="21"/>
  <c r="E50" i="21"/>
  <c r="D50" i="21"/>
  <c r="C50" i="21"/>
  <c r="T49" i="21"/>
  <c r="S49" i="21"/>
  <c r="R49" i="21"/>
  <c r="Q49" i="21"/>
  <c r="P49" i="21"/>
  <c r="O49" i="21"/>
  <c r="N49" i="21"/>
  <c r="M49" i="21"/>
  <c r="L49" i="21"/>
  <c r="K49" i="21"/>
  <c r="J49" i="21"/>
  <c r="I49" i="21"/>
  <c r="H49" i="21"/>
  <c r="G49" i="21"/>
  <c r="F49" i="21"/>
  <c r="E49" i="21"/>
  <c r="D49" i="21"/>
  <c r="C49" i="21"/>
  <c r="T48" i="21"/>
  <c r="S48" i="21"/>
  <c r="R48" i="21"/>
  <c r="Q48" i="21"/>
  <c r="P48" i="21"/>
  <c r="O48" i="21"/>
  <c r="N48" i="21"/>
  <c r="M48" i="21"/>
  <c r="L48" i="21"/>
  <c r="K48" i="21"/>
  <c r="J48" i="21"/>
  <c r="I48" i="21"/>
  <c r="H48" i="21"/>
  <c r="G48" i="21"/>
  <c r="F48" i="21"/>
  <c r="E48" i="21"/>
  <c r="D48" i="21"/>
  <c r="C48" i="21"/>
  <c r="T47" i="21"/>
  <c r="S47" i="21"/>
  <c r="R47" i="21"/>
  <c r="Q47" i="21"/>
  <c r="P47" i="21"/>
  <c r="O47" i="21"/>
  <c r="N47" i="21"/>
  <c r="M47" i="21"/>
  <c r="L47" i="21"/>
  <c r="K47" i="21"/>
  <c r="J47" i="21"/>
  <c r="I47" i="21"/>
  <c r="H47" i="21"/>
  <c r="G47" i="21"/>
  <c r="F47" i="21"/>
  <c r="E47" i="21"/>
  <c r="D47" i="21"/>
  <c r="C47" i="21"/>
  <c r="T46" i="21"/>
  <c r="S46" i="21"/>
  <c r="R46" i="21"/>
  <c r="Q46" i="21"/>
  <c r="P46" i="21"/>
  <c r="O46" i="21"/>
  <c r="N46" i="21"/>
  <c r="M46" i="21"/>
  <c r="L46" i="21"/>
  <c r="K46" i="21"/>
  <c r="J46" i="21"/>
  <c r="I46" i="21"/>
  <c r="H46" i="21"/>
  <c r="G46" i="21"/>
  <c r="F46" i="21"/>
  <c r="E46" i="21"/>
  <c r="D46" i="21"/>
  <c r="C46" i="21"/>
  <c r="T45" i="21"/>
  <c r="S45" i="21"/>
  <c r="R45" i="21"/>
  <c r="Q45" i="21"/>
  <c r="P45" i="21"/>
  <c r="O45" i="21"/>
  <c r="N45" i="21"/>
  <c r="M45" i="21"/>
  <c r="L45" i="21"/>
  <c r="K45" i="21"/>
  <c r="J45" i="21"/>
  <c r="I45" i="21"/>
  <c r="H45" i="21"/>
  <c r="G45" i="21"/>
  <c r="F45" i="21"/>
  <c r="E45" i="21"/>
  <c r="D45" i="21"/>
  <c r="C45" i="21"/>
  <c r="T44" i="21"/>
  <c r="S44" i="21"/>
  <c r="R44" i="21"/>
  <c r="Q44" i="21"/>
  <c r="P44" i="21"/>
  <c r="O44" i="21"/>
  <c r="N44" i="21"/>
  <c r="M44" i="21"/>
  <c r="L44" i="21"/>
  <c r="K44" i="21"/>
  <c r="J44" i="21"/>
  <c r="I44" i="21"/>
  <c r="H44" i="21"/>
  <c r="G44" i="21"/>
  <c r="F44" i="21"/>
  <c r="E44" i="21"/>
  <c r="D44" i="21"/>
  <c r="C44" i="21"/>
  <c r="T43" i="21"/>
  <c r="T56" i="21" s="1"/>
  <c r="S43" i="21"/>
  <c r="S56" i="21" s="1"/>
  <c r="R43" i="21"/>
  <c r="R56" i="21" s="1"/>
  <c r="Q43" i="21"/>
  <c r="Q56" i="21" s="1"/>
  <c r="P43" i="21"/>
  <c r="P56" i="21" s="1"/>
  <c r="O43" i="21"/>
  <c r="O56" i="21" s="1"/>
  <c r="N43" i="21"/>
  <c r="N56" i="21" s="1"/>
  <c r="M43" i="21"/>
  <c r="M56" i="21" s="1"/>
  <c r="L43" i="21"/>
  <c r="L56" i="21" s="1"/>
  <c r="K43" i="21"/>
  <c r="K56" i="21" s="1"/>
  <c r="J43" i="21"/>
  <c r="J56" i="21" s="1"/>
  <c r="I43" i="21"/>
  <c r="I56" i="21" s="1"/>
  <c r="H43" i="21"/>
  <c r="H56" i="21" s="1"/>
  <c r="G43" i="21"/>
  <c r="G56" i="21" s="1"/>
  <c r="F43" i="21"/>
  <c r="F56" i="21" s="1"/>
  <c r="E43" i="21"/>
  <c r="E56" i="21" s="1"/>
  <c r="D43" i="21"/>
  <c r="D56" i="21" s="1"/>
  <c r="C43" i="21"/>
  <c r="C56" i="21" s="1"/>
  <c r="T39" i="21"/>
  <c r="S39" i="21"/>
  <c r="R39" i="21"/>
  <c r="Q39" i="21"/>
  <c r="P39" i="21"/>
  <c r="O39" i="21"/>
  <c r="N39" i="21"/>
  <c r="M39" i="21"/>
  <c r="L39" i="21"/>
  <c r="K39" i="21"/>
  <c r="J39" i="21"/>
  <c r="I39" i="21"/>
  <c r="H39" i="21"/>
  <c r="G39" i="21"/>
  <c r="F39" i="21"/>
  <c r="E39" i="21"/>
  <c r="D39" i="21"/>
  <c r="C39" i="21"/>
  <c r="B38" i="21"/>
  <c r="B55" i="21" s="1"/>
  <c r="B26" i="21"/>
  <c r="T23" i="21"/>
  <c r="S23" i="21"/>
  <c r="R23" i="21"/>
  <c r="Q23" i="21"/>
  <c r="P23" i="21"/>
  <c r="O23" i="21"/>
  <c r="N23" i="21"/>
  <c r="M23" i="21"/>
  <c r="L23" i="21"/>
  <c r="K23" i="21"/>
  <c r="J23" i="21"/>
  <c r="I23" i="21"/>
  <c r="H23" i="21"/>
  <c r="G23" i="21"/>
  <c r="F23" i="21"/>
  <c r="E23" i="21"/>
  <c r="D23" i="21"/>
  <c r="C23" i="21"/>
  <c r="B22" i="21"/>
  <c r="B11" i="21"/>
  <c r="B27" i="21" s="1"/>
  <c r="B10" i="21"/>
  <c r="B43" i="21" s="1"/>
  <c r="P95" i="22"/>
  <c r="M95" i="22"/>
  <c r="G65" i="22"/>
  <c r="G63" i="22"/>
  <c r="N62" i="22"/>
  <c r="G62" i="22"/>
  <c r="C62" i="22"/>
  <c r="N61" i="22"/>
  <c r="G41" i="22"/>
  <c r="L41" i="22" s="1"/>
  <c r="G31" i="22"/>
  <c r="L31" i="22" s="1"/>
  <c r="G27" i="22"/>
  <c r="L27" i="22" s="1"/>
  <c r="G23" i="22"/>
  <c r="L23" i="22" s="1"/>
  <c r="G37" i="22"/>
  <c r="L37" i="22" s="1"/>
  <c r="C57" i="6"/>
  <c r="E57" i="6" s="1"/>
  <c r="J29" i="23" l="1"/>
  <c r="L29" i="23" s="1"/>
  <c r="G72" i="23" s="1"/>
  <c r="H72" i="23" s="1"/>
  <c r="L43" i="20"/>
  <c r="I78" i="20" s="1"/>
  <c r="J78" i="20" s="1"/>
  <c r="T95" i="23"/>
  <c r="I36" i="11" s="1"/>
  <c r="C35" i="6"/>
  <c r="J29" i="11" s="1"/>
  <c r="F50" i="11"/>
  <c r="I37" i="11" s="1"/>
  <c r="I38" i="11" s="1"/>
  <c r="H41" i="11"/>
  <c r="H37" i="11"/>
  <c r="L34" i="23"/>
  <c r="L44" i="23" s="1"/>
  <c r="I72" i="23" s="1"/>
  <c r="J72" i="23" s="1"/>
  <c r="J44" i="23"/>
  <c r="J52" i="23"/>
  <c r="L52" i="23" s="1"/>
  <c r="L54" i="23" s="1"/>
  <c r="M72" i="23" s="1"/>
  <c r="N72" i="23" s="1"/>
  <c r="E95" i="22"/>
  <c r="L33" i="20"/>
  <c r="B44" i="21"/>
  <c r="L43" i="22"/>
  <c r="I90" i="22" s="1"/>
  <c r="J90" i="22" s="1"/>
  <c r="L33" i="22"/>
  <c r="K72" i="23" l="1"/>
  <c r="I83" i="20"/>
  <c r="J83" i="20" s="1"/>
  <c r="I88" i="20"/>
  <c r="J88" i="20" s="1"/>
  <c r="I85" i="20"/>
  <c r="J85" i="20" s="1"/>
  <c r="I74" i="20"/>
  <c r="J74" i="20" s="1"/>
  <c r="I90" i="20"/>
  <c r="J90" i="20" s="1"/>
  <c r="I76" i="20"/>
  <c r="J76" i="20" s="1"/>
  <c r="I75" i="20"/>
  <c r="J75" i="20" s="1"/>
  <c r="I80" i="20"/>
  <c r="J80" i="20" s="1"/>
  <c r="I77" i="20"/>
  <c r="J77" i="20" s="1"/>
  <c r="I91" i="20"/>
  <c r="J91" i="20" s="1"/>
  <c r="I82" i="20"/>
  <c r="J82" i="20" s="1"/>
  <c r="I79" i="20"/>
  <c r="J79" i="20" s="1"/>
  <c r="I84" i="20"/>
  <c r="J84" i="20" s="1"/>
  <c r="I81" i="20"/>
  <c r="J81" i="20" s="1"/>
  <c r="I87" i="20"/>
  <c r="J87" i="20" s="1"/>
  <c r="I86" i="20"/>
  <c r="J86" i="20" s="1"/>
  <c r="I73" i="20"/>
  <c r="J73" i="20" s="1"/>
  <c r="I89" i="20"/>
  <c r="J89" i="20" s="1"/>
  <c r="I78" i="22"/>
  <c r="J78" i="22" s="1"/>
  <c r="F51" i="11"/>
  <c r="I41" i="11"/>
  <c r="P72" i="23"/>
  <c r="P89" i="23" s="1"/>
  <c r="F89" i="20"/>
  <c r="G89" i="20" s="1"/>
  <c r="F85" i="20"/>
  <c r="G85" i="20" s="1"/>
  <c r="F81" i="20"/>
  <c r="G81" i="20" s="1"/>
  <c r="F77" i="20"/>
  <c r="G77" i="20" s="1"/>
  <c r="F73" i="20"/>
  <c r="G73" i="20" s="1"/>
  <c r="L73" i="20" s="1"/>
  <c r="F87" i="20"/>
  <c r="G87" i="20" s="1"/>
  <c r="F75" i="20"/>
  <c r="G75" i="20" s="1"/>
  <c r="L75" i="20" s="1"/>
  <c r="N75" i="20" s="1"/>
  <c r="J162" i="19" s="1"/>
  <c r="F82" i="20"/>
  <c r="G82" i="20" s="1"/>
  <c r="F78" i="20"/>
  <c r="G78" i="20" s="1"/>
  <c r="L78" i="20" s="1"/>
  <c r="N78" i="20" s="1"/>
  <c r="J286" i="19" s="1"/>
  <c r="F88" i="20"/>
  <c r="G88" i="20" s="1"/>
  <c r="L88" i="20" s="1"/>
  <c r="N88" i="20" s="1"/>
  <c r="J757" i="19" s="1"/>
  <c r="F84" i="20"/>
  <c r="G84" i="20" s="1"/>
  <c r="L84" i="20" s="1"/>
  <c r="N84" i="20" s="1"/>
  <c r="J536" i="19" s="1"/>
  <c r="F80" i="20"/>
  <c r="G80" i="20" s="1"/>
  <c r="L80" i="20" s="1"/>
  <c r="N80" i="20" s="1"/>
  <c r="J368" i="19" s="1"/>
  <c r="F76" i="20"/>
  <c r="G76" i="20" s="1"/>
  <c r="F83" i="20"/>
  <c r="G83" i="20" s="1"/>
  <c r="F79" i="20"/>
  <c r="G79" i="20" s="1"/>
  <c r="F91" i="20"/>
  <c r="G91" i="20" s="1"/>
  <c r="F90" i="20"/>
  <c r="G90" i="20" s="1"/>
  <c r="L90" i="20" s="1"/>
  <c r="N90" i="20" s="1"/>
  <c r="J856" i="19" s="1"/>
  <c r="F86" i="20"/>
  <c r="G86" i="20" s="1"/>
  <c r="F74" i="20"/>
  <c r="G74" i="20" s="1"/>
  <c r="I87" i="22"/>
  <c r="J87" i="22" s="1"/>
  <c r="I88" i="22"/>
  <c r="J88" i="22" s="1"/>
  <c r="I85" i="22"/>
  <c r="J85" i="22" s="1"/>
  <c r="I75" i="22"/>
  <c r="J75" i="22" s="1"/>
  <c r="I76" i="22"/>
  <c r="J76" i="22" s="1"/>
  <c r="I73" i="22"/>
  <c r="J73" i="22" s="1"/>
  <c r="I89" i="22"/>
  <c r="J89" i="22" s="1"/>
  <c r="I82" i="22"/>
  <c r="J82" i="22" s="1"/>
  <c r="I79" i="22"/>
  <c r="J79" i="22" s="1"/>
  <c r="I80" i="22"/>
  <c r="J80" i="22" s="1"/>
  <c r="I77" i="22"/>
  <c r="J77" i="22" s="1"/>
  <c r="I91" i="22"/>
  <c r="J91" i="22" s="1"/>
  <c r="I86" i="22"/>
  <c r="J86" i="22" s="1"/>
  <c r="I83" i="22"/>
  <c r="J83" i="22" s="1"/>
  <c r="I84" i="22"/>
  <c r="J84" i="22" s="1"/>
  <c r="I81" i="22"/>
  <c r="J81" i="22" s="1"/>
  <c r="I74" i="22"/>
  <c r="J74" i="22" s="1"/>
  <c r="F89" i="22"/>
  <c r="G89" i="22" s="1"/>
  <c r="F85" i="22"/>
  <c r="G85" i="22" s="1"/>
  <c r="F81" i="22"/>
  <c r="G81" i="22" s="1"/>
  <c r="L81" i="22" s="1"/>
  <c r="N81" i="22" s="1"/>
  <c r="I410" i="19" s="1"/>
  <c r="F77" i="22"/>
  <c r="G77" i="22" s="1"/>
  <c r="F73" i="22"/>
  <c r="G73" i="22" s="1"/>
  <c r="L73" i="22" s="1"/>
  <c r="F88" i="22"/>
  <c r="G88" i="22" s="1"/>
  <c r="F84" i="22"/>
  <c r="G84" i="22" s="1"/>
  <c r="F80" i="22"/>
  <c r="G80" i="22" s="1"/>
  <c r="F76" i="22"/>
  <c r="G76" i="22" s="1"/>
  <c r="F87" i="22"/>
  <c r="G87" i="22" s="1"/>
  <c r="F83" i="22"/>
  <c r="G83" i="22" s="1"/>
  <c r="F79" i="22"/>
  <c r="G79" i="22" s="1"/>
  <c r="L79" i="22" s="1"/>
  <c r="N79" i="22" s="1"/>
  <c r="I328" i="19" s="1"/>
  <c r="F75" i="22"/>
  <c r="G75" i="22" s="1"/>
  <c r="F91" i="22"/>
  <c r="G91" i="22" s="1"/>
  <c r="F90" i="22"/>
  <c r="G90" i="22" s="1"/>
  <c r="L90" i="22" s="1"/>
  <c r="N90" i="22" s="1"/>
  <c r="I856" i="19" s="1"/>
  <c r="F86" i="22"/>
  <c r="G86" i="22" s="1"/>
  <c r="F82" i="22"/>
  <c r="G82" i="22" s="1"/>
  <c r="F78" i="22"/>
  <c r="G78" i="22" s="1"/>
  <c r="F74" i="22"/>
  <c r="G74" i="22" s="1"/>
  <c r="R72" i="23" l="1"/>
  <c r="R89" i="23" s="1"/>
  <c r="P91" i="23"/>
  <c r="I40" i="11"/>
  <c r="I42" i="11" s="1"/>
  <c r="L91" i="20"/>
  <c r="N91" i="20" s="1"/>
  <c r="L81" i="20"/>
  <c r="N81" i="20" s="1"/>
  <c r="J410" i="19" s="1"/>
  <c r="L76" i="20"/>
  <c r="N76" i="20" s="1"/>
  <c r="J204" i="19" s="1"/>
  <c r="L89" i="20"/>
  <c r="N89" i="20" s="1"/>
  <c r="J803" i="19" s="1"/>
  <c r="L74" i="20"/>
  <c r="N74" i="20" s="1"/>
  <c r="J122" i="19" s="1"/>
  <c r="L86" i="20"/>
  <c r="N86" i="20" s="1"/>
  <c r="J665" i="19" s="1"/>
  <c r="L79" i="20"/>
  <c r="N79" i="20" s="1"/>
  <c r="J328" i="19" s="1"/>
  <c r="L76" i="22"/>
  <c r="N76" i="22" s="1"/>
  <c r="I204" i="19" s="1"/>
  <c r="L82" i="20"/>
  <c r="N82" i="20" s="1"/>
  <c r="J452" i="19" s="1"/>
  <c r="L77" i="20"/>
  <c r="N77" i="20" s="1"/>
  <c r="J244" i="19" s="1"/>
  <c r="L83" i="20"/>
  <c r="N83" i="20" s="1"/>
  <c r="J494" i="19" s="1"/>
  <c r="L87" i="20"/>
  <c r="N87" i="20" s="1"/>
  <c r="J711" i="19" s="1"/>
  <c r="L85" i="20"/>
  <c r="N85" i="20" s="1"/>
  <c r="J578" i="19" s="1"/>
  <c r="L78" i="22"/>
  <c r="N78" i="22" s="1"/>
  <c r="I286" i="19" s="1"/>
  <c r="F286" i="19" s="1"/>
  <c r="L86" i="22"/>
  <c r="N86" i="22" s="1"/>
  <c r="I665" i="19" s="1"/>
  <c r="L85" i="22"/>
  <c r="N85" i="22" s="1"/>
  <c r="I578" i="19" s="1"/>
  <c r="N73" i="20"/>
  <c r="J82" i="19" s="1"/>
  <c r="L87" i="22"/>
  <c r="N87" i="22" s="1"/>
  <c r="I711" i="19" s="1"/>
  <c r="L88" i="22"/>
  <c r="N88" i="22" s="1"/>
  <c r="I757" i="19" s="1"/>
  <c r="L74" i="22"/>
  <c r="N74" i="22" s="1"/>
  <c r="I122" i="19" s="1"/>
  <c r="L83" i="22"/>
  <c r="N83" i="22" s="1"/>
  <c r="I494" i="19" s="1"/>
  <c r="L84" i="22"/>
  <c r="N84" i="22" s="1"/>
  <c r="I536" i="19" s="1"/>
  <c r="L91" i="22"/>
  <c r="N91" i="22" s="1"/>
  <c r="L82" i="22"/>
  <c r="N82" i="22" s="1"/>
  <c r="I452" i="19" s="1"/>
  <c r="L75" i="22"/>
  <c r="N75" i="22" s="1"/>
  <c r="I162" i="19" s="1"/>
  <c r="L89" i="22"/>
  <c r="N89" i="22" s="1"/>
  <c r="I803" i="19" s="1"/>
  <c r="L80" i="22"/>
  <c r="N80" i="22" s="1"/>
  <c r="I368" i="19" s="1"/>
  <c r="L77" i="22"/>
  <c r="N77" i="22" s="1"/>
  <c r="I244" i="19" s="1"/>
  <c r="N73" i="22"/>
  <c r="I82" i="19" s="1"/>
  <c r="L95" i="20" l="1"/>
  <c r="L97" i="20" s="1"/>
  <c r="N95" i="20"/>
  <c r="N95" i="22"/>
  <c r="L95" i="22"/>
  <c r="L97" i="22" s="1"/>
  <c r="D3" i="8" l="1"/>
  <c r="L594" i="19"/>
  <c r="L595" i="19"/>
  <c r="L596" i="19"/>
  <c r="L597" i="19"/>
  <c r="L598" i="19"/>
  <c r="L599" i="19"/>
  <c r="L600" i="19"/>
  <c r="L601" i="19"/>
  <c r="L602" i="19"/>
  <c r="L603" i="19"/>
  <c r="L604" i="19"/>
  <c r="L605" i="19"/>
  <c r="L606" i="19"/>
  <c r="L607" i="19"/>
  <c r="L608" i="19"/>
  <c r="L609" i="19"/>
  <c r="L610" i="19"/>
  <c r="L611" i="19"/>
  <c r="L612" i="19"/>
  <c r="L613" i="19"/>
  <c r="L614" i="19"/>
  <c r="L615" i="19"/>
  <c r="L616" i="19"/>
  <c r="L593" i="19"/>
  <c r="J862" i="19"/>
  <c r="J863" i="19" s="1"/>
  <c r="J861" i="19"/>
  <c r="I862" i="19"/>
  <c r="I863" i="19" s="1"/>
  <c r="I861" i="19"/>
  <c r="L885" i="19" l="1"/>
  <c r="L889" i="19" s="1"/>
  <c r="M884" i="19" s="1"/>
  <c r="H916" i="19"/>
  <c r="H915" i="19"/>
  <c r="H917" i="19" s="1"/>
  <c r="D822" i="19"/>
  <c r="C822" i="19"/>
  <c r="E821" i="19"/>
  <c r="D821" i="19"/>
  <c r="C821" i="19"/>
  <c r="E820" i="19"/>
  <c r="E853" i="19" s="1"/>
  <c r="D820" i="19"/>
  <c r="D853" i="19" s="1"/>
  <c r="C820" i="19"/>
  <c r="C853" i="19" s="1"/>
  <c r="E800" i="19"/>
  <c r="D800" i="19"/>
  <c r="C800" i="19"/>
  <c r="E754" i="19"/>
  <c r="C754" i="19"/>
  <c r="D729" i="19"/>
  <c r="C729" i="19"/>
  <c r="D728" i="19"/>
  <c r="D754" i="19" s="1"/>
  <c r="C728" i="19"/>
  <c r="E708" i="19"/>
  <c r="D708" i="19"/>
  <c r="D683" i="19"/>
  <c r="C683" i="19"/>
  <c r="D682" i="19"/>
  <c r="C682" i="19"/>
  <c r="C708" i="19" s="1"/>
  <c r="E638" i="19"/>
  <c r="D638" i="19"/>
  <c r="D662" i="19" s="1"/>
  <c r="C638" i="19"/>
  <c r="E637" i="19"/>
  <c r="D637" i="19"/>
  <c r="C637" i="19"/>
  <c r="E617" i="19"/>
  <c r="D596" i="19"/>
  <c r="C596" i="19"/>
  <c r="D595" i="19"/>
  <c r="C595" i="19"/>
  <c r="C617" i="19" s="1"/>
  <c r="E575" i="19"/>
  <c r="D554" i="19"/>
  <c r="C554" i="19"/>
  <c r="D553" i="19"/>
  <c r="D575" i="19" s="1"/>
  <c r="C553" i="19"/>
  <c r="C575" i="19" s="1"/>
  <c r="E533" i="19"/>
  <c r="C533" i="19"/>
  <c r="D512" i="19"/>
  <c r="C512" i="19"/>
  <c r="D511" i="19"/>
  <c r="D533" i="19" s="1"/>
  <c r="C511" i="19"/>
  <c r="C491" i="19"/>
  <c r="E490" i="19"/>
  <c r="E489" i="19"/>
  <c r="E488" i="19"/>
  <c r="E487" i="19"/>
  <c r="E486" i="19"/>
  <c r="E484" i="19"/>
  <c r="E483" i="19"/>
  <c r="E482" i="19"/>
  <c r="E481" i="19"/>
  <c r="E480" i="19"/>
  <c r="E479" i="19"/>
  <c r="E478" i="19"/>
  <c r="E477" i="19"/>
  <c r="E476" i="19"/>
  <c r="E475" i="19"/>
  <c r="E474" i="19"/>
  <c r="E473" i="19"/>
  <c r="E472" i="19"/>
  <c r="E471" i="19"/>
  <c r="E470" i="19"/>
  <c r="D470" i="19"/>
  <c r="C470" i="19"/>
  <c r="D469" i="19"/>
  <c r="D491" i="19" s="1"/>
  <c r="C469" i="19"/>
  <c r="E468" i="19"/>
  <c r="E467" i="19"/>
  <c r="E448" i="19"/>
  <c r="E447" i="19"/>
  <c r="E446" i="19"/>
  <c r="E445" i="19"/>
  <c r="E444" i="19"/>
  <c r="E442" i="19"/>
  <c r="E441" i="19"/>
  <c r="E440" i="19"/>
  <c r="E439" i="19"/>
  <c r="E438" i="19"/>
  <c r="E437" i="19"/>
  <c r="E436" i="19"/>
  <c r="E435" i="19"/>
  <c r="E434" i="19"/>
  <c r="E433" i="19"/>
  <c r="E432" i="19"/>
  <c r="E431" i="19"/>
  <c r="E430" i="19"/>
  <c r="E429" i="19"/>
  <c r="D428" i="19"/>
  <c r="E428" i="19" s="1"/>
  <c r="C428" i="19"/>
  <c r="D427" i="19"/>
  <c r="D449" i="19" s="1"/>
  <c r="C427" i="19"/>
  <c r="E426" i="19"/>
  <c r="E425" i="19"/>
  <c r="E406" i="19"/>
  <c r="E405" i="19"/>
  <c r="E404" i="19"/>
  <c r="E403" i="19"/>
  <c r="E402" i="19"/>
  <c r="E400" i="19"/>
  <c r="E399" i="19"/>
  <c r="E398" i="19"/>
  <c r="E397" i="19"/>
  <c r="E396" i="19"/>
  <c r="E395" i="19"/>
  <c r="E394" i="19"/>
  <c r="E393" i="19"/>
  <c r="E392" i="19"/>
  <c r="E391" i="19"/>
  <c r="E390" i="19"/>
  <c r="E389" i="19"/>
  <c r="E388" i="19"/>
  <c r="E387" i="19"/>
  <c r="D386" i="19"/>
  <c r="C386" i="19"/>
  <c r="E386" i="19" s="1"/>
  <c r="D385" i="19"/>
  <c r="D407" i="19" s="1"/>
  <c r="C385" i="19"/>
  <c r="E384" i="19"/>
  <c r="E383" i="19"/>
  <c r="E364" i="19"/>
  <c r="C364" i="19"/>
  <c r="E363" i="19"/>
  <c r="C363" i="19"/>
  <c r="E362" i="19"/>
  <c r="C362" i="19"/>
  <c r="E361" i="19"/>
  <c r="C361" i="19"/>
  <c r="E360" i="19"/>
  <c r="C360" i="19"/>
  <c r="E359" i="19"/>
  <c r="D359" i="19"/>
  <c r="C359" i="19"/>
  <c r="C358" i="19"/>
  <c r="E358" i="19" s="1"/>
  <c r="C357" i="19"/>
  <c r="E357" i="19" s="1"/>
  <c r="E356" i="19"/>
  <c r="C356" i="19"/>
  <c r="C355" i="19"/>
  <c r="E355" i="19" s="1"/>
  <c r="C354" i="19"/>
  <c r="E354" i="19" s="1"/>
  <c r="C353" i="19"/>
  <c r="E353" i="19" s="1"/>
  <c r="E352" i="19"/>
  <c r="C352" i="19"/>
  <c r="C351" i="19"/>
  <c r="E351" i="19" s="1"/>
  <c r="C350" i="19"/>
  <c r="E350" i="19" s="1"/>
  <c r="C349" i="19"/>
  <c r="E349" i="19" s="1"/>
  <c r="E348" i="19"/>
  <c r="C348" i="19"/>
  <c r="C347" i="19"/>
  <c r="E347" i="19" s="1"/>
  <c r="E346" i="19"/>
  <c r="D346" i="19"/>
  <c r="C346" i="19"/>
  <c r="D345" i="19"/>
  <c r="C345" i="19"/>
  <c r="E345" i="19" s="1"/>
  <c r="C344" i="19"/>
  <c r="E344" i="19" s="1"/>
  <c r="E343" i="19"/>
  <c r="C343" i="19"/>
  <c r="C325" i="19"/>
  <c r="E324" i="19"/>
  <c r="E323" i="19"/>
  <c r="E322" i="19"/>
  <c r="E321" i="19"/>
  <c r="E320" i="19"/>
  <c r="E319" i="19"/>
  <c r="E318" i="19"/>
  <c r="E317" i="19"/>
  <c r="E316" i="19"/>
  <c r="E315" i="19"/>
  <c r="E314" i="19"/>
  <c r="E313" i="19"/>
  <c r="E312" i="19"/>
  <c r="E311" i="19"/>
  <c r="E310" i="19"/>
  <c r="E309" i="19"/>
  <c r="E308" i="19"/>
  <c r="E307" i="19"/>
  <c r="E306" i="19"/>
  <c r="E305" i="19"/>
  <c r="D304" i="19"/>
  <c r="D325" i="19" s="1"/>
  <c r="C304" i="19"/>
  <c r="E304" i="19" s="1"/>
  <c r="D303" i="19"/>
  <c r="C303" i="19"/>
  <c r="E303" i="19" s="1"/>
  <c r="E302" i="19"/>
  <c r="E301" i="19"/>
  <c r="E262" i="19"/>
  <c r="D262" i="19"/>
  <c r="D283" i="19" s="1"/>
  <c r="C262" i="19"/>
  <c r="C283" i="19" s="1"/>
  <c r="E261" i="19"/>
  <c r="D261" i="19"/>
  <c r="C261" i="19"/>
  <c r="C241" i="19"/>
  <c r="E240" i="19"/>
  <c r="E239" i="19"/>
  <c r="E238" i="19"/>
  <c r="E237" i="19"/>
  <c r="E236" i="19"/>
  <c r="E235" i="19"/>
  <c r="E234" i="19"/>
  <c r="E233" i="19"/>
  <c r="E232" i="19"/>
  <c r="E231" i="19"/>
  <c r="E230" i="19"/>
  <c r="E229" i="19"/>
  <c r="E228" i="19"/>
  <c r="E227" i="19"/>
  <c r="E226" i="19"/>
  <c r="E225" i="19"/>
  <c r="E224" i="19"/>
  <c r="E223" i="19"/>
  <c r="D222" i="19"/>
  <c r="C222" i="19"/>
  <c r="E221" i="19"/>
  <c r="D221" i="19"/>
  <c r="C221" i="19"/>
  <c r="E220" i="19"/>
  <c r="E219" i="19"/>
  <c r="D201" i="19"/>
  <c r="E200" i="19"/>
  <c r="E199" i="19"/>
  <c r="E198" i="19"/>
  <c r="E197" i="19"/>
  <c r="E196" i="19"/>
  <c r="E195" i="19"/>
  <c r="E194" i="19"/>
  <c r="E193" i="19"/>
  <c r="E192" i="19"/>
  <c r="E191" i="19"/>
  <c r="E190" i="19"/>
  <c r="E189" i="19"/>
  <c r="E188" i="19"/>
  <c r="E187" i="19"/>
  <c r="E186" i="19"/>
  <c r="E185" i="19"/>
  <c r="E184" i="19"/>
  <c r="E183" i="19"/>
  <c r="E182" i="19"/>
  <c r="E181" i="19"/>
  <c r="D180" i="19"/>
  <c r="C180" i="19"/>
  <c r="E179" i="19"/>
  <c r="D179" i="19"/>
  <c r="C179" i="19"/>
  <c r="C201" i="19" s="1"/>
  <c r="E178" i="19"/>
  <c r="E177" i="19"/>
  <c r="D159" i="19"/>
  <c r="C158" i="19"/>
  <c r="E158" i="19" s="1"/>
  <c r="C157" i="19"/>
  <c r="E157" i="19" s="1"/>
  <c r="C156" i="19"/>
  <c r="E156" i="19" s="1"/>
  <c r="C155" i="19"/>
  <c r="E155" i="19" s="1"/>
  <c r="C154" i="19"/>
  <c r="E154" i="19" s="1"/>
  <c r="D153" i="19"/>
  <c r="E153" i="19" s="1"/>
  <c r="C153" i="19"/>
  <c r="C152" i="19"/>
  <c r="E152" i="19" s="1"/>
  <c r="E151" i="19"/>
  <c r="C151" i="19"/>
  <c r="C150" i="19"/>
  <c r="E150" i="19" s="1"/>
  <c r="E149" i="19"/>
  <c r="C149" i="19"/>
  <c r="C148" i="19"/>
  <c r="E148" i="19" s="1"/>
  <c r="E147" i="19"/>
  <c r="C147" i="19"/>
  <c r="C146" i="19"/>
  <c r="E146" i="19" s="1"/>
  <c r="E145" i="19"/>
  <c r="C145" i="19"/>
  <c r="C144" i="19"/>
  <c r="E144" i="19" s="1"/>
  <c r="E143" i="19"/>
  <c r="C143" i="19"/>
  <c r="C142" i="19"/>
  <c r="E142" i="19" s="1"/>
  <c r="E141" i="19"/>
  <c r="C141" i="19"/>
  <c r="D140" i="19"/>
  <c r="C140" i="19"/>
  <c r="E140" i="19" s="1"/>
  <c r="D139" i="19"/>
  <c r="C139" i="19"/>
  <c r="E139" i="19" s="1"/>
  <c r="E138" i="19"/>
  <c r="C138" i="19"/>
  <c r="C137" i="19"/>
  <c r="C159" i="19" s="1"/>
  <c r="D119" i="19"/>
  <c r="E118" i="19"/>
  <c r="E117" i="19"/>
  <c r="E116" i="19"/>
  <c r="E115" i="19"/>
  <c r="E114" i="19"/>
  <c r="E113" i="19"/>
  <c r="E112" i="19"/>
  <c r="E111" i="19"/>
  <c r="E110" i="19"/>
  <c r="E109" i="19"/>
  <c r="E108" i="19"/>
  <c r="E107" i="19"/>
  <c r="E106" i="19"/>
  <c r="E105" i="19"/>
  <c r="E104" i="19"/>
  <c r="E103" i="19"/>
  <c r="E102" i="19"/>
  <c r="E101" i="19"/>
  <c r="D100" i="19"/>
  <c r="C100" i="19"/>
  <c r="E100" i="19" s="1"/>
  <c r="E99" i="19"/>
  <c r="D99" i="19"/>
  <c r="C99" i="19"/>
  <c r="E98" i="19"/>
  <c r="E97" i="19"/>
  <c r="E78" i="19"/>
  <c r="E77" i="19"/>
  <c r="E76" i="19"/>
  <c r="E75" i="19"/>
  <c r="E74" i="19"/>
  <c r="E73" i="19"/>
  <c r="E72" i="19"/>
  <c r="E71" i="19"/>
  <c r="E70" i="19"/>
  <c r="E69" i="19"/>
  <c r="E68" i="19"/>
  <c r="E67" i="19"/>
  <c r="E66" i="19"/>
  <c r="E65" i="19"/>
  <c r="E64" i="19"/>
  <c r="E63" i="19"/>
  <c r="E62" i="19"/>
  <c r="E61" i="19"/>
  <c r="D60" i="19"/>
  <c r="E60" i="19" s="1"/>
  <c r="C60" i="19"/>
  <c r="D59" i="19"/>
  <c r="D79" i="19" s="1"/>
  <c r="C59" i="19"/>
  <c r="E58" i="19"/>
  <c r="E57" i="19"/>
  <c r="F664" i="19" l="1"/>
  <c r="F638" i="19" s="1"/>
  <c r="H638" i="19" s="1"/>
  <c r="F285" i="19"/>
  <c r="F7" i="6" s="1"/>
  <c r="F757" i="19"/>
  <c r="F410" i="19"/>
  <c r="F10" i="5" s="1"/>
  <c r="F82" i="19"/>
  <c r="F577" i="19"/>
  <c r="F568" i="19" s="1"/>
  <c r="H568" i="19" s="1"/>
  <c r="F243" i="19"/>
  <c r="F230" i="19" s="1"/>
  <c r="H230" i="19" s="1"/>
  <c r="F803" i="19"/>
  <c r="F452" i="19"/>
  <c r="F11" i="5" s="1"/>
  <c r="M888" i="19"/>
  <c r="F451" i="19" s="1"/>
  <c r="F226" i="19"/>
  <c r="H226" i="19" s="1"/>
  <c r="F234" i="19"/>
  <c r="H234" i="19" s="1"/>
  <c r="F238" i="19"/>
  <c r="H238" i="19" s="1"/>
  <c r="M889" i="19"/>
  <c r="F225" i="19"/>
  <c r="H225" i="19" s="1"/>
  <c r="E59" i="19"/>
  <c r="C79" i="19"/>
  <c r="C119" i="19"/>
  <c r="F221" i="19"/>
  <c r="H221" i="19" s="1"/>
  <c r="E137" i="19"/>
  <c r="E79" i="19"/>
  <c r="E119" i="19"/>
  <c r="F233" i="19"/>
  <c r="H233" i="19" s="1"/>
  <c r="E427" i="19"/>
  <c r="C449" i="19"/>
  <c r="E180" i="19"/>
  <c r="E325" i="19"/>
  <c r="E283" i="19"/>
  <c r="C365" i="19"/>
  <c r="D365" i="19"/>
  <c r="E365" i="19"/>
  <c r="E385" i="19"/>
  <c r="C407" i="19"/>
  <c r="D241" i="19"/>
  <c r="E222" i="19"/>
  <c r="E662" i="19"/>
  <c r="E469" i="19"/>
  <c r="E491" i="19" s="1"/>
  <c r="D617" i="19"/>
  <c r="E449" i="19"/>
  <c r="C662" i="19"/>
  <c r="F651" i="19" l="1"/>
  <c r="H651" i="19" s="1"/>
  <c r="F641" i="19"/>
  <c r="H641" i="19" s="1"/>
  <c r="F657" i="19"/>
  <c r="F661" i="19"/>
  <c r="H661" i="19" s="1"/>
  <c r="F642" i="19"/>
  <c r="H642" i="19" s="1"/>
  <c r="F570" i="19"/>
  <c r="H570" i="19" s="1"/>
  <c r="F437" i="19"/>
  <c r="H437" i="19" s="1"/>
  <c r="F429" i="19"/>
  <c r="H429" i="19" s="1"/>
  <c r="F445" i="19"/>
  <c r="H445" i="19" s="1"/>
  <c r="F6" i="6"/>
  <c r="F227" i="19"/>
  <c r="H227" i="19" s="1"/>
  <c r="F235" i="19"/>
  <c r="H235" i="19" s="1"/>
  <c r="F229" i="19"/>
  <c r="H229" i="19" s="1"/>
  <c r="F223" i="19"/>
  <c r="H223" i="19" s="1"/>
  <c r="F231" i="19"/>
  <c r="H231" i="19" s="1"/>
  <c r="F239" i="19"/>
  <c r="F219" i="19"/>
  <c r="H219" i="19" s="1"/>
  <c r="F237" i="19"/>
  <c r="H237" i="19" s="1"/>
  <c r="F558" i="19"/>
  <c r="H558" i="19" s="1"/>
  <c r="F553" i="19"/>
  <c r="H553" i="19" s="1"/>
  <c r="F565" i="19"/>
  <c r="H565" i="19" s="1"/>
  <c r="F573" i="19"/>
  <c r="F557" i="19"/>
  <c r="H557" i="19" s="1"/>
  <c r="F560" i="19"/>
  <c r="H560" i="19" s="1"/>
  <c r="F554" i="19"/>
  <c r="H554" i="19" s="1"/>
  <c r="F6" i="5"/>
  <c r="F635" i="19"/>
  <c r="H635" i="19" s="1"/>
  <c r="F643" i="19"/>
  <c r="H643" i="19" s="1"/>
  <c r="F640" i="19"/>
  <c r="H640" i="19" s="1"/>
  <c r="F660" i="19"/>
  <c r="H660" i="19" s="1"/>
  <c r="F656" i="19"/>
  <c r="H656" i="19" s="1"/>
  <c r="F639" i="19"/>
  <c r="H639" i="19" s="1"/>
  <c r="F653" i="19"/>
  <c r="H653" i="19" s="1"/>
  <c r="F650" i="19"/>
  <c r="H650" i="19" s="1"/>
  <c r="F644" i="19"/>
  <c r="H644" i="19" s="1"/>
  <c r="F658" i="19"/>
  <c r="H658" i="19" s="1"/>
  <c r="F654" i="19"/>
  <c r="H654" i="19" s="1"/>
  <c r="F646" i="19"/>
  <c r="H646" i="19" s="1"/>
  <c r="F647" i="19"/>
  <c r="H647" i="19" s="1"/>
  <c r="F645" i="19"/>
  <c r="H645" i="19" s="1"/>
  <c r="F659" i="19"/>
  <c r="H659" i="19" s="1"/>
  <c r="F648" i="19"/>
  <c r="H648" i="19" s="1"/>
  <c r="F652" i="19"/>
  <c r="H652" i="19" s="1"/>
  <c r="F637" i="19"/>
  <c r="H637" i="19" s="1"/>
  <c r="F649" i="19"/>
  <c r="H649" i="19" s="1"/>
  <c r="F636" i="19"/>
  <c r="H636" i="19" s="1"/>
  <c r="F655" i="19"/>
  <c r="H655" i="19" s="1"/>
  <c r="F81" i="19"/>
  <c r="F57" i="19" s="1"/>
  <c r="H57" i="19" s="1"/>
  <c r="F756" i="19"/>
  <c r="F732" i="19" s="1"/>
  <c r="H732" i="19" s="1"/>
  <c r="F578" i="19"/>
  <c r="G571" i="19" s="1"/>
  <c r="F535" i="19"/>
  <c r="F203" i="19"/>
  <c r="F620" i="19"/>
  <c r="F328" i="19"/>
  <c r="F855" i="19"/>
  <c r="F493" i="19"/>
  <c r="F481" i="19" s="1"/>
  <c r="H481" i="19" s="1"/>
  <c r="F161" i="19"/>
  <c r="F711" i="19"/>
  <c r="F368" i="19"/>
  <c r="F9" i="5" s="1"/>
  <c r="F710" i="19"/>
  <c r="F367" i="19"/>
  <c r="F856" i="19"/>
  <c r="F13" i="5" s="1"/>
  <c r="F494" i="19"/>
  <c r="F12" i="5" s="1"/>
  <c r="F162" i="19"/>
  <c r="F8" i="5" s="1"/>
  <c r="F619" i="19"/>
  <c r="F327" i="19"/>
  <c r="F122" i="19"/>
  <c r="F7" i="5" s="1"/>
  <c r="F536" i="19"/>
  <c r="F204" i="19"/>
  <c r="F665" i="19"/>
  <c r="G638" i="19" s="1"/>
  <c r="F409" i="19"/>
  <c r="G435" i="19" s="1"/>
  <c r="F244" i="19"/>
  <c r="G228" i="19" s="1"/>
  <c r="F121" i="19"/>
  <c r="F108" i="19" s="1"/>
  <c r="H108" i="19" s="1"/>
  <c r="F802" i="19"/>
  <c r="F11" i="6" s="1"/>
  <c r="F386" i="19"/>
  <c r="H386" i="19" s="1"/>
  <c r="G743" i="19"/>
  <c r="G488" i="19"/>
  <c r="F389" i="19"/>
  <c r="H389" i="19" s="1"/>
  <c r="G729" i="19"/>
  <c r="G446" i="19"/>
  <c r="G441" i="19"/>
  <c r="F394" i="19"/>
  <c r="H394" i="19" s="1"/>
  <c r="F726" i="19"/>
  <c r="H726" i="19" s="1"/>
  <c r="G426" i="19"/>
  <c r="G752" i="19"/>
  <c r="G440" i="19"/>
  <c r="F738" i="19"/>
  <c r="H738" i="19" s="1"/>
  <c r="G728" i="19"/>
  <c r="G286" i="19"/>
  <c r="G280" i="19"/>
  <c r="F279" i="19"/>
  <c r="H279" i="19" s="1"/>
  <c r="F278" i="19"/>
  <c r="H278" i="19" s="1"/>
  <c r="G274" i="19"/>
  <c r="F273" i="19"/>
  <c r="H273" i="19" s="1"/>
  <c r="G269" i="19"/>
  <c r="G268" i="19"/>
  <c r="F267" i="19"/>
  <c r="H267" i="19" s="1"/>
  <c r="G281" i="19"/>
  <c r="G278" i="19"/>
  <c r="F274" i="19"/>
  <c r="H274" i="19" s="1"/>
  <c r="G272" i="19"/>
  <c r="F271" i="19"/>
  <c r="H271" i="19" s="1"/>
  <c r="F268" i="19"/>
  <c r="H268" i="19" s="1"/>
  <c r="G266" i="19"/>
  <c r="F265" i="19"/>
  <c r="H265" i="19" s="1"/>
  <c r="F282" i="19"/>
  <c r="H282" i="19" s="1"/>
  <c r="G277" i="19"/>
  <c r="G282" i="19"/>
  <c r="F281" i="19"/>
  <c r="G279" i="19"/>
  <c r="G275" i="19"/>
  <c r="F272" i="19"/>
  <c r="H272" i="19" s="1"/>
  <c r="F269" i="19"/>
  <c r="H269" i="19" s="1"/>
  <c r="F266" i="19"/>
  <c r="H266" i="19" s="1"/>
  <c r="G263" i="19"/>
  <c r="G262" i="19"/>
  <c r="G259" i="19"/>
  <c r="F277" i="19"/>
  <c r="H277" i="19" s="1"/>
  <c r="G273" i="19"/>
  <c r="G264" i="19"/>
  <c r="F259" i="19"/>
  <c r="H259" i="19" s="1"/>
  <c r="F275" i="19"/>
  <c r="H275" i="19" s="1"/>
  <c r="G270" i="19"/>
  <c r="F264" i="19"/>
  <c r="H264" i="19" s="1"/>
  <c r="F262" i="19"/>
  <c r="H262" i="19" s="1"/>
  <c r="G260" i="19"/>
  <c r="G276" i="19"/>
  <c r="F270" i="19"/>
  <c r="H270" i="19" s="1"/>
  <c r="G265" i="19"/>
  <c r="F260" i="19"/>
  <c r="H260" i="19" s="1"/>
  <c r="F280" i="19"/>
  <c r="H280" i="19" s="1"/>
  <c r="F276" i="19"/>
  <c r="H276" i="19" s="1"/>
  <c r="G271" i="19"/>
  <c r="G267" i="19"/>
  <c r="F263" i="19"/>
  <c r="H263" i="19" s="1"/>
  <c r="G470" i="19"/>
  <c r="G467" i="19"/>
  <c r="G403" i="19"/>
  <c r="G392" i="19"/>
  <c r="G431" i="19"/>
  <c r="G396" i="19"/>
  <c r="G389" i="19"/>
  <c r="G436" i="19"/>
  <c r="G410" i="19"/>
  <c r="F406" i="19"/>
  <c r="H406" i="19" s="1"/>
  <c r="G406" i="19"/>
  <c r="F574" i="19"/>
  <c r="H574" i="19" s="1"/>
  <c r="F571" i="19"/>
  <c r="H571" i="19" s="1"/>
  <c r="F567" i="19"/>
  <c r="H567" i="19" s="1"/>
  <c r="F559" i="19"/>
  <c r="H559" i="19" s="1"/>
  <c r="F563" i="19"/>
  <c r="H563" i="19" s="1"/>
  <c r="F555" i="19"/>
  <c r="H555" i="19" s="1"/>
  <c r="G483" i="19"/>
  <c r="F425" i="19"/>
  <c r="H425" i="19" s="1"/>
  <c r="G481" i="19"/>
  <c r="G471" i="19"/>
  <c r="G437" i="19"/>
  <c r="G429" i="19"/>
  <c r="F384" i="19"/>
  <c r="H384" i="19" s="1"/>
  <c r="F392" i="19"/>
  <c r="H392" i="19" s="1"/>
  <c r="F444" i="19"/>
  <c r="H444" i="19" s="1"/>
  <c r="F388" i="19"/>
  <c r="H388" i="19" s="1"/>
  <c r="G261" i="19"/>
  <c r="G478" i="19"/>
  <c r="F396" i="19"/>
  <c r="H396" i="19" s="1"/>
  <c r="F400" i="19"/>
  <c r="H400" i="19" s="1"/>
  <c r="F148" i="19"/>
  <c r="H148" i="19" s="1"/>
  <c r="G432" i="19"/>
  <c r="G473" i="19"/>
  <c r="G404" i="19"/>
  <c r="G390" i="19"/>
  <c r="F556" i="19"/>
  <c r="H556" i="19" s="1"/>
  <c r="F564" i="19"/>
  <c r="H564" i="19" s="1"/>
  <c r="F572" i="19"/>
  <c r="H572" i="19" s="1"/>
  <c r="F566" i="19"/>
  <c r="H566" i="19" s="1"/>
  <c r="G442" i="19"/>
  <c r="G402" i="19"/>
  <c r="G434" i="19"/>
  <c r="G401" i="19"/>
  <c r="G476" i="19"/>
  <c r="F448" i="19"/>
  <c r="H448" i="19" s="1"/>
  <c r="F751" i="19"/>
  <c r="H751" i="19" s="1"/>
  <c r="G731" i="19"/>
  <c r="F730" i="19"/>
  <c r="H730" i="19" s="1"/>
  <c r="G747" i="19"/>
  <c r="F746" i="19"/>
  <c r="H746" i="19" s="1"/>
  <c r="G740" i="19"/>
  <c r="G620" i="19"/>
  <c r="G616" i="19"/>
  <c r="G615" i="19"/>
  <c r="F614" i="19"/>
  <c r="H614" i="19" s="1"/>
  <c r="G611" i="19"/>
  <c r="F610" i="19"/>
  <c r="H610" i="19" s="1"/>
  <c r="G605" i="19"/>
  <c r="F604" i="19"/>
  <c r="H604" i="19" s="1"/>
  <c r="G601" i="19"/>
  <c r="G600" i="19"/>
  <c r="G599" i="19"/>
  <c r="F598" i="19"/>
  <c r="H598" i="19" s="1"/>
  <c r="F595" i="19"/>
  <c r="H595" i="19" s="1"/>
  <c r="G594" i="19"/>
  <c r="G593" i="19"/>
  <c r="G612" i="19"/>
  <c r="F609" i="19"/>
  <c r="H609" i="19" s="1"/>
  <c r="F608" i="19"/>
  <c r="H608" i="19" s="1"/>
  <c r="F607" i="19"/>
  <c r="H607" i="19" s="1"/>
  <c r="G602" i="19"/>
  <c r="G596" i="19"/>
  <c r="F615" i="19"/>
  <c r="G613" i="19"/>
  <c r="G608" i="19"/>
  <c r="F605" i="19"/>
  <c r="H605" i="19" s="1"/>
  <c r="G603" i="19"/>
  <c r="F600" i="19"/>
  <c r="H600" i="19" s="1"/>
  <c r="G598" i="19"/>
  <c r="F593" i="19"/>
  <c r="G604" i="19"/>
  <c r="G597" i="19"/>
  <c r="G595" i="19"/>
  <c r="F613" i="19"/>
  <c r="H613" i="19" s="1"/>
  <c r="F611" i="19"/>
  <c r="H611" i="19" s="1"/>
  <c r="G609" i="19"/>
  <c r="G606" i="19"/>
  <c r="F603" i="19"/>
  <c r="H603" i="19" s="1"/>
  <c r="F601" i="19"/>
  <c r="H601" i="19" s="1"/>
  <c r="F596" i="19"/>
  <c r="H596" i="19" s="1"/>
  <c r="F616" i="19"/>
  <c r="H616" i="19" s="1"/>
  <c r="G614" i="19"/>
  <c r="F606" i="19"/>
  <c r="H606" i="19" s="1"/>
  <c r="F599" i="19"/>
  <c r="H599" i="19" s="1"/>
  <c r="F594" i="19"/>
  <c r="H594" i="19" s="1"/>
  <c r="F612" i="19"/>
  <c r="H612" i="19" s="1"/>
  <c r="G607" i="19"/>
  <c r="F597" i="19"/>
  <c r="H597" i="19" s="1"/>
  <c r="F602" i="19"/>
  <c r="H602" i="19" s="1"/>
  <c r="G610" i="19"/>
  <c r="F112" i="19"/>
  <c r="H112" i="19" s="1"/>
  <c r="F446" i="19"/>
  <c r="H446" i="19" s="1"/>
  <c r="G399" i="19"/>
  <c r="G398" i="19"/>
  <c r="F393" i="19"/>
  <c r="H393" i="19" s="1"/>
  <c r="G391" i="19"/>
  <c r="G387" i="19"/>
  <c r="G480" i="19"/>
  <c r="F399" i="19"/>
  <c r="H399" i="19" s="1"/>
  <c r="F395" i="19"/>
  <c r="H395" i="19" s="1"/>
  <c r="G384" i="19"/>
  <c r="F401" i="19"/>
  <c r="H401" i="19" s="1"/>
  <c r="G386" i="19"/>
  <c r="G383" i="19"/>
  <c r="F383" i="19"/>
  <c r="H383" i="19" s="1"/>
  <c r="G486" i="19"/>
  <c r="G394" i="19"/>
  <c r="G395" i="19"/>
  <c r="G474" i="19"/>
  <c r="G388" i="19"/>
  <c r="F261" i="19"/>
  <c r="H261" i="19" s="1"/>
  <c r="G439" i="19"/>
  <c r="G400" i="19"/>
  <c r="F405" i="19"/>
  <c r="F391" i="19"/>
  <c r="H391" i="19" s="1"/>
  <c r="G490" i="19"/>
  <c r="G468" i="19"/>
  <c r="F443" i="19"/>
  <c r="H443" i="19" s="1"/>
  <c r="F432" i="19"/>
  <c r="H432" i="19" s="1"/>
  <c r="F426" i="19"/>
  <c r="H426" i="19" s="1"/>
  <c r="G452" i="19"/>
  <c r="G443" i="19"/>
  <c r="F430" i="19"/>
  <c r="H430" i="19" s="1"/>
  <c r="F436" i="19"/>
  <c r="H436" i="19" s="1"/>
  <c r="F434" i="19"/>
  <c r="H434" i="19" s="1"/>
  <c r="F431" i="19"/>
  <c r="H431" i="19" s="1"/>
  <c r="F447" i="19"/>
  <c r="F442" i="19"/>
  <c r="H442" i="19" s="1"/>
  <c r="F440" i="19"/>
  <c r="H440" i="19" s="1"/>
  <c r="F438" i="19"/>
  <c r="H438" i="19" s="1"/>
  <c r="F428" i="19"/>
  <c r="H428" i="19" s="1"/>
  <c r="F433" i="19"/>
  <c r="H433" i="19" s="1"/>
  <c r="G487" i="19"/>
  <c r="G448" i="19"/>
  <c r="G425" i="19"/>
  <c r="G405" i="19"/>
  <c r="F439" i="19"/>
  <c r="H439" i="19" s="1"/>
  <c r="F435" i="19"/>
  <c r="H435" i="19" s="1"/>
  <c r="G475" i="19"/>
  <c r="F141" i="19"/>
  <c r="H141" i="19" s="1"/>
  <c r="F144" i="19"/>
  <c r="H144" i="19" s="1"/>
  <c r="G482" i="19"/>
  <c r="G428" i="19"/>
  <c r="G472" i="19"/>
  <c r="F398" i="19"/>
  <c r="H398" i="19" s="1"/>
  <c r="F387" i="19"/>
  <c r="H387" i="19" s="1"/>
  <c r="F552" i="19"/>
  <c r="H552" i="19" s="1"/>
  <c r="F561" i="19"/>
  <c r="H561" i="19" s="1"/>
  <c r="F569" i="19"/>
  <c r="H569" i="19" s="1"/>
  <c r="F551" i="19"/>
  <c r="H551" i="19" s="1"/>
  <c r="F562" i="19"/>
  <c r="H562" i="19" s="1"/>
  <c r="G430" i="19"/>
  <c r="F397" i="19"/>
  <c r="H397" i="19" s="1"/>
  <c r="G438" i="19"/>
  <c r="F404" i="19"/>
  <c r="H404" i="19" s="1"/>
  <c r="G477" i="19"/>
  <c r="F441" i="19"/>
  <c r="H441" i="19" s="1"/>
  <c r="F232" i="19"/>
  <c r="H232" i="19" s="1"/>
  <c r="F236" i="19"/>
  <c r="H236" i="19" s="1"/>
  <c r="F240" i="19"/>
  <c r="H240" i="19" s="1"/>
  <c r="F224" i="19"/>
  <c r="H224" i="19" s="1"/>
  <c r="F228" i="19"/>
  <c r="H228" i="19" s="1"/>
  <c r="F220" i="19"/>
  <c r="H220" i="19" s="1"/>
  <c r="F113" i="19"/>
  <c r="H113" i="19" s="1"/>
  <c r="F107" i="19"/>
  <c r="H107" i="19" s="1"/>
  <c r="F117" i="19"/>
  <c r="F103" i="19"/>
  <c r="H103" i="19" s="1"/>
  <c r="F105" i="19"/>
  <c r="H105" i="19" s="1"/>
  <c r="F798" i="19"/>
  <c r="H798" i="19" s="1"/>
  <c r="F788" i="19"/>
  <c r="H788" i="19" s="1"/>
  <c r="F784" i="19"/>
  <c r="H784" i="19" s="1"/>
  <c r="F772" i="19"/>
  <c r="G796" i="19"/>
  <c r="G789" i="19"/>
  <c r="F783" i="19"/>
  <c r="H783" i="19" s="1"/>
  <c r="G787" i="19"/>
  <c r="G803" i="19"/>
  <c r="G778" i="19"/>
  <c r="F774" i="19"/>
  <c r="H774" i="19" s="1"/>
  <c r="F780" i="19"/>
  <c r="H780" i="19" s="1"/>
  <c r="G784" i="19"/>
  <c r="F777" i="19"/>
  <c r="H777" i="19" s="1"/>
  <c r="G393" i="19"/>
  <c r="F403" i="19"/>
  <c r="H403" i="19" s="1"/>
  <c r="F483" i="19"/>
  <c r="H483" i="19" s="1"/>
  <c r="F385" i="19"/>
  <c r="H385" i="19" s="1"/>
  <c r="G385" i="19"/>
  <c r="F427" i="19"/>
  <c r="H427" i="19" s="1"/>
  <c r="G427" i="19"/>
  <c r="F222" i="19"/>
  <c r="H222" i="19" s="1"/>
  <c r="G469" i="19"/>
  <c r="E407" i="19"/>
  <c r="E201" i="19"/>
  <c r="E159" i="19"/>
  <c r="E241" i="19"/>
  <c r="G566" i="19" l="1"/>
  <c r="G551" i="19"/>
  <c r="G578" i="19"/>
  <c r="G180" i="19"/>
  <c r="G154" i="19"/>
  <c r="F775" i="19"/>
  <c r="H775" i="19" s="1"/>
  <c r="G788" i="19"/>
  <c r="G783" i="19"/>
  <c r="F776" i="19"/>
  <c r="H776" i="19" s="1"/>
  <c r="F797" i="19"/>
  <c r="H797" i="19" s="1"/>
  <c r="G774" i="19"/>
  <c r="G790" i="19"/>
  <c r="F786" i="19"/>
  <c r="H786" i="19" s="1"/>
  <c r="F792" i="19"/>
  <c r="H792" i="19" s="1"/>
  <c r="F787" i="19"/>
  <c r="H787" i="19" s="1"/>
  <c r="F779" i="19"/>
  <c r="H779" i="19" s="1"/>
  <c r="G792" i="19"/>
  <c r="F778" i="19"/>
  <c r="H778" i="19" s="1"/>
  <c r="F794" i="19"/>
  <c r="F737" i="19"/>
  <c r="H737" i="19" s="1"/>
  <c r="G753" i="19"/>
  <c r="F742" i="19"/>
  <c r="H742" i="19" s="1"/>
  <c r="G744" i="19"/>
  <c r="F739" i="19"/>
  <c r="H739" i="19" s="1"/>
  <c r="F743" i="19"/>
  <c r="H743" i="19" s="1"/>
  <c r="F744" i="19"/>
  <c r="H744" i="19" s="1"/>
  <c r="G733" i="19"/>
  <c r="G730" i="19"/>
  <c r="F734" i="19"/>
  <c r="H734" i="19" s="1"/>
  <c r="G750" i="19"/>
  <c r="G736" i="19"/>
  <c r="G741" i="19"/>
  <c r="F753" i="19"/>
  <c r="H753" i="19" s="1"/>
  <c r="F727" i="19"/>
  <c r="H727" i="19" s="1"/>
  <c r="G737" i="19"/>
  <c r="F740" i="19"/>
  <c r="H740" i="19" s="1"/>
  <c r="G732" i="19"/>
  <c r="G742" i="19"/>
  <c r="G745" i="19"/>
  <c r="G735" i="19"/>
  <c r="G749" i="19"/>
  <c r="G485" i="19"/>
  <c r="F482" i="19"/>
  <c r="H482" i="19" s="1"/>
  <c r="F470" i="19"/>
  <c r="H470" i="19" s="1"/>
  <c r="F489" i="19"/>
  <c r="F477" i="19"/>
  <c r="H477" i="19" s="1"/>
  <c r="F476" i="19"/>
  <c r="H476" i="19" s="1"/>
  <c r="F490" i="19"/>
  <c r="H490" i="19" s="1"/>
  <c r="F468" i="19"/>
  <c r="H468" i="19" s="1"/>
  <c r="G489" i="19"/>
  <c r="G445" i="19"/>
  <c r="F390" i="19"/>
  <c r="H390" i="19" s="1"/>
  <c r="G147" i="19"/>
  <c r="F137" i="19"/>
  <c r="F146" i="19"/>
  <c r="H146" i="19" s="1"/>
  <c r="G109" i="19"/>
  <c r="G113" i="19"/>
  <c r="G104" i="19"/>
  <c r="G122" i="19"/>
  <c r="G116" i="19"/>
  <c r="G103" i="19"/>
  <c r="F116" i="19"/>
  <c r="H116" i="19" s="1"/>
  <c r="G112" i="19"/>
  <c r="F97" i="19"/>
  <c r="H97" i="19" s="1"/>
  <c r="F99" i="19"/>
  <c r="H99" i="19" s="1"/>
  <c r="G107" i="19"/>
  <c r="G59" i="19"/>
  <c r="F77" i="19"/>
  <c r="G58" i="19"/>
  <c r="G69" i="19"/>
  <c r="G65" i="19"/>
  <c r="G74" i="19"/>
  <c r="F61" i="19"/>
  <c r="H61" i="19" s="1"/>
  <c r="G63" i="19"/>
  <c r="F69" i="19"/>
  <c r="H69" i="19" s="1"/>
  <c r="F70" i="19"/>
  <c r="H70" i="19" s="1"/>
  <c r="F64" i="19"/>
  <c r="H64" i="19" s="1"/>
  <c r="F66" i="19"/>
  <c r="H66" i="19" s="1"/>
  <c r="F62" i="19"/>
  <c r="H62" i="19" s="1"/>
  <c r="G61" i="19"/>
  <c r="G738" i="19"/>
  <c r="G727" i="19"/>
  <c r="F729" i="19"/>
  <c r="H729" i="19" s="1"/>
  <c r="F735" i="19"/>
  <c r="H735" i="19" s="1"/>
  <c r="F750" i="19"/>
  <c r="H750" i="19" s="1"/>
  <c r="F745" i="19"/>
  <c r="H745" i="19" s="1"/>
  <c r="F733" i="19"/>
  <c r="H733" i="19" s="1"/>
  <c r="G726" i="19"/>
  <c r="F752" i="19"/>
  <c r="H752" i="19" s="1"/>
  <c r="G751" i="19"/>
  <c r="G739" i="19"/>
  <c r="G565" i="19"/>
  <c r="G553" i="19"/>
  <c r="G563" i="19"/>
  <c r="G484" i="19"/>
  <c r="G479" i="19"/>
  <c r="G444" i="19"/>
  <c r="G152" i="19"/>
  <c r="G151" i="19"/>
  <c r="G156" i="19"/>
  <c r="G138" i="19"/>
  <c r="F149" i="19"/>
  <c r="H149" i="19" s="1"/>
  <c r="F157" i="19"/>
  <c r="F150" i="19"/>
  <c r="H150" i="19" s="1"/>
  <c r="F143" i="19"/>
  <c r="H143" i="19" s="1"/>
  <c r="G143" i="19"/>
  <c r="G142" i="19"/>
  <c r="F154" i="19"/>
  <c r="H154" i="19" s="1"/>
  <c r="F139" i="19"/>
  <c r="H139" i="19" s="1"/>
  <c r="F140" i="19"/>
  <c r="H140" i="19" s="1"/>
  <c r="F151" i="19"/>
  <c r="H151" i="19" s="1"/>
  <c r="G108" i="19"/>
  <c r="F109" i="19"/>
  <c r="H109" i="19" s="1"/>
  <c r="G105" i="19"/>
  <c r="F101" i="19"/>
  <c r="H101" i="19" s="1"/>
  <c r="G117" i="19"/>
  <c r="F861" i="19"/>
  <c r="G111" i="19"/>
  <c r="F76" i="19"/>
  <c r="H76" i="19" s="1"/>
  <c r="F71" i="19"/>
  <c r="H71" i="19" s="1"/>
  <c r="G78" i="19"/>
  <c r="G60" i="19"/>
  <c r="G66" i="19"/>
  <c r="G235" i="19"/>
  <c r="G223" i="19"/>
  <c r="G219" i="19"/>
  <c r="G237" i="19"/>
  <c r="G227" i="19"/>
  <c r="G229" i="19"/>
  <c r="G231" i="19"/>
  <c r="F9" i="6"/>
  <c r="F706" i="19"/>
  <c r="H706" i="19" s="1"/>
  <c r="H900" i="19" s="1"/>
  <c r="G699" i="19"/>
  <c r="G691" i="19"/>
  <c r="G683" i="19"/>
  <c r="G701" i="19"/>
  <c r="G693" i="19"/>
  <c r="G685" i="19"/>
  <c r="G703" i="19"/>
  <c r="G687" i="19"/>
  <c r="F694" i="19"/>
  <c r="H694" i="19" s="1"/>
  <c r="G697" i="19"/>
  <c r="G682" i="19"/>
  <c r="F688" i="19"/>
  <c r="H688" i="19" s="1"/>
  <c r="H882" i="19" s="1"/>
  <c r="F704" i="19"/>
  <c r="H704" i="19" s="1"/>
  <c r="F697" i="19"/>
  <c r="H697" i="19" s="1"/>
  <c r="F689" i="19"/>
  <c r="H689" i="19" s="1"/>
  <c r="F680" i="19"/>
  <c r="F699" i="19"/>
  <c r="H699" i="19" s="1"/>
  <c r="F691" i="19"/>
  <c r="H691" i="19" s="1"/>
  <c r="F683" i="19"/>
  <c r="H683" i="19" s="1"/>
  <c r="F696" i="19"/>
  <c r="H696" i="19" s="1"/>
  <c r="G711" i="19"/>
  <c r="G681" i="19"/>
  <c r="G688" i="19"/>
  <c r="G704" i="19"/>
  <c r="G689" i="19"/>
  <c r="F705" i="19"/>
  <c r="H705" i="19" s="1"/>
  <c r="H899" i="19" s="1"/>
  <c r="G690" i="19"/>
  <c r="F700" i="19"/>
  <c r="H700" i="19" s="1"/>
  <c r="F684" i="19"/>
  <c r="H684" i="19" s="1"/>
  <c r="F686" i="19"/>
  <c r="H686" i="19" s="1"/>
  <c r="G694" i="19"/>
  <c r="F682" i="19"/>
  <c r="H682" i="19" s="1"/>
  <c r="G686" i="19"/>
  <c r="G705" i="19"/>
  <c r="G698" i="19"/>
  <c r="F681" i="19"/>
  <c r="H681" i="19" s="1"/>
  <c r="F692" i="19"/>
  <c r="H692" i="19" s="1"/>
  <c r="F702" i="19"/>
  <c r="F685" i="19"/>
  <c r="H685" i="19" s="1"/>
  <c r="G680" i="19"/>
  <c r="G696" i="19"/>
  <c r="G692" i="19"/>
  <c r="F690" i="19"/>
  <c r="H690" i="19" s="1"/>
  <c r="F703" i="19"/>
  <c r="H703" i="19" s="1"/>
  <c r="G684" i="19"/>
  <c r="G706" i="19"/>
  <c r="F687" i="19"/>
  <c r="H687" i="19" s="1"/>
  <c r="F695" i="19"/>
  <c r="H695" i="19" s="1"/>
  <c r="G707" i="19"/>
  <c r="F707" i="19"/>
  <c r="H707" i="19" s="1"/>
  <c r="F693" i="19"/>
  <c r="H693" i="19" s="1"/>
  <c r="G695" i="19"/>
  <c r="G702" i="19"/>
  <c r="G700" i="19"/>
  <c r="F698" i="19"/>
  <c r="H698" i="19" s="1"/>
  <c r="F701" i="19"/>
  <c r="H701" i="19" s="1"/>
  <c r="F472" i="19"/>
  <c r="H472" i="19" s="1"/>
  <c r="F486" i="19"/>
  <c r="H486" i="19" s="1"/>
  <c r="F19" i="6"/>
  <c r="F5" i="6"/>
  <c r="G194" i="19"/>
  <c r="G193" i="19"/>
  <c r="F200" i="19"/>
  <c r="H200" i="19" s="1"/>
  <c r="G189" i="19"/>
  <c r="G178" i="19"/>
  <c r="F189" i="19"/>
  <c r="H189" i="19" s="1"/>
  <c r="G184" i="19"/>
  <c r="G198" i="19"/>
  <c r="F197" i="19"/>
  <c r="H197" i="19" s="1"/>
  <c r="F181" i="19"/>
  <c r="H181" i="19" s="1"/>
  <c r="F193" i="19"/>
  <c r="H193" i="19" s="1"/>
  <c r="F178" i="19"/>
  <c r="H178" i="19" s="1"/>
  <c r="F177" i="19"/>
  <c r="H177" i="19" s="1"/>
  <c r="F184" i="19"/>
  <c r="H184" i="19" s="1"/>
  <c r="F188" i="19"/>
  <c r="H188" i="19" s="1"/>
  <c r="G200" i="19"/>
  <c r="F198" i="19"/>
  <c r="H198" i="19" s="1"/>
  <c r="G197" i="19"/>
  <c r="G190" i="19"/>
  <c r="G179" i="19"/>
  <c r="G195" i="19"/>
  <c r="G191" i="19"/>
  <c r="F182" i="19"/>
  <c r="H182" i="19" s="1"/>
  <c r="F199" i="19"/>
  <c r="G192" i="19"/>
  <c r="G188" i="19"/>
  <c r="G181" i="19"/>
  <c r="G185" i="19"/>
  <c r="G187" i="19"/>
  <c r="G177" i="19"/>
  <c r="G183" i="19"/>
  <c r="F190" i="19"/>
  <c r="H190" i="19" s="1"/>
  <c r="G196" i="19"/>
  <c r="F195" i="19"/>
  <c r="H195" i="19" s="1"/>
  <c r="F191" i="19"/>
  <c r="H191" i="19" s="1"/>
  <c r="G199" i="19"/>
  <c r="F196" i="19"/>
  <c r="H196" i="19" s="1"/>
  <c r="G204" i="19"/>
  <c r="F185" i="19"/>
  <c r="H185" i="19" s="1"/>
  <c r="F186" i="19"/>
  <c r="H186" i="19" s="1"/>
  <c r="F192" i="19"/>
  <c r="H192" i="19" s="1"/>
  <c r="G182" i="19"/>
  <c r="G186" i="19"/>
  <c r="F187" i="19"/>
  <c r="H187" i="19" s="1"/>
  <c r="F179" i="19"/>
  <c r="H179" i="19" s="1"/>
  <c r="F183" i="19"/>
  <c r="H183" i="19" s="1"/>
  <c r="F194" i="19"/>
  <c r="H194" i="19" s="1"/>
  <c r="F67" i="19"/>
  <c r="H67" i="19" s="1"/>
  <c r="F72" i="19"/>
  <c r="H72" i="19" s="1"/>
  <c r="G73" i="19"/>
  <c r="G68" i="19"/>
  <c r="F73" i="19"/>
  <c r="H73" i="19" s="1"/>
  <c r="G64" i="19"/>
  <c r="F78" i="19"/>
  <c r="H78" i="19" s="1"/>
  <c r="G653" i="19"/>
  <c r="G650" i="19"/>
  <c r="G649" i="19"/>
  <c r="G646" i="19"/>
  <c r="G554" i="19"/>
  <c r="G560" i="19"/>
  <c r="G234" i="19"/>
  <c r="G238" i="19"/>
  <c r="G220" i="19"/>
  <c r="G137" i="19"/>
  <c r="F180" i="19"/>
  <c r="H180" i="19" s="1"/>
  <c r="G222" i="19"/>
  <c r="G153" i="19"/>
  <c r="F796" i="19"/>
  <c r="H796" i="19" s="1"/>
  <c r="G773" i="19"/>
  <c r="G781" i="19"/>
  <c r="G794" i="19"/>
  <c r="G780" i="19"/>
  <c r="G797" i="19"/>
  <c r="G793" i="19"/>
  <c r="F782" i="19"/>
  <c r="H782" i="19" s="1"/>
  <c r="F793" i="19"/>
  <c r="H793" i="19" s="1"/>
  <c r="F795" i="19"/>
  <c r="H795" i="19" s="1"/>
  <c r="F773" i="19"/>
  <c r="H773" i="19" s="1"/>
  <c r="G779" i="19"/>
  <c r="F789" i="19"/>
  <c r="H789" i="19" s="1"/>
  <c r="G795" i="19"/>
  <c r="G244" i="19"/>
  <c r="G239" i="19"/>
  <c r="G573" i="19"/>
  <c r="G155" i="19"/>
  <c r="F471" i="19"/>
  <c r="H471" i="19" s="1"/>
  <c r="F662" i="19"/>
  <c r="F485" i="19"/>
  <c r="H485" i="19" s="1"/>
  <c r="F474" i="19"/>
  <c r="H474" i="19" s="1"/>
  <c r="F473" i="19"/>
  <c r="H473" i="19" s="1"/>
  <c r="G57" i="19"/>
  <c r="F63" i="19"/>
  <c r="H63" i="19" s="1"/>
  <c r="G62" i="19"/>
  <c r="G558" i="19"/>
  <c r="G568" i="19"/>
  <c r="G158" i="19"/>
  <c r="F478" i="19"/>
  <c r="H478" i="19" s="1"/>
  <c r="F479" i="19"/>
  <c r="H479" i="19" s="1"/>
  <c r="F467" i="19"/>
  <c r="H467" i="19" s="1"/>
  <c r="G141" i="19"/>
  <c r="G149" i="19"/>
  <c r="G567" i="19"/>
  <c r="G559" i="19"/>
  <c r="F487" i="19"/>
  <c r="H487" i="19" s="1"/>
  <c r="F74" i="19"/>
  <c r="H74" i="19" s="1"/>
  <c r="G71" i="19"/>
  <c r="G232" i="19"/>
  <c r="G77" i="19"/>
  <c r="G67" i="19"/>
  <c r="G76" i="19"/>
  <c r="G240" i="19"/>
  <c r="F60" i="19"/>
  <c r="H60" i="19" s="1"/>
  <c r="F475" i="19"/>
  <c r="H475" i="19" s="1"/>
  <c r="G397" i="19"/>
  <c r="G407" i="19" s="1"/>
  <c r="F402" i="19"/>
  <c r="H402" i="19" s="1"/>
  <c r="G447" i="19"/>
  <c r="G433" i="19"/>
  <c r="F850" i="19"/>
  <c r="F842" i="19"/>
  <c r="H842" i="19" s="1"/>
  <c r="G831" i="19"/>
  <c r="G847" i="19"/>
  <c r="G37" i="19" s="1"/>
  <c r="G839" i="19"/>
  <c r="G830" i="19"/>
  <c r="F846" i="19"/>
  <c r="G838" i="19"/>
  <c r="G822" i="19"/>
  <c r="G843" i="19"/>
  <c r="F834" i="19"/>
  <c r="H834" i="19" s="1"/>
  <c r="G819" i="19"/>
  <c r="G851" i="19"/>
  <c r="G41" i="19" s="1"/>
  <c r="G834" i="19"/>
  <c r="G846" i="19"/>
  <c r="G36" i="19" s="1"/>
  <c r="F838" i="19"/>
  <c r="H838" i="19" s="1"/>
  <c r="G852" i="19"/>
  <c r="G42" i="19" s="1"/>
  <c r="G844" i="19"/>
  <c r="G836" i="19"/>
  <c r="G828" i="19"/>
  <c r="G820" i="19"/>
  <c r="F848" i="19"/>
  <c r="F840" i="19"/>
  <c r="F832" i="19"/>
  <c r="H832" i="19" s="1"/>
  <c r="F824" i="19"/>
  <c r="H824" i="19" s="1"/>
  <c r="F845" i="19"/>
  <c r="H845" i="19" s="1"/>
  <c r="F829" i="19"/>
  <c r="H829" i="19" s="1"/>
  <c r="G827" i="19"/>
  <c r="G823" i="19"/>
  <c r="G826" i="19"/>
  <c r="G848" i="19"/>
  <c r="G38" i="19" s="1"/>
  <c r="G840" i="19"/>
  <c r="G832" i="19"/>
  <c r="G824" i="19"/>
  <c r="F852" i="19"/>
  <c r="F844" i="19"/>
  <c r="H844" i="19" s="1"/>
  <c r="F836" i="19"/>
  <c r="H836" i="19" s="1"/>
  <c r="F828" i="19"/>
  <c r="H828" i="19" s="1"/>
  <c r="G818" i="19"/>
  <c r="F837" i="19"/>
  <c r="H837" i="19" s="1"/>
  <c r="F819" i="19"/>
  <c r="H819" i="19" s="1"/>
  <c r="G850" i="19"/>
  <c r="G40" i="19" s="1"/>
  <c r="G842" i="19"/>
  <c r="F851" i="19"/>
  <c r="F835" i="19"/>
  <c r="H835" i="19" s="1"/>
  <c r="G856" i="19"/>
  <c r="G837" i="19"/>
  <c r="F820" i="19"/>
  <c r="H820" i="19" s="1"/>
  <c r="F825" i="19"/>
  <c r="H825" i="19" s="1"/>
  <c r="F818" i="19"/>
  <c r="F822" i="19"/>
  <c r="H822" i="19" s="1"/>
  <c r="F843" i="19"/>
  <c r="H843" i="19" s="1"/>
  <c r="F827" i="19"/>
  <c r="H827" i="19" s="1"/>
  <c r="G845" i="19"/>
  <c r="G829" i="19"/>
  <c r="F841" i="19"/>
  <c r="H841" i="19" s="1"/>
  <c r="F830" i="19"/>
  <c r="H830" i="19" s="1"/>
  <c r="F826" i="19"/>
  <c r="H826" i="19" s="1"/>
  <c r="F839" i="19"/>
  <c r="H839" i="19" s="1"/>
  <c r="G841" i="19"/>
  <c r="F833" i="19"/>
  <c r="H833" i="19" s="1"/>
  <c r="F831" i="19"/>
  <c r="H831" i="19" s="1"/>
  <c r="G833" i="19"/>
  <c r="G835" i="19"/>
  <c r="F823" i="19"/>
  <c r="H823" i="19" s="1"/>
  <c r="G825" i="19"/>
  <c r="F821" i="19"/>
  <c r="H821" i="19" s="1"/>
  <c r="F847" i="19"/>
  <c r="G849" i="19"/>
  <c r="G39" i="19" s="1"/>
  <c r="F849" i="19"/>
  <c r="G821" i="19"/>
  <c r="G531" i="19"/>
  <c r="G529" i="19"/>
  <c r="G521" i="19"/>
  <c r="G513" i="19"/>
  <c r="F529" i="19"/>
  <c r="H529" i="19" s="1"/>
  <c r="F521" i="19"/>
  <c r="H521" i="19" s="1"/>
  <c r="F513" i="19"/>
  <c r="H513" i="19" s="1"/>
  <c r="F527" i="19"/>
  <c r="H527" i="19" s="1"/>
  <c r="F509" i="19"/>
  <c r="G532" i="19"/>
  <c r="G516" i="19"/>
  <c r="F530" i="19"/>
  <c r="H530" i="19" s="1"/>
  <c r="G519" i="19"/>
  <c r="G525" i="19"/>
  <c r="G517" i="19"/>
  <c r="G536" i="19"/>
  <c r="F525" i="19"/>
  <c r="H525" i="19" s="1"/>
  <c r="F517" i="19"/>
  <c r="H517" i="19" s="1"/>
  <c r="G509" i="19"/>
  <c r="F519" i="19"/>
  <c r="H519" i="19" s="1"/>
  <c r="F518" i="19"/>
  <c r="H518" i="19" s="1"/>
  <c r="G524" i="19"/>
  <c r="F511" i="19"/>
  <c r="H511" i="19" s="1"/>
  <c r="F510" i="19"/>
  <c r="H510" i="19" s="1"/>
  <c r="G523" i="19"/>
  <c r="G515" i="19"/>
  <c r="F520" i="19"/>
  <c r="H520" i="19" s="1"/>
  <c r="G526" i="19"/>
  <c r="G511" i="19"/>
  <c r="F526" i="19"/>
  <c r="H526" i="19" s="1"/>
  <c r="G512" i="19"/>
  <c r="F528" i="19"/>
  <c r="H528" i="19" s="1"/>
  <c r="F512" i="19"/>
  <c r="H512" i="19" s="1"/>
  <c r="G518" i="19"/>
  <c r="F523" i="19"/>
  <c r="H523" i="19" s="1"/>
  <c r="G528" i="19"/>
  <c r="F522" i="19"/>
  <c r="H522" i="19" s="1"/>
  <c r="F524" i="19"/>
  <c r="H524" i="19" s="1"/>
  <c r="G514" i="19"/>
  <c r="G520" i="19"/>
  <c r="F516" i="19"/>
  <c r="H516" i="19" s="1"/>
  <c r="F531" i="19"/>
  <c r="G510" i="19"/>
  <c r="G527" i="19"/>
  <c r="G530" i="19"/>
  <c r="F515" i="19"/>
  <c r="H515" i="19" s="1"/>
  <c r="F532" i="19"/>
  <c r="H532" i="19" s="1"/>
  <c r="G522" i="19"/>
  <c r="F514" i="19"/>
  <c r="H514" i="19" s="1"/>
  <c r="G651" i="19"/>
  <c r="G635" i="19"/>
  <c r="G665" i="19"/>
  <c r="G636" i="19"/>
  <c r="G660" i="19"/>
  <c r="F17" i="5"/>
  <c r="G233" i="19"/>
  <c r="G226" i="19"/>
  <c r="G230" i="19"/>
  <c r="G236" i="19"/>
  <c r="G642" i="19"/>
  <c r="G658" i="19"/>
  <c r="G656" i="19"/>
  <c r="G648" i="19"/>
  <c r="G647" i="19"/>
  <c r="G659" i="19"/>
  <c r="G641" i="19"/>
  <c r="G637" i="19"/>
  <c r="F8" i="6"/>
  <c r="G316" i="19"/>
  <c r="G319" i="19"/>
  <c r="G328" i="19"/>
  <c r="F323" i="19"/>
  <c r="F324" i="19"/>
  <c r="H324" i="19" s="1"/>
  <c r="F301" i="19"/>
  <c r="G323" i="19"/>
  <c r="F307" i="19"/>
  <c r="H307" i="19" s="1"/>
  <c r="F316" i="19"/>
  <c r="H316" i="19" s="1"/>
  <c r="G306" i="19"/>
  <c r="F319" i="19"/>
  <c r="H319" i="19" s="1"/>
  <c r="F308" i="19"/>
  <c r="H308" i="19" s="1"/>
  <c r="G301" i="19"/>
  <c r="G312" i="19"/>
  <c r="F322" i="19"/>
  <c r="H322" i="19" s="1"/>
  <c r="G308" i="19"/>
  <c r="G318" i="19"/>
  <c r="G304" i="19"/>
  <c r="G311" i="19"/>
  <c r="F310" i="19"/>
  <c r="H310" i="19" s="1"/>
  <c r="F314" i="19"/>
  <c r="H314" i="19" s="1"/>
  <c r="F302" i="19"/>
  <c r="H302" i="19" s="1"/>
  <c r="G313" i="19"/>
  <c r="G324" i="19"/>
  <c r="G315" i="19"/>
  <c r="F311" i="19"/>
  <c r="H311" i="19" s="1"/>
  <c r="F305" i="19"/>
  <c r="H305" i="19" s="1"/>
  <c r="F321" i="19"/>
  <c r="H321" i="19" s="1"/>
  <c r="G309" i="19"/>
  <c r="G302" i="19"/>
  <c r="F317" i="19"/>
  <c r="H317" i="19" s="1"/>
  <c r="G307" i="19"/>
  <c r="G310" i="19"/>
  <c r="F315" i="19"/>
  <c r="H315" i="19" s="1"/>
  <c r="F306" i="19"/>
  <c r="H306" i="19" s="1"/>
  <c r="F304" i="19"/>
  <c r="H304" i="19" s="1"/>
  <c r="G303" i="19"/>
  <c r="G321" i="19"/>
  <c r="G314" i="19"/>
  <c r="G317" i="19"/>
  <c r="F303" i="19"/>
  <c r="H303" i="19" s="1"/>
  <c r="F320" i="19"/>
  <c r="H320" i="19" s="1"/>
  <c r="F312" i="19"/>
  <c r="H312" i="19" s="1"/>
  <c r="G322" i="19"/>
  <c r="G320" i="19"/>
  <c r="G305" i="19"/>
  <c r="F309" i="19"/>
  <c r="H309" i="19" s="1"/>
  <c r="F318" i="19"/>
  <c r="H318" i="19" s="1"/>
  <c r="F313" i="19"/>
  <c r="H313" i="19" s="1"/>
  <c r="G552" i="19"/>
  <c r="G562" i="19"/>
  <c r="G572" i="19"/>
  <c r="G652" i="19"/>
  <c r="G655" i="19"/>
  <c r="G643" i="19"/>
  <c r="G644" i="19"/>
  <c r="G661" i="19"/>
  <c r="G657" i="19"/>
  <c r="G221" i="19"/>
  <c r="G556" i="19"/>
  <c r="F469" i="19"/>
  <c r="H469" i="19" s="1"/>
  <c r="F59" i="19"/>
  <c r="F79" i="19" s="1"/>
  <c r="G224" i="19"/>
  <c r="G798" i="19"/>
  <c r="F781" i="19"/>
  <c r="H781" i="19" s="1"/>
  <c r="G772" i="19"/>
  <c r="F790" i="19"/>
  <c r="H790" i="19" s="1"/>
  <c r="G776" i="19"/>
  <c r="F785" i="19"/>
  <c r="H785" i="19" s="1"/>
  <c r="G782" i="19"/>
  <c r="G777" i="19"/>
  <c r="G786" i="19"/>
  <c r="F791" i="19"/>
  <c r="H791" i="19" s="1"/>
  <c r="F799" i="19"/>
  <c r="H799" i="19" s="1"/>
  <c r="G775" i="19"/>
  <c r="G785" i="19"/>
  <c r="G791" i="19"/>
  <c r="G799" i="19"/>
  <c r="G557" i="19"/>
  <c r="G564" i="19"/>
  <c r="F480" i="19"/>
  <c r="H480" i="19" s="1"/>
  <c r="G494" i="19"/>
  <c r="F484" i="19"/>
  <c r="H484" i="19" s="1"/>
  <c r="G82" i="19"/>
  <c r="F58" i="19"/>
  <c r="H58" i="19" s="1"/>
  <c r="G70" i="19"/>
  <c r="G574" i="19"/>
  <c r="G145" i="19"/>
  <c r="G162" i="19"/>
  <c r="G555" i="19"/>
  <c r="F488" i="19"/>
  <c r="H488" i="19" s="1"/>
  <c r="G72" i="19"/>
  <c r="F68" i="19"/>
  <c r="H68" i="19" s="1"/>
  <c r="H19" i="19" s="1"/>
  <c r="F75" i="19"/>
  <c r="H75" i="19" s="1"/>
  <c r="F65" i="19"/>
  <c r="H65" i="19" s="1"/>
  <c r="G75" i="19"/>
  <c r="G115" i="19"/>
  <c r="F106" i="19"/>
  <c r="H106" i="19" s="1"/>
  <c r="F114" i="19"/>
  <c r="H114" i="19" s="1"/>
  <c r="G99" i="19"/>
  <c r="F118" i="19"/>
  <c r="H118" i="19" s="1"/>
  <c r="F98" i="19"/>
  <c r="H98" i="19" s="1"/>
  <c r="G110" i="19"/>
  <c r="F100" i="19"/>
  <c r="H100" i="19" s="1"/>
  <c r="F115" i="19"/>
  <c r="H115" i="19" s="1"/>
  <c r="F102" i="19"/>
  <c r="H102" i="19" s="1"/>
  <c r="G98" i="19"/>
  <c r="F111" i="19"/>
  <c r="H111" i="19" s="1"/>
  <c r="G114" i="19"/>
  <c r="G102" i="19"/>
  <c r="G106" i="19"/>
  <c r="G118" i="19"/>
  <c r="G97" i="19"/>
  <c r="F104" i="19"/>
  <c r="H104" i="19" s="1"/>
  <c r="F110" i="19"/>
  <c r="H110" i="19" s="1"/>
  <c r="G101" i="19"/>
  <c r="G100" i="19"/>
  <c r="F349" i="19"/>
  <c r="H349" i="19" s="1"/>
  <c r="F347" i="19"/>
  <c r="H347" i="19" s="1"/>
  <c r="F344" i="19"/>
  <c r="H344" i="19" s="1"/>
  <c r="F357" i="19"/>
  <c r="H357" i="19" s="1"/>
  <c r="G355" i="19"/>
  <c r="G344" i="19"/>
  <c r="G347" i="19"/>
  <c r="G357" i="19"/>
  <c r="G349" i="19"/>
  <c r="F358" i="19"/>
  <c r="H358" i="19" s="1"/>
  <c r="F355" i="19"/>
  <c r="H355" i="19" s="1"/>
  <c r="G364" i="19"/>
  <c r="G368" i="19"/>
  <c r="G360" i="19"/>
  <c r="G358" i="19"/>
  <c r="G350" i="19"/>
  <c r="F345" i="19"/>
  <c r="H345" i="19" s="1"/>
  <c r="F363" i="19"/>
  <c r="G353" i="19"/>
  <c r="G362" i="19"/>
  <c r="G352" i="19"/>
  <c r="G348" i="19"/>
  <c r="F353" i="19"/>
  <c r="H353" i="19" s="1"/>
  <c r="F348" i="19"/>
  <c r="H348" i="19" s="1"/>
  <c r="G351" i="19"/>
  <c r="F359" i="19"/>
  <c r="H359" i="19" s="1"/>
  <c r="G354" i="19"/>
  <c r="G361" i="19"/>
  <c r="F361" i="19"/>
  <c r="H361" i="19" s="1"/>
  <c r="F360" i="19"/>
  <c r="H360" i="19" s="1"/>
  <c r="F350" i="19"/>
  <c r="H350" i="19" s="1"/>
  <c r="G345" i="19"/>
  <c r="G363" i="19"/>
  <c r="F362" i="19"/>
  <c r="H362" i="19" s="1"/>
  <c r="F354" i="19"/>
  <c r="H354" i="19" s="1"/>
  <c r="F352" i="19"/>
  <c r="H352" i="19" s="1"/>
  <c r="F356" i="19"/>
  <c r="H356" i="19" s="1"/>
  <c r="F364" i="19"/>
  <c r="H364" i="19" s="1"/>
  <c r="G343" i="19"/>
  <c r="F346" i="19"/>
  <c r="H346" i="19" s="1"/>
  <c r="F343" i="19"/>
  <c r="G356" i="19"/>
  <c r="G346" i="19"/>
  <c r="F351" i="19"/>
  <c r="H351" i="19" s="1"/>
  <c r="G359" i="19"/>
  <c r="F158" i="19"/>
  <c r="H158" i="19" s="1"/>
  <c r="G157" i="19"/>
  <c r="F138" i="19"/>
  <c r="H138" i="19" s="1"/>
  <c r="F142" i="19"/>
  <c r="H142" i="19" s="1"/>
  <c r="G139" i="19"/>
  <c r="F155" i="19"/>
  <c r="H155" i="19" s="1"/>
  <c r="G144" i="19"/>
  <c r="F147" i="19"/>
  <c r="H147" i="19" s="1"/>
  <c r="F145" i="19"/>
  <c r="H145" i="19" s="1"/>
  <c r="G148" i="19"/>
  <c r="G140" i="19"/>
  <c r="G146" i="19"/>
  <c r="F156" i="19"/>
  <c r="H156" i="19" s="1"/>
  <c r="G150" i="19"/>
  <c r="F153" i="19"/>
  <c r="H153" i="19" s="1"/>
  <c r="F152" i="19"/>
  <c r="H152" i="19" s="1"/>
  <c r="F10" i="6"/>
  <c r="F748" i="19"/>
  <c r="G734" i="19"/>
  <c r="F728" i="19"/>
  <c r="H728" i="19" s="1"/>
  <c r="F749" i="19"/>
  <c r="H749" i="19" s="1"/>
  <c r="F736" i="19"/>
  <c r="H736" i="19" s="1"/>
  <c r="F731" i="19"/>
  <c r="H731" i="19" s="1"/>
  <c r="F747" i="19"/>
  <c r="H747" i="19" s="1"/>
  <c r="G748" i="19"/>
  <c r="G757" i="19"/>
  <c r="F741" i="19"/>
  <c r="H741" i="19" s="1"/>
  <c r="G746" i="19"/>
  <c r="G654" i="19"/>
  <c r="G645" i="19"/>
  <c r="G640" i="19"/>
  <c r="G639" i="19"/>
  <c r="F862" i="19"/>
  <c r="G561" i="19"/>
  <c r="G569" i="19"/>
  <c r="G225" i="19"/>
  <c r="G570" i="19"/>
  <c r="G283" i="19"/>
  <c r="H593" i="19"/>
  <c r="F617" i="19"/>
  <c r="F449" i="19"/>
  <c r="G617" i="19"/>
  <c r="F407" i="19"/>
  <c r="H772" i="19"/>
  <c r="F283" i="19"/>
  <c r="F575" i="19"/>
  <c r="H898" i="19"/>
  <c r="F241" i="19"/>
  <c r="F159" i="19"/>
  <c r="H137" i="19"/>
  <c r="G33" i="19" l="1"/>
  <c r="G800" i="19"/>
  <c r="G491" i="19"/>
  <c r="H901" i="19"/>
  <c r="G32" i="19"/>
  <c r="H34" i="19"/>
  <c r="H21" i="19"/>
  <c r="G449" i="19"/>
  <c r="F22" i="19"/>
  <c r="G201" i="19"/>
  <c r="H59" i="19"/>
  <c r="H16" i="19"/>
  <c r="H12" i="19"/>
  <c r="G35" i="19"/>
  <c r="H32" i="19"/>
  <c r="G754" i="19"/>
  <c r="F754" i="19"/>
  <c r="F19" i="19"/>
  <c r="F32" i="19"/>
  <c r="H35" i="19"/>
  <c r="H33" i="19"/>
  <c r="G34" i="19"/>
  <c r="H22" i="19"/>
  <c r="G21" i="19"/>
  <c r="G575" i="19"/>
  <c r="G20" i="19"/>
  <c r="G17" i="19"/>
  <c r="G18" i="19"/>
  <c r="H886" i="19"/>
  <c r="H879" i="19"/>
  <c r="F491" i="19"/>
  <c r="F13" i="19"/>
  <c r="G22" i="19"/>
  <c r="G27" i="19"/>
  <c r="F12" i="19"/>
  <c r="H18" i="19"/>
  <c r="H875" i="19"/>
  <c r="H878" i="19"/>
  <c r="H892" i="19"/>
  <c r="H29" i="19"/>
  <c r="H885" i="19"/>
  <c r="G14" i="19"/>
  <c r="H25" i="19"/>
  <c r="H880" i="19"/>
  <c r="H15" i="19"/>
  <c r="H883" i="19"/>
  <c r="F14" i="19"/>
  <c r="H888" i="19"/>
  <c r="F17" i="19"/>
  <c r="F15" i="19"/>
  <c r="G241" i="19"/>
  <c r="H894" i="19"/>
  <c r="H893" i="19"/>
  <c r="G29" i="19"/>
  <c r="F201" i="19"/>
  <c r="F10" i="19"/>
  <c r="F30" i="19"/>
  <c r="G30" i="19"/>
  <c r="G25" i="19"/>
  <c r="H887" i="19"/>
  <c r="G159" i="19"/>
  <c r="G24" i="19"/>
  <c r="H13" i="19"/>
  <c r="H884" i="19"/>
  <c r="F9" i="19"/>
  <c r="G11" i="19"/>
  <c r="G12" i="19"/>
  <c r="G31" i="19"/>
  <c r="H24" i="19"/>
  <c r="G10" i="19"/>
  <c r="G28" i="19"/>
  <c r="H31" i="19"/>
  <c r="G16" i="19"/>
  <c r="G13" i="19"/>
  <c r="G15" i="19"/>
  <c r="H891" i="19"/>
  <c r="H895" i="19"/>
  <c r="G119" i="19"/>
  <c r="H27" i="19"/>
  <c r="G9" i="19"/>
  <c r="H20" i="19"/>
  <c r="H890" i="19"/>
  <c r="H881" i="19"/>
  <c r="H9" i="19"/>
  <c r="F23" i="19"/>
  <c r="G8" i="19"/>
  <c r="G19" i="19"/>
  <c r="H877" i="19"/>
  <c r="F119" i="19"/>
  <c r="G23" i="19"/>
  <c r="G79" i="19"/>
  <c r="F31" i="19"/>
  <c r="G26" i="19"/>
  <c r="H897" i="19"/>
  <c r="E14" i="8"/>
  <c r="G365" i="19"/>
  <c r="G325" i="19"/>
  <c r="G662" i="19"/>
  <c r="H849" i="19"/>
  <c r="F39" i="19"/>
  <c r="H818" i="19"/>
  <c r="F853" i="19"/>
  <c r="H848" i="19"/>
  <c r="F38" i="19"/>
  <c r="F11" i="19"/>
  <c r="F33" i="19"/>
  <c r="F16" i="19"/>
  <c r="F800" i="19"/>
  <c r="H14" i="19"/>
  <c r="F29" i="19"/>
  <c r="F25" i="19"/>
  <c r="F35" i="19"/>
  <c r="H28" i="19"/>
  <c r="H17" i="19"/>
  <c r="H26" i="19"/>
  <c r="H850" i="19"/>
  <c r="F40" i="19"/>
  <c r="H343" i="19"/>
  <c r="F365" i="19"/>
  <c r="G533" i="19"/>
  <c r="H509" i="19"/>
  <c r="F533" i="19"/>
  <c r="F37" i="19"/>
  <c r="H847" i="19"/>
  <c r="F41" i="19"/>
  <c r="H851" i="19"/>
  <c r="F8" i="19"/>
  <c r="F28" i="19"/>
  <c r="F27" i="19"/>
  <c r="F24" i="19"/>
  <c r="F26" i="19"/>
  <c r="F21" i="19"/>
  <c r="F18" i="19"/>
  <c r="F20" i="19"/>
  <c r="F34" i="19"/>
  <c r="H301" i="19"/>
  <c r="F325" i="19"/>
  <c r="G862" i="19"/>
  <c r="G853" i="19"/>
  <c r="H852" i="19"/>
  <c r="F42" i="19"/>
  <c r="H846" i="19"/>
  <c r="F36" i="19"/>
  <c r="G708" i="19"/>
  <c r="H680" i="19"/>
  <c r="F708" i="19"/>
  <c r="H889" i="19"/>
  <c r="H23" i="19"/>
  <c r="H876" i="19"/>
  <c r="H10" i="19"/>
  <c r="H11" i="19"/>
  <c r="H8" i="19" l="1"/>
  <c r="H874" i="19"/>
  <c r="G867" i="19"/>
  <c r="F43" i="19"/>
  <c r="G43" i="19"/>
  <c r="F867" i="19"/>
  <c r="H907" i="19"/>
  <c r="H41" i="19"/>
  <c r="H36" i="19"/>
  <c r="H902" i="19"/>
  <c r="H908" i="19"/>
  <c r="H42" i="19"/>
  <c r="H37" i="19"/>
  <c r="H903" i="19"/>
  <c r="H40" i="19"/>
  <c r="H906" i="19"/>
  <c r="H904" i="19"/>
  <c r="H38" i="19"/>
  <c r="H39" i="19"/>
  <c r="H905" i="19"/>
  <c r="D5" i="8" l="1"/>
  <c r="B68" i="3" l="1"/>
  <c r="B151" i="3" l="1"/>
  <c r="B150" i="3"/>
  <c r="B149" i="3"/>
  <c r="B148" i="3"/>
  <c r="B147" i="3"/>
  <c r="B146" i="3"/>
  <c r="B107" i="3"/>
  <c r="B86" i="3"/>
  <c r="N38" i="2"/>
  <c r="C125" i="2" l="1"/>
  <c r="C31" i="2" s="1"/>
  <c r="D125" i="2"/>
  <c r="D31" i="2" s="1"/>
  <c r="E125" i="2"/>
  <c r="E31" i="2" s="1"/>
  <c r="F125" i="2"/>
  <c r="F31" i="2" s="1"/>
  <c r="G125" i="2"/>
  <c r="G31" i="2" s="1"/>
  <c r="H125" i="2"/>
  <c r="H31" i="2" s="1"/>
  <c r="I125" i="2"/>
  <c r="I31" i="2" s="1"/>
  <c r="J125" i="2"/>
  <c r="J31" i="2" s="1"/>
  <c r="K125" i="2"/>
  <c r="K31" i="2" s="1"/>
  <c r="L125" i="2"/>
  <c r="L31" i="2" s="1"/>
  <c r="M125" i="2"/>
  <c r="M31" i="2" s="1"/>
  <c r="B125" i="2"/>
  <c r="B31" i="2" s="1"/>
  <c r="C131" i="2"/>
  <c r="D131" i="2"/>
  <c r="E131" i="2"/>
  <c r="F131" i="2"/>
  <c r="G131" i="2"/>
  <c r="H131" i="2"/>
  <c r="I131" i="2"/>
  <c r="J131" i="2"/>
  <c r="K131" i="2"/>
  <c r="L131" i="2"/>
  <c r="M131" i="2"/>
  <c r="B131" i="2"/>
  <c r="N7" i="2" l="1"/>
  <c r="N8" i="2"/>
  <c r="N9" i="2"/>
  <c r="N11" i="2"/>
  <c r="N12" i="2"/>
  <c r="N14" i="2"/>
  <c r="N16" i="2"/>
  <c r="N20" i="2"/>
  <c r="N22" i="2"/>
  <c r="N24" i="2"/>
  <c r="N28" i="2"/>
  <c r="N30" i="2"/>
  <c r="N36" i="2"/>
  <c r="N37" i="2"/>
  <c r="D3" i="16" l="1"/>
  <c r="B143" i="3" l="1"/>
  <c r="B35" i="3" s="1"/>
  <c r="B140" i="3"/>
  <c r="B34" i="3" s="1"/>
  <c r="B134" i="3"/>
  <c r="B33" i="3" s="1"/>
  <c r="B131" i="3"/>
  <c r="B32" i="3" s="1"/>
  <c r="B127" i="3"/>
  <c r="B31" i="3" s="1"/>
  <c r="B121" i="3"/>
  <c r="B117" i="3"/>
  <c r="B25" i="3" s="1"/>
  <c r="B113" i="3"/>
  <c r="B6" i="3" s="1"/>
  <c r="B109" i="3"/>
  <c r="B29" i="3" s="1"/>
  <c r="B106" i="3"/>
  <c r="B27" i="3" s="1"/>
  <c r="B96" i="3"/>
  <c r="D147" i="3" s="1"/>
  <c r="B85" i="3"/>
  <c r="B23" i="3" s="1"/>
  <c r="D23" i="3" s="1"/>
  <c r="B78" i="3"/>
  <c r="B19" i="3" s="1"/>
  <c r="B75" i="3"/>
  <c r="B4" i="3" s="1"/>
  <c r="B67" i="3"/>
  <c r="B13" i="3" s="1"/>
  <c r="B60" i="3"/>
  <c r="B15" i="3" s="1"/>
  <c r="B47" i="3"/>
  <c r="B10" i="3" s="1"/>
  <c r="C143" i="2"/>
  <c r="C35" i="2" s="1"/>
  <c r="D143" i="2"/>
  <c r="D35" i="2" s="1"/>
  <c r="E143" i="2"/>
  <c r="E35" i="2" s="1"/>
  <c r="F143" i="2"/>
  <c r="F35" i="2" s="1"/>
  <c r="G143" i="2"/>
  <c r="G35" i="2" s="1"/>
  <c r="H143" i="2"/>
  <c r="H35" i="2" s="1"/>
  <c r="I143" i="2"/>
  <c r="I35" i="2" s="1"/>
  <c r="J143" i="2"/>
  <c r="J35" i="2" s="1"/>
  <c r="K143" i="2"/>
  <c r="K35" i="2" s="1"/>
  <c r="L143" i="2"/>
  <c r="L35" i="2" s="1"/>
  <c r="M143" i="2"/>
  <c r="M35" i="2" s="1"/>
  <c r="B143" i="2"/>
  <c r="B35" i="2" s="1"/>
  <c r="L140" i="2"/>
  <c r="L34" i="2" s="1"/>
  <c r="K140" i="2"/>
  <c r="K34" i="2" s="1"/>
  <c r="J140" i="2"/>
  <c r="J34" i="2" s="1"/>
  <c r="I140" i="2"/>
  <c r="I34" i="2" s="1"/>
  <c r="H140" i="2"/>
  <c r="H34" i="2" s="1"/>
  <c r="G140" i="2"/>
  <c r="G34" i="2" s="1"/>
  <c r="F140" i="2"/>
  <c r="F34" i="2" s="1"/>
  <c r="E140" i="2"/>
  <c r="E34" i="2" s="1"/>
  <c r="D140" i="2"/>
  <c r="D34" i="2" s="1"/>
  <c r="C140" i="2"/>
  <c r="C34" i="2" s="1"/>
  <c r="B140" i="2"/>
  <c r="B34" i="2" s="1"/>
  <c r="L134" i="2"/>
  <c r="L33" i="2" s="1"/>
  <c r="K134" i="2"/>
  <c r="K33" i="2" s="1"/>
  <c r="J134" i="2"/>
  <c r="J33" i="2" s="1"/>
  <c r="I134" i="2"/>
  <c r="I33" i="2" s="1"/>
  <c r="H134" i="2"/>
  <c r="H33" i="2" s="1"/>
  <c r="G134" i="2"/>
  <c r="G33" i="2" s="1"/>
  <c r="F134" i="2"/>
  <c r="F33" i="2" s="1"/>
  <c r="E134" i="2"/>
  <c r="E33" i="2" s="1"/>
  <c r="D134" i="2"/>
  <c r="D33" i="2" s="1"/>
  <c r="C134" i="2"/>
  <c r="C33" i="2" s="1"/>
  <c r="B134" i="2"/>
  <c r="B33" i="2" s="1"/>
  <c r="L32" i="2"/>
  <c r="K32" i="2"/>
  <c r="J32" i="2"/>
  <c r="I32" i="2"/>
  <c r="H32" i="2"/>
  <c r="G32" i="2"/>
  <c r="F32" i="2"/>
  <c r="E32" i="2"/>
  <c r="D32" i="2"/>
  <c r="C32" i="2"/>
  <c r="B32" i="2"/>
  <c r="B94" i="2"/>
  <c r="H117" i="19" l="1"/>
  <c r="H573" i="19"/>
  <c r="H615" i="19"/>
  <c r="H281" i="19"/>
  <c r="H405" i="19"/>
  <c r="H447" i="19"/>
  <c r="H239" i="19"/>
  <c r="H657" i="19"/>
  <c r="H840" i="19"/>
  <c r="H748" i="19"/>
  <c r="H199" i="19"/>
  <c r="H323" i="19"/>
  <c r="H77" i="19"/>
  <c r="H794" i="19"/>
  <c r="H489" i="19"/>
  <c r="H531" i="19"/>
  <c r="H363" i="19"/>
  <c r="H157" i="19"/>
  <c r="H702" i="19"/>
  <c r="B122" i="3"/>
  <c r="B124" i="3" s="1"/>
  <c r="B57" i="3" s="1"/>
  <c r="B18" i="3" s="1"/>
  <c r="N35" i="2"/>
  <c r="B21" i="3"/>
  <c r="B17" i="3"/>
  <c r="B50" i="3"/>
  <c r="H708" i="19" l="1"/>
  <c r="H491" i="19"/>
  <c r="H201" i="19"/>
  <c r="H241" i="19"/>
  <c r="H617" i="19"/>
  <c r="H159" i="19"/>
  <c r="H800" i="19"/>
  <c r="H754" i="19"/>
  <c r="H449" i="19"/>
  <c r="H575" i="19"/>
  <c r="H365" i="19"/>
  <c r="H30" i="19"/>
  <c r="H43" i="19" s="1"/>
  <c r="H79" i="19"/>
  <c r="H896" i="19"/>
  <c r="H910" i="19" s="1"/>
  <c r="I702" i="19" s="1"/>
  <c r="J702" i="19" s="1"/>
  <c r="K702" i="19" s="1"/>
  <c r="H853" i="19"/>
  <c r="H407" i="19"/>
  <c r="H119" i="19"/>
  <c r="H533" i="19"/>
  <c r="H325" i="19"/>
  <c r="H662" i="19"/>
  <c r="H283" i="19"/>
  <c r="T89" i="10"/>
  <c r="I117" i="19" l="1"/>
  <c r="J117" i="19" s="1"/>
  <c r="K117" i="19" s="1"/>
  <c r="I748" i="19"/>
  <c r="J748" i="19" s="1"/>
  <c r="K748" i="19" s="1"/>
  <c r="I323" i="19"/>
  <c r="J323" i="19" s="1"/>
  <c r="K323" i="19" s="1"/>
  <c r="I573" i="19"/>
  <c r="J573" i="19" s="1"/>
  <c r="K573" i="19" s="1"/>
  <c r="I281" i="19"/>
  <c r="J281" i="19" s="1"/>
  <c r="K281" i="19" s="1"/>
  <c r="H867" i="19"/>
  <c r="I239" i="19"/>
  <c r="J239" i="19" s="1"/>
  <c r="K239" i="19" s="1"/>
  <c r="I489" i="19"/>
  <c r="J489" i="19" s="1"/>
  <c r="K489" i="19" s="1"/>
  <c r="I840" i="19"/>
  <c r="J840" i="19" s="1"/>
  <c r="K840" i="19" s="1"/>
  <c r="I157" i="19"/>
  <c r="J157" i="19" s="1"/>
  <c r="K157" i="19" s="1"/>
  <c r="I657" i="19"/>
  <c r="J657" i="19" s="1"/>
  <c r="K657" i="19" s="1"/>
  <c r="I531" i="19"/>
  <c r="J531" i="19" s="1"/>
  <c r="K531" i="19" s="1"/>
  <c r="I405" i="19"/>
  <c r="J405" i="19" s="1"/>
  <c r="K405" i="19" s="1"/>
  <c r="I77" i="19"/>
  <c r="I363" i="19"/>
  <c r="J363" i="19" s="1"/>
  <c r="K363" i="19" s="1"/>
  <c r="I447" i="19"/>
  <c r="J447" i="19" s="1"/>
  <c r="K447" i="19" s="1"/>
  <c r="I794" i="19"/>
  <c r="J794" i="19" s="1"/>
  <c r="K794" i="19" s="1"/>
  <c r="I615" i="19"/>
  <c r="J615" i="19" s="1"/>
  <c r="K615" i="19" s="1"/>
  <c r="I199" i="19"/>
  <c r="J199" i="19" s="1"/>
  <c r="K199" i="19" s="1"/>
  <c r="I158" i="19"/>
  <c r="J158" i="19" s="1"/>
  <c r="K158" i="19" s="1"/>
  <c r="I562" i="19"/>
  <c r="J562" i="19" s="1"/>
  <c r="K562" i="19" s="1"/>
  <c r="I781" i="19"/>
  <c r="J781" i="19" s="1"/>
  <c r="K781" i="19" s="1"/>
  <c r="I830" i="19"/>
  <c r="J830" i="19" s="1"/>
  <c r="K830" i="19" s="1"/>
  <c r="I570" i="19"/>
  <c r="J570" i="19" s="1"/>
  <c r="K570" i="19" s="1"/>
  <c r="I660" i="19"/>
  <c r="I118" i="19"/>
  <c r="J118" i="19" s="1"/>
  <c r="K118" i="19" s="1"/>
  <c r="I510" i="19"/>
  <c r="J510" i="19" s="1"/>
  <c r="K510" i="19" s="1"/>
  <c r="I616" i="19"/>
  <c r="J616" i="19" s="1"/>
  <c r="K616" i="19" s="1"/>
  <c r="I109" i="19"/>
  <c r="J109" i="19" s="1"/>
  <c r="K109" i="19" s="1"/>
  <c r="I690" i="19"/>
  <c r="J690" i="19" s="1"/>
  <c r="K690" i="19" s="1"/>
  <c r="I343" i="19"/>
  <c r="I833" i="19"/>
  <c r="J833" i="19" s="1"/>
  <c r="K833" i="19" s="1"/>
  <c r="I473" i="19"/>
  <c r="J473" i="19" s="1"/>
  <c r="K473" i="19" s="1"/>
  <c r="I226" i="19"/>
  <c r="J226" i="19" s="1"/>
  <c r="K226" i="19" s="1"/>
  <c r="I651" i="19"/>
  <c r="J651" i="19" s="1"/>
  <c r="K651" i="19" s="1"/>
  <c r="I735" i="19"/>
  <c r="J735" i="19" s="1"/>
  <c r="K735" i="19" s="1"/>
  <c r="I789" i="19"/>
  <c r="J789" i="19" s="1"/>
  <c r="K789" i="19" s="1"/>
  <c r="I428" i="19"/>
  <c r="J428" i="19" s="1"/>
  <c r="K428" i="19" s="1"/>
  <c r="I560" i="19"/>
  <c r="J560" i="19" s="1"/>
  <c r="K560" i="19" s="1"/>
  <c r="I838" i="19"/>
  <c r="J838" i="19" s="1"/>
  <c r="K838" i="19" s="1"/>
  <c r="I442" i="19"/>
  <c r="J442" i="19" s="1"/>
  <c r="K442" i="19" s="1"/>
  <c r="I699" i="19"/>
  <c r="J699" i="19" s="1"/>
  <c r="K699" i="19" s="1"/>
  <c r="I313" i="19"/>
  <c r="J313" i="19" s="1"/>
  <c r="K313" i="19" s="1"/>
  <c r="I726" i="19"/>
  <c r="I182" i="19"/>
  <c r="J182" i="19" s="1"/>
  <c r="K182" i="19" s="1"/>
  <c r="I314" i="19"/>
  <c r="J314" i="19" s="1"/>
  <c r="K314" i="19" s="1"/>
  <c r="I141" i="19"/>
  <c r="J141" i="19" s="1"/>
  <c r="K141" i="19" s="1"/>
  <c r="I612" i="19"/>
  <c r="J612" i="19" s="1"/>
  <c r="K612" i="19" s="1"/>
  <c r="I826" i="19"/>
  <c r="J826" i="19" s="1"/>
  <c r="K826" i="19" s="1"/>
  <c r="I654" i="19"/>
  <c r="J654" i="19" s="1"/>
  <c r="K654" i="19" s="1"/>
  <c r="I446" i="19"/>
  <c r="J446" i="19" s="1"/>
  <c r="K446" i="19" s="1"/>
  <c r="I653" i="19"/>
  <c r="J653" i="19" s="1"/>
  <c r="K653" i="19" s="1"/>
  <c r="I845" i="19"/>
  <c r="J845" i="19" s="1"/>
  <c r="K845" i="19" s="1"/>
  <c r="I349" i="19"/>
  <c r="J349" i="19" s="1"/>
  <c r="K349" i="19" s="1"/>
  <c r="I743" i="19"/>
  <c r="J743" i="19" s="1"/>
  <c r="K743" i="19" s="1"/>
  <c r="I360" i="19"/>
  <c r="J360" i="19" s="1"/>
  <c r="K360" i="19" s="1"/>
  <c r="I345" i="19"/>
  <c r="J345" i="19" s="1"/>
  <c r="K345" i="19" s="1"/>
  <c r="I490" i="19"/>
  <c r="J490" i="19" s="1"/>
  <c r="K490" i="19" s="1"/>
  <c r="I111" i="19"/>
  <c r="J111" i="19" s="1"/>
  <c r="K111" i="19" s="1"/>
  <c r="I594" i="19"/>
  <c r="J594" i="19" s="1"/>
  <c r="K594" i="19" s="1"/>
  <c r="I471" i="19"/>
  <c r="J471" i="19" s="1"/>
  <c r="K471" i="19" s="1"/>
  <c r="I71" i="19"/>
  <c r="I683" i="19"/>
  <c r="J683" i="19" s="1"/>
  <c r="K683" i="19" s="1"/>
  <c r="I263" i="19"/>
  <c r="J263" i="19" s="1"/>
  <c r="K263" i="19" s="1"/>
  <c r="I659" i="19"/>
  <c r="I647" i="19"/>
  <c r="J647" i="19" s="1"/>
  <c r="K647" i="19" s="1"/>
  <c r="I517" i="19"/>
  <c r="J517" i="19" s="1"/>
  <c r="K517" i="19" s="1"/>
  <c r="I552" i="19"/>
  <c r="J552" i="19" s="1"/>
  <c r="K552" i="19" s="1"/>
  <c r="I658" i="19"/>
  <c r="J658" i="19" s="1"/>
  <c r="K658" i="19" s="1"/>
  <c r="I753" i="19"/>
  <c r="J753" i="19" s="1"/>
  <c r="K753" i="19" s="1"/>
  <c r="I272" i="19"/>
  <c r="J272" i="19" s="1"/>
  <c r="K272" i="19" s="1"/>
  <c r="I790" i="19"/>
  <c r="J790" i="19" s="1"/>
  <c r="K790" i="19" s="1"/>
  <c r="I274" i="19"/>
  <c r="J274" i="19" s="1"/>
  <c r="K274" i="19" s="1"/>
  <c r="I836" i="19"/>
  <c r="J836" i="19" s="1"/>
  <c r="K836" i="19" s="1"/>
  <c r="I143" i="19"/>
  <c r="J143" i="19" s="1"/>
  <c r="K143" i="19" s="1"/>
  <c r="I352" i="19"/>
  <c r="J352" i="19" s="1"/>
  <c r="K352" i="19" s="1"/>
  <c r="I229" i="19"/>
  <c r="J229" i="19" s="1"/>
  <c r="K229" i="19" s="1"/>
  <c r="I195" i="19"/>
  <c r="J195" i="19" s="1"/>
  <c r="K195" i="19" s="1"/>
  <c r="I219" i="19"/>
  <c r="I137" i="19"/>
  <c r="I519" i="19"/>
  <c r="J519" i="19" s="1"/>
  <c r="K519" i="19" s="1"/>
  <c r="I732" i="19"/>
  <c r="J732" i="19" s="1"/>
  <c r="K732" i="19" s="1"/>
  <c r="I395" i="19"/>
  <c r="J395" i="19" s="1"/>
  <c r="K395" i="19" s="1"/>
  <c r="I267" i="19"/>
  <c r="J267" i="19" s="1"/>
  <c r="K267" i="19" s="1"/>
  <c r="I236" i="19"/>
  <c r="J236" i="19" s="1"/>
  <c r="K236" i="19" s="1"/>
  <c r="I698" i="19"/>
  <c r="J698" i="19" s="1"/>
  <c r="K698" i="19" s="1"/>
  <c r="I751" i="19"/>
  <c r="J751" i="19" s="1"/>
  <c r="K751" i="19" s="1"/>
  <c r="I178" i="19"/>
  <c r="J178" i="19" s="1"/>
  <c r="K178" i="19" s="1"/>
  <c r="I177" i="19"/>
  <c r="I98" i="19"/>
  <c r="J98" i="19" s="1"/>
  <c r="K98" i="19" s="1"/>
  <c r="I435" i="19"/>
  <c r="J435" i="19" s="1"/>
  <c r="K435" i="19" s="1"/>
  <c r="I745" i="19"/>
  <c r="J745" i="19" s="1"/>
  <c r="K745" i="19" s="1"/>
  <c r="I279" i="19"/>
  <c r="J279" i="19" s="1"/>
  <c r="K279" i="19" s="1"/>
  <c r="I425" i="19"/>
  <c r="J425" i="19" s="1"/>
  <c r="K425" i="19" s="1"/>
  <c r="I488" i="19"/>
  <c r="J488" i="19" s="1"/>
  <c r="K488" i="19" s="1"/>
  <c r="I821" i="19"/>
  <c r="J821" i="19" s="1"/>
  <c r="K821" i="19" s="1"/>
  <c r="I320" i="19"/>
  <c r="J320" i="19" s="1"/>
  <c r="K320" i="19" s="1"/>
  <c r="I438" i="19"/>
  <c r="J438" i="19" s="1"/>
  <c r="K438" i="19" s="1"/>
  <c r="I837" i="19"/>
  <c r="J837" i="19" s="1"/>
  <c r="K837" i="19" s="1"/>
  <c r="I528" i="19"/>
  <c r="J528" i="19" s="1"/>
  <c r="K528" i="19" s="1"/>
  <c r="I392" i="19"/>
  <c r="J392" i="19" s="1"/>
  <c r="K392" i="19" s="1"/>
  <c r="I351" i="19"/>
  <c r="J351" i="19" s="1"/>
  <c r="K351" i="19" s="1"/>
  <c r="I317" i="19"/>
  <c r="J317" i="19" s="1"/>
  <c r="K317" i="19" s="1"/>
  <c r="I180" i="19"/>
  <c r="J180" i="19" s="1"/>
  <c r="K180" i="19" s="1"/>
  <c r="I227" i="19"/>
  <c r="J227" i="19" s="1"/>
  <c r="K227" i="19" s="1"/>
  <c r="I472" i="19"/>
  <c r="J472" i="19" s="1"/>
  <c r="K472" i="19" s="1"/>
  <c r="I186" i="19"/>
  <c r="J186" i="19" s="1"/>
  <c r="K186" i="19" s="1"/>
  <c r="J911" i="19"/>
  <c r="I441" i="19"/>
  <c r="J441" i="19" s="1"/>
  <c r="K441" i="19" s="1"/>
  <c r="I705" i="19"/>
  <c r="J705" i="19" s="1"/>
  <c r="K705" i="19" s="1"/>
  <c r="I231" i="19"/>
  <c r="J231" i="19" s="1"/>
  <c r="K231" i="19" s="1"/>
  <c r="I240" i="19"/>
  <c r="J240" i="19" s="1"/>
  <c r="K240" i="19" s="1"/>
  <c r="I648" i="19"/>
  <c r="J648" i="19" s="1"/>
  <c r="K648" i="19" s="1"/>
  <c r="I432" i="19"/>
  <c r="J432" i="19" s="1"/>
  <c r="K432" i="19" s="1"/>
  <c r="I595" i="19"/>
  <c r="I782" i="19"/>
  <c r="J782" i="19" s="1"/>
  <c r="K782" i="19" s="1"/>
  <c r="I828" i="19"/>
  <c r="J828" i="19" s="1"/>
  <c r="K828" i="19" s="1"/>
  <c r="I480" i="19"/>
  <c r="J480" i="19" s="1"/>
  <c r="K480" i="19" s="1"/>
  <c r="I703" i="19"/>
  <c r="J703" i="19" s="1"/>
  <c r="K703" i="19" s="1"/>
  <c r="I154" i="19"/>
  <c r="J154" i="19" s="1"/>
  <c r="K154" i="19" s="1"/>
  <c r="I780" i="19"/>
  <c r="J780" i="19" s="1"/>
  <c r="K780" i="19" s="1"/>
  <c r="I786" i="19"/>
  <c r="J786" i="19" s="1"/>
  <c r="K786" i="19" s="1"/>
  <c r="I65" i="19"/>
  <c r="I237" i="19"/>
  <c r="J237" i="19" s="1"/>
  <c r="K237" i="19" s="1"/>
  <c r="I58" i="19"/>
  <c r="I146" i="19"/>
  <c r="J146" i="19" s="1"/>
  <c r="K146" i="19" s="1"/>
  <c r="I305" i="19"/>
  <c r="J305" i="19" s="1"/>
  <c r="K305" i="19" s="1"/>
  <c r="I303" i="19"/>
  <c r="J303" i="19" s="1"/>
  <c r="K303" i="19" s="1"/>
  <c r="I527" i="19"/>
  <c r="J527" i="19" s="1"/>
  <c r="K527" i="19" s="1"/>
  <c r="I513" i="19"/>
  <c r="J513" i="19" s="1"/>
  <c r="K513" i="19" s="1"/>
  <c r="I843" i="19"/>
  <c r="J843" i="19" s="1"/>
  <c r="K843" i="19" s="1"/>
  <c r="I556" i="19"/>
  <c r="J556" i="19" s="1"/>
  <c r="K556" i="19" s="1"/>
  <c r="I747" i="19"/>
  <c r="J747" i="19" s="1"/>
  <c r="K747" i="19" s="1"/>
  <c r="I238" i="19"/>
  <c r="J238" i="19" s="1"/>
  <c r="K238" i="19" s="1"/>
  <c r="I602" i="19"/>
  <c r="J602" i="19" s="1"/>
  <c r="K602" i="19" s="1"/>
  <c r="I823" i="19"/>
  <c r="J823" i="19" s="1"/>
  <c r="K823" i="19" s="1"/>
  <c r="I559" i="19"/>
  <c r="J559" i="19" s="1"/>
  <c r="K559" i="19" s="1"/>
  <c r="I187" i="19"/>
  <c r="J187" i="19" s="1"/>
  <c r="K187" i="19" s="1"/>
  <c r="I152" i="19"/>
  <c r="J152" i="19" s="1"/>
  <c r="K152" i="19" s="1"/>
  <c r="I194" i="19"/>
  <c r="J194" i="19" s="1"/>
  <c r="K194" i="19" s="1"/>
  <c r="I487" i="19"/>
  <c r="J487" i="19" s="1"/>
  <c r="K487" i="19" s="1"/>
  <c r="I62" i="19"/>
  <c r="I191" i="19"/>
  <c r="I597" i="19"/>
  <c r="J597" i="19" s="1"/>
  <c r="K597" i="19" s="1"/>
  <c r="I521" i="19"/>
  <c r="J521" i="19" s="1"/>
  <c r="K521" i="19" s="1"/>
  <c r="I846" i="19"/>
  <c r="I655" i="19"/>
  <c r="J655" i="19" s="1"/>
  <c r="K655" i="19" s="1"/>
  <c r="I693" i="19"/>
  <c r="J693" i="19" s="1"/>
  <c r="K693" i="19" s="1"/>
  <c r="I529" i="19"/>
  <c r="J529" i="19" s="1"/>
  <c r="K529" i="19" s="1"/>
  <c r="I686" i="19"/>
  <c r="J686" i="19" s="1"/>
  <c r="K686" i="19" s="1"/>
  <c r="I844" i="19"/>
  <c r="J844" i="19" s="1"/>
  <c r="K844" i="19" s="1"/>
  <c r="I355" i="19"/>
  <c r="J355" i="19" s="1"/>
  <c r="K355" i="19" s="1"/>
  <c r="I779" i="19"/>
  <c r="J779" i="19" s="1"/>
  <c r="K779" i="19" s="1"/>
  <c r="I483" i="19"/>
  <c r="J483" i="19" s="1"/>
  <c r="K483" i="19" s="1"/>
  <c r="I310" i="19"/>
  <c r="J310" i="19" s="1"/>
  <c r="K310" i="19" s="1"/>
  <c r="I444" i="19"/>
  <c r="J444" i="19" s="1"/>
  <c r="K444" i="19" s="1"/>
  <c r="I148" i="19"/>
  <c r="J148" i="19" s="1"/>
  <c r="K148" i="19" s="1"/>
  <c r="I479" i="19"/>
  <c r="J479" i="19" s="1"/>
  <c r="K479" i="19" s="1"/>
  <c r="I637" i="19"/>
  <c r="J637" i="19" s="1"/>
  <c r="K637" i="19" s="1"/>
  <c r="I384" i="19"/>
  <c r="J384" i="19" s="1"/>
  <c r="K384" i="19" s="1"/>
  <c r="I680" i="19"/>
  <c r="I197" i="19"/>
  <c r="J197" i="19" s="1"/>
  <c r="K197" i="19" s="1"/>
  <c r="I682" i="19"/>
  <c r="J682" i="19" s="1"/>
  <c r="K682" i="19" s="1"/>
  <c r="I775" i="19"/>
  <c r="J775" i="19" s="1"/>
  <c r="K775" i="19" s="1"/>
  <c r="I518" i="19"/>
  <c r="J518" i="19" s="1"/>
  <c r="K518" i="19" s="1"/>
  <c r="I344" i="19"/>
  <c r="J344" i="19" s="1"/>
  <c r="K344" i="19" s="1"/>
  <c r="I791" i="19"/>
  <c r="J791" i="19" s="1"/>
  <c r="K791" i="19" s="1"/>
  <c r="I796" i="19"/>
  <c r="J796" i="19" s="1"/>
  <c r="K796" i="19" s="1"/>
  <c r="I76" i="19"/>
  <c r="I225" i="19"/>
  <c r="J225" i="19" s="1"/>
  <c r="K225" i="19" s="1"/>
  <c r="I727" i="19"/>
  <c r="J727" i="19" s="1"/>
  <c r="K727" i="19" s="1"/>
  <c r="I795" i="19"/>
  <c r="J795" i="19" s="1"/>
  <c r="K795" i="19" s="1"/>
  <c r="I526" i="19"/>
  <c r="J526" i="19" s="1"/>
  <c r="K526" i="19" s="1"/>
  <c r="I610" i="19"/>
  <c r="J610" i="19" s="1"/>
  <c r="K610" i="19" s="1"/>
  <c r="I509" i="19"/>
  <c r="J509" i="19" s="1"/>
  <c r="K509" i="19" s="1"/>
  <c r="I388" i="19"/>
  <c r="J388" i="19" s="1"/>
  <c r="K388" i="19" s="1"/>
  <c r="I69" i="19"/>
  <c r="I851" i="19"/>
  <c r="I730" i="19"/>
  <c r="J730" i="19" s="1"/>
  <c r="K730" i="19" s="1"/>
  <c r="I396" i="19"/>
  <c r="J396" i="19" s="1"/>
  <c r="K396" i="19" s="1"/>
  <c r="I641" i="19"/>
  <c r="J641" i="19" s="1"/>
  <c r="K641" i="19" s="1"/>
  <c r="I797" i="19"/>
  <c r="J797" i="19" s="1"/>
  <c r="K797" i="19" s="1"/>
  <c r="I364" i="19"/>
  <c r="J364" i="19" s="1"/>
  <c r="K364" i="19" s="1"/>
  <c r="I646" i="19"/>
  <c r="J646" i="19" s="1"/>
  <c r="K646" i="19" s="1"/>
  <c r="I852" i="19"/>
  <c r="I783" i="19"/>
  <c r="J783" i="19" s="1"/>
  <c r="K783" i="19" s="1"/>
  <c r="I73" i="19"/>
  <c r="I737" i="19"/>
  <c r="J737" i="19" s="1"/>
  <c r="K737" i="19" s="1"/>
  <c r="I799" i="19"/>
  <c r="J799" i="19" s="1"/>
  <c r="K799" i="19" s="1"/>
  <c r="I183" i="19"/>
  <c r="J183" i="19" s="1"/>
  <c r="K183" i="19" s="1"/>
  <c r="I179" i="19"/>
  <c r="J179" i="19" s="1"/>
  <c r="K179" i="19" s="1"/>
  <c r="I261" i="19"/>
  <c r="J261" i="19" s="1"/>
  <c r="K261" i="19" s="1"/>
  <c r="I516" i="19"/>
  <c r="J516" i="19" s="1"/>
  <c r="K516" i="19" s="1"/>
  <c r="I181" i="19"/>
  <c r="J181" i="19" s="1"/>
  <c r="K181" i="19" s="1"/>
  <c r="I481" i="19"/>
  <c r="J481" i="19" s="1"/>
  <c r="K481" i="19" s="1"/>
  <c r="I785" i="19"/>
  <c r="J785" i="19" s="1"/>
  <c r="K785" i="19" s="1"/>
  <c r="I530" i="19"/>
  <c r="J530" i="19" s="1"/>
  <c r="K530" i="19" s="1"/>
  <c r="I772" i="19"/>
  <c r="I350" i="19"/>
  <c r="J350" i="19" s="1"/>
  <c r="K350" i="19" s="1"/>
  <c r="I115" i="19"/>
  <c r="J115" i="19" s="1"/>
  <c r="K115" i="19" s="1"/>
  <c r="I60" i="19"/>
  <c r="I393" i="19"/>
  <c r="J393" i="19" s="1"/>
  <c r="K393" i="19" s="1"/>
  <c r="I572" i="19"/>
  <c r="J572" i="19" s="1"/>
  <c r="K572" i="19" s="1"/>
  <c r="I193" i="19"/>
  <c r="J193" i="19" s="1"/>
  <c r="K193" i="19" s="1"/>
  <c r="I104" i="19"/>
  <c r="J104" i="19" s="1"/>
  <c r="K104" i="19" s="1"/>
  <c r="I75" i="19"/>
  <c r="I100" i="19"/>
  <c r="J100" i="19" s="1"/>
  <c r="K100" i="19" s="1"/>
  <c r="I259" i="19"/>
  <c r="I601" i="19"/>
  <c r="J601" i="19" s="1"/>
  <c r="K601" i="19" s="1"/>
  <c r="I750" i="19"/>
  <c r="J750" i="19" s="1"/>
  <c r="K750" i="19" s="1"/>
  <c r="I773" i="19"/>
  <c r="J773" i="19" s="1"/>
  <c r="K773" i="19" s="1"/>
  <c r="I820" i="19"/>
  <c r="J820" i="19" s="1"/>
  <c r="K820" i="19" s="1"/>
  <c r="I222" i="19"/>
  <c r="J222" i="19" s="1"/>
  <c r="K222" i="19" s="1"/>
  <c r="I147" i="19"/>
  <c r="J147" i="19" s="1"/>
  <c r="K147" i="19" s="1"/>
  <c r="I397" i="19"/>
  <c r="J397" i="19" s="1"/>
  <c r="K397" i="19" s="1"/>
  <c r="I523" i="19"/>
  <c r="J523" i="19" s="1"/>
  <c r="K523" i="19" s="1"/>
  <c r="I140" i="19"/>
  <c r="J140" i="19" s="1"/>
  <c r="K140" i="19" s="1"/>
  <c r="I741" i="19"/>
  <c r="J741" i="19" s="1"/>
  <c r="K741" i="19" s="1"/>
  <c r="I268" i="19"/>
  <c r="J268" i="19" s="1"/>
  <c r="K268" i="19" s="1"/>
  <c r="I385" i="19"/>
  <c r="I155" i="19"/>
  <c r="J155" i="19" s="1"/>
  <c r="K155" i="19" s="1"/>
  <c r="I149" i="19"/>
  <c r="J149" i="19" s="1"/>
  <c r="K149" i="19" s="1"/>
  <c r="I525" i="19"/>
  <c r="J525" i="19" s="1"/>
  <c r="K525" i="19" s="1"/>
  <c r="I829" i="19"/>
  <c r="J829" i="19" s="1"/>
  <c r="K829" i="19" s="1"/>
  <c r="I426" i="19"/>
  <c r="J426" i="19" s="1"/>
  <c r="K426" i="19" s="1"/>
  <c r="I103" i="19"/>
  <c r="J103" i="19" s="1"/>
  <c r="K103" i="19" s="1"/>
  <c r="I819" i="19"/>
  <c r="J819" i="19" s="1"/>
  <c r="K819" i="19" s="1"/>
  <c r="I752" i="19"/>
  <c r="J752" i="19" s="1"/>
  <c r="K752" i="19" s="1"/>
  <c r="I235" i="19"/>
  <c r="J235" i="19" s="1"/>
  <c r="K235" i="19" s="1"/>
  <c r="I834" i="19"/>
  <c r="J834" i="19" s="1"/>
  <c r="K834" i="19" s="1"/>
  <c r="I569" i="19"/>
  <c r="J569" i="19" s="1"/>
  <c r="K569" i="19" s="1"/>
  <c r="I316" i="19"/>
  <c r="J316" i="19" s="1"/>
  <c r="K316" i="19" s="1"/>
  <c r="I777" i="19"/>
  <c r="J777" i="19" s="1"/>
  <c r="K777" i="19" s="1"/>
  <c r="I561" i="19"/>
  <c r="J561" i="19" s="1"/>
  <c r="K561" i="19" s="1"/>
  <c r="I649" i="19"/>
  <c r="J649" i="19" s="1"/>
  <c r="K649" i="19" s="1"/>
  <c r="I61" i="19"/>
  <c r="I604" i="19"/>
  <c r="J604" i="19" s="1"/>
  <c r="K604" i="19" s="1"/>
  <c r="I511" i="19"/>
  <c r="I798" i="19"/>
  <c r="J798" i="19" s="1"/>
  <c r="K798" i="19" s="1"/>
  <c r="I312" i="19"/>
  <c r="J312" i="19" s="1"/>
  <c r="K312" i="19" s="1"/>
  <c r="I99" i="19"/>
  <c r="J99" i="19" s="1"/>
  <c r="K99" i="19" s="1"/>
  <c r="I557" i="19"/>
  <c r="J557" i="19" s="1"/>
  <c r="K557" i="19" s="1"/>
  <c r="I357" i="19"/>
  <c r="J357" i="19" s="1"/>
  <c r="K357" i="19" s="1"/>
  <c r="I848" i="19"/>
  <c r="I555" i="19"/>
  <c r="J555" i="19" s="1"/>
  <c r="K555" i="19" s="1"/>
  <c r="I220" i="19"/>
  <c r="J220" i="19" s="1"/>
  <c r="K220" i="19" s="1"/>
  <c r="I776" i="19"/>
  <c r="J776" i="19" s="1"/>
  <c r="K776" i="19" s="1"/>
  <c r="I739" i="19"/>
  <c r="J739" i="19" s="1"/>
  <c r="K739" i="19" s="1"/>
  <c r="I427" i="19"/>
  <c r="I189" i="19"/>
  <c r="J189" i="19" s="1"/>
  <c r="K189" i="19" s="1"/>
  <c r="I437" i="19"/>
  <c r="J437" i="19" s="1"/>
  <c r="K437" i="19" s="1"/>
  <c r="I850" i="19"/>
  <c r="I264" i="19"/>
  <c r="J264" i="19" s="1"/>
  <c r="K264" i="19" s="1"/>
  <c r="I434" i="19"/>
  <c r="J434" i="19" s="1"/>
  <c r="K434" i="19" s="1"/>
  <c r="I736" i="19"/>
  <c r="J736" i="19" s="1"/>
  <c r="K736" i="19" s="1"/>
  <c r="I842" i="19"/>
  <c r="J842" i="19" s="1"/>
  <c r="K842" i="19" s="1"/>
  <c r="I234" i="19"/>
  <c r="J234" i="19" s="1"/>
  <c r="K234" i="19" s="1"/>
  <c r="I145" i="19"/>
  <c r="J145" i="19" s="1"/>
  <c r="K145" i="19" s="1"/>
  <c r="I63" i="19"/>
  <c r="I233" i="19"/>
  <c r="J233" i="19" s="1"/>
  <c r="K233" i="19" s="1"/>
  <c r="I97" i="19"/>
  <c r="I485" i="19"/>
  <c r="J485" i="19" s="1"/>
  <c r="K485" i="19" s="1"/>
  <c r="I315" i="19"/>
  <c r="J315" i="19" s="1"/>
  <c r="K315" i="19" s="1"/>
  <c r="I565" i="19"/>
  <c r="J565" i="19" s="1"/>
  <c r="K565" i="19" s="1"/>
  <c r="I482" i="19"/>
  <c r="J482" i="19" s="1"/>
  <c r="K482" i="19" s="1"/>
  <c r="I307" i="19"/>
  <c r="J307" i="19" s="1"/>
  <c r="K307" i="19" s="1"/>
  <c r="I309" i="19"/>
  <c r="J309" i="19" s="1"/>
  <c r="K309" i="19" s="1"/>
  <c r="I66" i="19"/>
  <c r="I156" i="19"/>
  <c r="J156" i="19" s="1"/>
  <c r="K156" i="19" s="1"/>
  <c r="I403" i="19"/>
  <c r="J403" i="19" s="1"/>
  <c r="K403" i="19" s="1"/>
  <c r="I831" i="19"/>
  <c r="J831" i="19" s="1"/>
  <c r="K831" i="19" s="1"/>
  <c r="I656" i="19"/>
  <c r="J656" i="19" s="1"/>
  <c r="K656" i="19" s="1"/>
  <c r="I443" i="19"/>
  <c r="J443" i="19" s="1"/>
  <c r="K443" i="19" s="1"/>
  <c r="I639" i="19"/>
  <c r="J639" i="19" s="1"/>
  <c r="K639" i="19" s="1"/>
  <c r="I551" i="19"/>
  <c r="J551" i="19" s="1"/>
  <c r="K551" i="19" s="1"/>
  <c r="I318" i="19"/>
  <c r="J318" i="19" s="1"/>
  <c r="K318" i="19" s="1"/>
  <c r="I68" i="19"/>
  <c r="I270" i="19"/>
  <c r="J270" i="19" s="1"/>
  <c r="K270" i="19" s="1"/>
  <c r="I832" i="19"/>
  <c r="J832" i="19" s="1"/>
  <c r="K832" i="19" s="1"/>
  <c r="I436" i="19"/>
  <c r="J436" i="19" s="1"/>
  <c r="K436" i="19" s="1"/>
  <c r="I835" i="19"/>
  <c r="J835" i="19" s="1"/>
  <c r="K835" i="19" s="1"/>
  <c r="I301" i="19"/>
  <c r="I661" i="19"/>
  <c r="I200" i="19"/>
  <c r="J200" i="19" s="1"/>
  <c r="K200" i="19" s="1"/>
  <c r="I359" i="19"/>
  <c r="J359" i="19" s="1"/>
  <c r="K359" i="19" s="1"/>
  <c r="I439" i="19"/>
  <c r="J439" i="19" s="1"/>
  <c r="K439" i="19" s="1"/>
  <c r="I734" i="19"/>
  <c r="J734" i="19" s="1"/>
  <c r="K734" i="19" s="1"/>
  <c r="I401" i="19"/>
  <c r="J401" i="19" s="1"/>
  <c r="K401" i="19" s="1"/>
  <c r="I818" i="19"/>
  <c r="I445" i="19"/>
  <c r="J445" i="19" s="1"/>
  <c r="K445" i="19" s="1"/>
  <c r="I650" i="19"/>
  <c r="J650" i="19" s="1"/>
  <c r="K650" i="19" s="1"/>
  <c r="I402" i="19"/>
  <c r="J402" i="19" s="1"/>
  <c r="K402" i="19" s="1"/>
  <c r="I223" i="19"/>
  <c r="J223" i="19" s="1"/>
  <c r="K223" i="19" s="1"/>
  <c r="I308" i="19"/>
  <c r="J308" i="19" s="1"/>
  <c r="K308" i="19" s="1"/>
  <c r="I265" i="19"/>
  <c r="J265" i="19" s="1"/>
  <c r="K265" i="19" s="1"/>
  <c r="I611" i="19"/>
  <c r="J611" i="19" s="1"/>
  <c r="K611" i="19" s="1"/>
  <c r="I361" i="19"/>
  <c r="J361" i="19" s="1"/>
  <c r="K361" i="19" s="1"/>
  <c r="I105" i="19"/>
  <c r="J105" i="19" s="1"/>
  <c r="K105" i="19" s="1"/>
  <c r="I607" i="19"/>
  <c r="J607" i="19" s="1"/>
  <c r="K607" i="19" s="1"/>
  <c r="I346" i="19"/>
  <c r="J346" i="19" s="1"/>
  <c r="K346" i="19" s="1"/>
  <c r="I792" i="19"/>
  <c r="J792" i="19" s="1"/>
  <c r="K792" i="19" s="1"/>
  <c r="I640" i="19"/>
  <c r="J640" i="19" s="1"/>
  <c r="K640" i="19" s="1"/>
  <c r="I484" i="19"/>
  <c r="J484" i="19" s="1"/>
  <c r="K484" i="19" s="1"/>
  <c r="I387" i="19"/>
  <c r="J387" i="19" s="1"/>
  <c r="K387" i="19" s="1"/>
  <c r="I198" i="19"/>
  <c r="J198" i="19" s="1"/>
  <c r="K198" i="19" s="1"/>
  <c r="I474" i="19"/>
  <c r="J474" i="19" s="1"/>
  <c r="K474" i="19" s="1"/>
  <c r="I696" i="19"/>
  <c r="J696" i="19" s="1"/>
  <c r="K696" i="19" s="1"/>
  <c r="I262" i="19"/>
  <c r="J262" i="19" s="1"/>
  <c r="K262" i="19" s="1"/>
  <c r="I271" i="19"/>
  <c r="J271" i="19" s="1"/>
  <c r="K271" i="19" s="1"/>
  <c r="I749" i="19"/>
  <c r="J749" i="19" s="1"/>
  <c r="K749" i="19" s="1"/>
  <c r="I399" i="19"/>
  <c r="J399" i="19" s="1"/>
  <c r="K399" i="19" s="1"/>
  <c r="I394" i="19"/>
  <c r="J394" i="19" s="1"/>
  <c r="K394" i="19" s="1"/>
  <c r="I694" i="19"/>
  <c r="J694" i="19" s="1"/>
  <c r="K694" i="19" s="1"/>
  <c r="I275" i="19"/>
  <c r="J275" i="19" s="1"/>
  <c r="K275" i="19" s="1"/>
  <c r="I793" i="19"/>
  <c r="J793" i="19" s="1"/>
  <c r="K793" i="19" s="1"/>
  <c r="I731" i="19"/>
  <c r="J731" i="19" s="1"/>
  <c r="K731" i="19" s="1"/>
  <c r="I643" i="19"/>
  <c r="J643" i="19" s="1"/>
  <c r="K643" i="19" s="1"/>
  <c r="I652" i="19"/>
  <c r="J652" i="19" s="1"/>
  <c r="K652" i="19" s="1"/>
  <c r="I113" i="19"/>
  <c r="J113" i="19" s="1"/>
  <c r="K113" i="19" s="1"/>
  <c r="I609" i="19"/>
  <c r="J609" i="19" s="1"/>
  <c r="K609" i="19" s="1"/>
  <c r="I684" i="19"/>
  <c r="J684" i="19" s="1"/>
  <c r="K684" i="19" s="1"/>
  <c r="I102" i="19"/>
  <c r="J102" i="19" s="1"/>
  <c r="K102" i="19" s="1"/>
  <c r="I232" i="19"/>
  <c r="J232" i="19" s="1"/>
  <c r="K232" i="19" s="1"/>
  <c r="I101" i="19"/>
  <c r="J101" i="19" s="1"/>
  <c r="K101" i="19" s="1"/>
  <c r="I825" i="19"/>
  <c r="J825" i="19" s="1"/>
  <c r="K825" i="19" s="1"/>
  <c r="I398" i="19"/>
  <c r="J398" i="19" s="1"/>
  <c r="K398" i="19" s="1"/>
  <c r="I553" i="19"/>
  <c r="I787" i="19"/>
  <c r="J787" i="19" s="1"/>
  <c r="K787" i="19" s="1"/>
  <c r="I153" i="19"/>
  <c r="J153" i="19" s="1"/>
  <c r="K153" i="19" s="1"/>
  <c r="I568" i="19"/>
  <c r="J568" i="19" s="1"/>
  <c r="K568" i="19" s="1"/>
  <c r="I228" i="19"/>
  <c r="J228" i="19" s="1"/>
  <c r="K228" i="19" s="1"/>
  <c r="I574" i="19"/>
  <c r="J574" i="19" s="1"/>
  <c r="K574" i="19" s="1"/>
  <c r="I635" i="19"/>
  <c r="I347" i="19"/>
  <c r="J347" i="19" s="1"/>
  <c r="K347" i="19" s="1"/>
  <c r="I269" i="19"/>
  <c r="J269" i="19" s="1"/>
  <c r="K269" i="19" s="1"/>
  <c r="I738" i="19"/>
  <c r="J738" i="19" s="1"/>
  <c r="K738" i="19" s="1"/>
  <c r="I78" i="19"/>
  <c r="I59" i="19"/>
  <c r="I448" i="19"/>
  <c r="J448" i="19" s="1"/>
  <c r="K448" i="19" s="1"/>
  <c r="I386" i="19"/>
  <c r="J386" i="19" s="1"/>
  <c r="K386" i="19" s="1"/>
  <c r="I139" i="19"/>
  <c r="J139" i="19" s="1"/>
  <c r="K139" i="19" s="1"/>
  <c r="I67" i="19"/>
  <c r="I112" i="19"/>
  <c r="J112" i="19" s="1"/>
  <c r="K112" i="19" s="1"/>
  <c r="I685" i="19"/>
  <c r="J685" i="19" s="1"/>
  <c r="K685" i="19" s="1"/>
  <c r="I478" i="19"/>
  <c r="J478" i="19" s="1"/>
  <c r="K478" i="19" s="1"/>
  <c r="I190" i="19"/>
  <c r="I514" i="19"/>
  <c r="J514" i="19" s="1"/>
  <c r="K514" i="19" s="1"/>
  <c r="I321" i="19"/>
  <c r="J321" i="19" s="1"/>
  <c r="K321" i="19" s="1"/>
  <c r="I827" i="19"/>
  <c r="J827" i="19" s="1"/>
  <c r="K827" i="19" s="1"/>
  <c r="I603" i="19"/>
  <c r="J603" i="19" s="1"/>
  <c r="K603" i="19" s="1"/>
  <c r="I311" i="19"/>
  <c r="J311" i="19" s="1"/>
  <c r="K311" i="19" s="1"/>
  <c r="I784" i="19"/>
  <c r="J784" i="19" s="1"/>
  <c r="K784" i="19" s="1"/>
  <c r="I433" i="19"/>
  <c r="J433" i="19" s="1"/>
  <c r="K433" i="19" s="1"/>
  <c r="I383" i="19"/>
  <c r="J383" i="19" s="1"/>
  <c r="K383" i="19" s="1"/>
  <c r="I774" i="19"/>
  <c r="J774" i="19" s="1"/>
  <c r="K774" i="19" s="1"/>
  <c r="I358" i="19"/>
  <c r="J358" i="19" s="1"/>
  <c r="K358" i="19" s="1"/>
  <c r="I608" i="19"/>
  <c r="J608" i="19" s="1"/>
  <c r="K608" i="19" s="1"/>
  <c r="I470" i="19"/>
  <c r="J470" i="19" s="1"/>
  <c r="K470" i="19" s="1"/>
  <c r="I849" i="19"/>
  <c r="I391" i="19"/>
  <c r="J391" i="19" s="1"/>
  <c r="K391" i="19" s="1"/>
  <c r="I744" i="19"/>
  <c r="J744" i="19" s="1"/>
  <c r="K744" i="19" s="1"/>
  <c r="I733" i="19"/>
  <c r="J733" i="19" s="1"/>
  <c r="K733" i="19" s="1"/>
  <c r="I644" i="19"/>
  <c r="J644" i="19" s="1"/>
  <c r="K644" i="19" s="1"/>
  <c r="I266" i="19"/>
  <c r="J266" i="19" s="1"/>
  <c r="K266" i="19" s="1"/>
  <c r="I605" i="19"/>
  <c r="J605" i="19" s="1"/>
  <c r="K605" i="19" s="1"/>
  <c r="I681" i="19"/>
  <c r="J681" i="19" s="1"/>
  <c r="K681" i="19" s="1"/>
  <c r="I406" i="19"/>
  <c r="J406" i="19" s="1"/>
  <c r="K406" i="19" s="1"/>
  <c r="I824" i="19"/>
  <c r="J824" i="19" s="1"/>
  <c r="K824" i="19" s="1"/>
  <c r="I276" i="19"/>
  <c r="J276" i="19" s="1"/>
  <c r="K276" i="19" s="1"/>
  <c r="I108" i="19"/>
  <c r="J108" i="19" s="1"/>
  <c r="K108" i="19" s="1"/>
  <c r="I706" i="19"/>
  <c r="J706" i="19" s="1"/>
  <c r="K706" i="19" s="1"/>
  <c r="I468" i="19"/>
  <c r="J468" i="19" s="1"/>
  <c r="K468" i="19" s="1"/>
  <c r="I600" i="19"/>
  <c r="J600" i="19" s="1"/>
  <c r="K600" i="19" s="1"/>
  <c r="I688" i="19"/>
  <c r="J688" i="19" s="1"/>
  <c r="K688" i="19" s="1"/>
  <c r="I116" i="19"/>
  <c r="J116" i="19" s="1"/>
  <c r="K116" i="19" s="1"/>
  <c r="I695" i="19"/>
  <c r="J695" i="19" s="1"/>
  <c r="K695" i="19" s="1"/>
  <c r="I282" i="19"/>
  <c r="J282" i="19" s="1"/>
  <c r="K282" i="19" s="1"/>
  <c r="I64" i="19"/>
  <c r="I740" i="19"/>
  <c r="J740" i="19" s="1"/>
  <c r="K740" i="19" s="1"/>
  <c r="I74" i="19"/>
  <c r="I728" i="19"/>
  <c r="J728" i="19" s="1"/>
  <c r="K728" i="19" s="1"/>
  <c r="I353" i="19"/>
  <c r="J353" i="19" s="1"/>
  <c r="K353" i="19" s="1"/>
  <c r="I57" i="19"/>
  <c r="I324" i="19"/>
  <c r="J324" i="19" s="1"/>
  <c r="K324" i="19" s="1"/>
  <c r="I306" i="19"/>
  <c r="J306" i="19" s="1"/>
  <c r="K306" i="19" s="1"/>
  <c r="I571" i="19"/>
  <c r="J571" i="19" s="1"/>
  <c r="K571" i="19" s="1"/>
  <c r="I390" i="19"/>
  <c r="J390" i="19" s="1"/>
  <c r="K390" i="19" s="1"/>
  <c r="I687" i="19"/>
  <c r="J687" i="19" s="1"/>
  <c r="K687" i="19" s="1"/>
  <c r="I278" i="19"/>
  <c r="J278" i="19" s="1"/>
  <c r="K278" i="19" s="1"/>
  <c r="I778" i="19"/>
  <c r="J778" i="19" s="1"/>
  <c r="K778" i="19" s="1"/>
  <c r="I150" i="19"/>
  <c r="J150" i="19" s="1"/>
  <c r="K150" i="19" s="1"/>
  <c r="I645" i="19"/>
  <c r="J645" i="19" s="1"/>
  <c r="K645" i="19" s="1"/>
  <c r="I429" i="19"/>
  <c r="J429" i="19" s="1"/>
  <c r="K429" i="19" s="1"/>
  <c r="I151" i="19"/>
  <c r="J151" i="19" s="1"/>
  <c r="K151" i="19" s="1"/>
  <c r="I354" i="19"/>
  <c r="J354" i="19" s="1"/>
  <c r="K354" i="19" s="1"/>
  <c r="I599" i="19"/>
  <c r="J599" i="19" s="1"/>
  <c r="K599" i="19" s="1"/>
  <c r="I567" i="19"/>
  <c r="J567" i="19" s="1"/>
  <c r="K567" i="19" s="1"/>
  <c r="I192" i="19"/>
  <c r="J192" i="19" s="1"/>
  <c r="K192" i="19" s="1"/>
  <c r="I221" i="19"/>
  <c r="J221" i="19" s="1"/>
  <c r="K221" i="19" s="1"/>
  <c r="I520" i="19"/>
  <c r="J520" i="19" s="1"/>
  <c r="K520" i="19" s="1"/>
  <c r="I107" i="19"/>
  <c r="J107" i="19" s="1"/>
  <c r="K107" i="19" s="1"/>
  <c r="I636" i="19"/>
  <c r="J636" i="19" s="1"/>
  <c r="K636" i="19" s="1"/>
  <c r="I106" i="19"/>
  <c r="J106" i="19" s="1"/>
  <c r="K106" i="19" s="1"/>
  <c r="I467" i="19"/>
  <c r="J467" i="19" s="1"/>
  <c r="K467" i="19" s="1"/>
  <c r="I348" i="19"/>
  <c r="J348" i="19" s="1"/>
  <c r="K348" i="19" s="1"/>
  <c r="I196" i="19"/>
  <c r="J196" i="19" s="1"/>
  <c r="K196" i="19" s="1"/>
  <c r="I260" i="19"/>
  <c r="J260" i="19" s="1"/>
  <c r="K260" i="19" s="1"/>
  <c r="I475" i="19"/>
  <c r="J475" i="19" s="1"/>
  <c r="K475" i="19" s="1"/>
  <c r="I477" i="19"/>
  <c r="J477" i="19" s="1"/>
  <c r="K477" i="19" s="1"/>
  <c r="I138" i="19"/>
  <c r="J138" i="19" s="1"/>
  <c r="K138" i="19" s="1"/>
  <c r="I304" i="19"/>
  <c r="J304" i="19" s="1"/>
  <c r="K304" i="19" s="1"/>
  <c r="I606" i="19"/>
  <c r="J606" i="19" s="1"/>
  <c r="K606" i="19" s="1"/>
  <c r="I839" i="19"/>
  <c r="J839" i="19" s="1"/>
  <c r="K839" i="19" s="1"/>
  <c r="I224" i="19"/>
  <c r="J224" i="19" s="1"/>
  <c r="K224" i="19" s="1"/>
  <c r="I642" i="19"/>
  <c r="J642" i="19" s="1"/>
  <c r="K642" i="19" s="1"/>
  <c r="I319" i="19"/>
  <c r="J319" i="19" s="1"/>
  <c r="K319" i="19" s="1"/>
  <c r="I593" i="19"/>
  <c r="J593" i="19" s="1"/>
  <c r="K593" i="19" s="1"/>
  <c r="I280" i="19"/>
  <c r="J280" i="19" s="1"/>
  <c r="K280" i="19" s="1"/>
  <c r="I558" i="19"/>
  <c r="J558" i="19" s="1"/>
  <c r="K558" i="19" s="1"/>
  <c r="I322" i="19"/>
  <c r="J322" i="19" s="1"/>
  <c r="K322" i="19" s="1"/>
  <c r="I184" i="19"/>
  <c r="J184" i="19" s="1"/>
  <c r="K184" i="19" s="1"/>
  <c r="I614" i="19"/>
  <c r="J614" i="19" s="1"/>
  <c r="K614" i="19" s="1"/>
  <c r="I440" i="19"/>
  <c r="J440" i="19" s="1"/>
  <c r="K440" i="19" s="1"/>
  <c r="I512" i="19"/>
  <c r="J512" i="19" s="1"/>
  <c r="K512" i="19" s="1"/>
  <c r="I691" i="19"/>
  <c r="J691" i="19" s="1"/>
  <c r="K691" i="19" s="1"/>
  <c r="I469" i="19"/>
  <c r="I356" i="19"/>
  <c r="J356" i="19" s="1"/>
  <c r="K356" i="19" s="1"/>
  <c r="I704" i="19"/>
  <c r="J704" i="19" s="1"/>
  <c r="K704" i="19" s="1"/>
  <c r="I142" i="19"/>
  <c r="J142" i="19" s="1"/>
  <c r="K142" i="19" s="1"/>
  <c r="I302" i="19"/>
  <c r="J302" i="19" s="1"/>
  <c r="K302" i="19" s="1"/>
  <c r="I746" i="19"/>
  <c r="J746" i="19" s="1"/>
  <c r="K746" i="19" s="1"/>
  <c r="I742" i="19"/>
  <c r="J742" i="19" s="1"/>
  <c r="K742" i="19" s="1"/>
  <c r="I729" i="19"/>
  <c r="J729" i="19" s="1"/>
  <c r="K729" i="19" s="1"/>
  <c r="I114" i="19"/>
  <c r="J114" i="19" s="1"/>
  <c r="K114" i="19" s="1"/>
  <c r="I638" i="19"/>
  <c r="J638" i="19" s="1"/>
  <c r="K638" i="19" s="1"/>
  <c r="I230" i="19"/>
  <c r="J230" i="19" s="1"/>
  <c r="K230" i="19" s="1"/>
  <c r="I110" i="19"/>
  <c r="J110" i="19" s="1"/>
  <c r="K110" i="19" s="1"/>
  <c r="I524" i="19"/>
  <c r="J524" i="19" s="1"/>
  <c r="K524" i="19" s="1"/>
  <c r="I185" i="19"/>
  <c r="J185" i="19" s="1"/>
  <c r="K185" i="19" s="1"/>
  <c r="I72" i="19"/>
  <c r="I273" i="19"/>
  <c r="J273" i="19" s="1"/>
  <c r="K273" i="19" s="1"/>
  <c r="I362" i="19"/>
  <c r="J362" i="19" s="1"/>
  <c r="K362" i="19" s="1"/>
  <c r="I841" i="19"/>
  <c r="J841" i="19" s="1"/>
  <c r="K841" i="19" s="1"/>
  <c r="I144" i="19"/>
  <c r="J144" i="19" s="1"/>
  <c r="K144" i="19" s="1"/>
  <c r="I689" i="19"/>
  <c r="J689" i="19" s="1"/>
  <c r="K689" i="19" s="1"/>
  <c r="I697" i="19"/>
  <c r="J697" i="19" s="1"/>
  <c r="K697" i="19" s="1"/>
  <c r="I430" i="19"/>
  <c r="J430" i="19" s="1"/>
  <c r="K430" i="19" s="1"/>
  <c r="I707" i="19"/>
  <c r="I701" i="19"/>
  <c r="J701" i="19" s="1"/>
  <c r="K701" i="19" s="1"/>
  <c r="I613" i="19"/>
  <c r="J613" i="19" s="1"/>
  <c r="K613" i="19" s="1"/>
  <c r="I564" i="19"/>
  <c r="J564" i="19" s="1"/>
  <c r="K564" i="19" s="1"/>
  <c r="I847" i="19"/>
  <c r="I563" i="19"/>
  <c r="J563" i="19" s="1"/>
  <c r="K563" i="19" s="1"/>
  <c r="I515" i="19"/>
  <c r="J515" i="19" s="1"/>
  <c r="K515" i="19" s="1"/>
  <c r="I566" i="19"/>
  <c r="J566" i="19" s="1"/>
  <c r="K566" i="19" s="1"/>
  <c r="I486" i="19"/>
  <c r="J486" i="19" s="1"/>
  <c r="K486" i="19" s="1"/>
  <c r="I476" i="19"/>
  <c r="J476" i="19" s="1"/>
  <c r="K476" i="19" s="1"/>
  <c r="I389" i="19"/>
  <c r="J389" i="19" s="1"/>
  <c r="K389" i="19" s="1"/>
  <c r="I598" i="19"/>
  <c r="J598" i="19" s="1"/>
  <c r="K598" i="19" s="1"/>
  <c r="I788" i="19"/>
  <c r="J788" i="19" s="1"/>
  <c r="K788" i="19" s="1"/>
  <c r="I431" i="19"/>
  <c r="J431" i="19" s="1"/>
  <c r="K431" i="19" s="1"/>
  <c r="I400" i="19"/>
  <c r="J400" i="19" s="1"/>
  <c r="K400" i="19" s="1"/>
  <c r="I700" i="19"/>
  <c r="J700" i="19" s="1"/>
  <c r="K700" i="19" s="1"/>
  <c r="I70" i="19"/>
  <c r="I692" i="19"/>
  <c r="J692" i="19" s="1"/>
  <c r="K692" i="19" s="1"/>
  <c r="I404" i="19"/>
  <c r="J404" i="19" s="1"/>
  <c r="K404" i="19" s="1"/>
  <c r="I822" i="19"/>
  <c r="J822" i="19" s="1"/>
  <c r="K822" i="19" s="1"/>
  <c r="I188" i="19"/>
  <c r="J188" i="19" s="1"/>
  <c r="K188" i="19" s="1"/>
  <c r="I554" i="19"/>
  <c r="J554" i="19" s="1"/>
  <c r="K554" i="19" s="1"/>
  <c r="I522" i="19"/>
  <c r="J522" i="19" s="1"/>
  <c r="K522" i="19" s="1"/>
  <c r="I277" i="19"/>
  <c r="J277" i="19" s="1"/>
  <c r="K277" i="19" s="1"/>
  <c r="I532" i="19"/>
  <c r="J532" i="19" s="1"/>
  <c r="K532" i="19" s="1"/>
  <c r="I596" i="19"/>
  <c r="J596" i="19" s="1"/>
  <c r="K596" i="19" s="1"/>
  <c r="C61" i="13"/>
  <c r="C55" i="13"/>
  <c r="C54" i="13"/>
  <c r="C53" i="13"/>
  <c r="C52" i="13"/>
  <c r="C51" i="13"/>
  <c r="C50" i="13"/>
  <c r="C49" i="13"/>
  <c r="C48" i="13"/>
  <c r="C47" i="13"/>
  <c r="C46" i="13"/>
  <c r="C45" i="13"/>
  <c r="C44" i="13"/>
  <c r="C43" i="13"/>
  <c r="C39" i="13"/>
  <c r="C23" i="13"/>
  <c r="B22" i="13"/>
  <c r="B38" i="13" s="1"/>
  <c r="B55" i="13" s="1"/>
  <c r="B11" i="13"/>
  <c r="B44" i="13" s="1"/>
  <c r="B10" i="13"/>
  <c r="B43" i="13" s="1"/>
  <c r="J67" i="19" l="1"/>
  <c r="I18" i="19"/>
  <c r="J59" i="19"/>
  <c r="I10" i="19"/>
  <c r="J62" i="19"/>
  <c r="I13" i="19"/>
  <c r="J635" i="19"/>
  <c r="I662" i="19"/>
  <c r="F666" i="19" s="1"/>
  <c r="J818" i="19"/>
  <c r="I853" i="19"/>
  <c r="F857" i="19" s="1"/>
  <c r="J68" i="19"/>
  <c r="I19" i="19"/>
  <c r="J97" i="19"/>
  <c r="I119" i="19"/>
  <c r="F123" i="19" s="1"/>
  <c r="J427" i="19"/>
  <c r="I449" i="19"/>
  <c r="F453" i="19" s="1"/>
  <c r="I42" i="19"/>
  <c r="J852" i="19"/>
  <c r="J76" i="19"/>
  <c r="I29" i="19"/>
  <c r="J58" i="19"/>
  <c r="I9" i="19"/>
  <c r="J177" i="19"/>
  <c r="I201" i="19"/>
  <c r="F205" i="19" s="1"/>
  <c r="J659" i="19"/>
  <c r="I32" i="19"/>
  <c r="J660" i="19"/>
  <c r="I33" i="19"/>
  <c r="J70" i="19"/>
  <c r="I23" i="19"/>
  <c r="I37" i="19"/>
  <c r="J847" i="19"/>
  <c r="J707" i="19"/>
  <c r="I35" i="19"/>
  <c r="J72" i="19"/>
  <c r="I25" i="19"/>
  <c r="J74" i="19"/>
  <c r="I27" i="19"/>
  <c r="J66" i="19"/>
  <c r="I17" i="19"/>
  <c r="J850" i="19"/>
  <c r="I40" i="19"/>
  <c r="I38" i="19"/>
  <c r="J848" i="19"/>
  <c r="J61" i="19"/>
  <c r="I12" i="19"/>
  <c r="J385" i="19"/>
  <c r="I407" i="19"/>
  <c r="F411" i="19" s="1"/>
  <c r="J259" i="19"/>
  <c r="I283" i="19"/>
  <c r="F287" i="19" s="1"/>
  <c r="J137" i="19"/>
  <c r="I159" i="19"/>
  <c r="F163" i="19" s="1"/>
  <c r="I754" i="19"/>
  <c r="F758" i="19" s="1"/>
  <c r="J726" i="19"/>
  <c r="J469" i="19"/>
  <c r="I491" i="19"/>
  <c r="F495" i="19" s="1"/>
  <c r="J64" i="19"/>
  <c r="I15" i="19"/>
  <c r="J190" i="19"/>
  <c r="I21" i="19"/>
  <c r="J301" i="19"/>
  <c r="I325" i="19"/>
  <c r="F329" i="19" s="1"/>
  <c r="J511" i="19"/>
  <c r="I533" i="19"/>
  <c r="F537" i="19" s="1"/>
  <c r="J75" i="19"/>
  <c r="I28" i="19"/>
  <c r="J772" i="19"/>
  <c r="I800" i="19"/>
  <c r="F804" i="19" s="1"/>
  <c r="J851" i="19"/>
  <c r="I41" i="19"/>
  <c r="I36" i="19"/>
  <c r="J846" i="19"/>
  <c r="J71" i="19"/>
  <c r="I24" i="19"/>
  <c r="J77" i="19"/>
  <c r="I30" i="19"/>
  <c r="J78" i="19"/>
  <c r="I31" i="19"/>
  <c r="J60" i="19"/>
  <c r="I11" i="19"/>
  <c r="J69" i="19"/>
  <c r="I20" i="19"/>
  <c r="J680" i="19"/>
  <c r="I708" i="19"/>
  <c r="F712" i="19" s="1"/>
  <c r="J57" i="19"/>
  <c r="I8" i="19"/>
  <c r="I79" i="19"/>
  <c r="J849" i="19"/>
  <c r="I39" i="19"/>
  <c r="J553" i="19"/>
  <c r="I575" i="19"/>
  <c r="F579" i="19" s="1"/>
  <c r="J661" i="19"/>
  <c r="I34" i="19"/>
  <c r="J63" i="19"/>
  <c r="I14" i="19"/>
  <c r="J73" i="19"/>
  <c r="I26" i="19"/>
  <c r="J191" i="19"/>
  <c r="I22" i="19"/>
  <c r="J65" i="19"/>
  <c r="I16" i="19"/>
  <c r="J595" i="19"/>
  <c r="I617" i="19"/>
  <c r="F621" i="19" s="1"/>
  <c r="J219" i="19"/>
  <c r="I241" i="19"/>
  <c r="F245" i="19" s="1"/>
  <c r="J343" i="19"/>
  <c r="I365" i="19"/>
  <c r="F369" i="19" s="1"/>
  <c r="C56" i="13"/>
  <c r="B27" i="13"/>
  <c r="B26" i="13"/>
  <c r="F24" i="11"/>
  <c r="G21" i="11" s="1"/>
  <c r="J27" i="10"/>
  <c r="J29" i="10" s="1"/>
  <c r="L29" i="10" s="1"/>
  <c r="G72" i="10" s="1"/>
  <c r="J38" i="10"/>
  <c r="L38" i="10" s="1"/>
  <c r="J42" i="10"/>
  <c r="L42" i="10" s="1"/>
  <c r="L72" i="10"/>
  <c r="J20" i="10"/>
  <c r="J52" i="10" s="1"/>
  <c r="L52" i="10" s="1"/>
  <c r="Q89" i="10"/>
  <c r="T95" i="10" s="1"/>
  <c r="H36" i="11" s="1"/>
  <c r="H38" i="11" s="1"/>
  <c r="J38" i="11" s="1"/>
  <c r="F21" i="11" s="1"/>
  <c r="J64" i="10"/>
  <c r="J62" i="10"/>
  <c r="R61" i="10"/>
  <c r="J61" i="10"/>
  <c r="C61" i="10"/>
  <c r="M140" i="2"/>
  <c r="M34" i="2" s="1"/>
  <c r="N34" i="2" s="1"/>
  <c r="M134" i="2"/>
  <c r="M33" i="2" s="1"/>
  <c r="N33" i="2" s="1"/>
  <c r="M32" i="2"/>
  <c r="N32" i="2" s="1"/>
  <c r="N31" i="2"/>
  <c r="B119" i="2"/>
  <c r="B120" i="2" s="1"/>
  <c r="B122" i="2" s="1"/>
  <c r="B55" i="2" s="1"/>
  <c r="B18" i="2" s="1"/>
  <c r="M115" i="2"/>
  <c r="M25" i="2" s="1"/>
  <c r="L115" i="2"/>
  <c r="K115" i="2"/>
  <c r="J115" i="2"/>
  <c r="J25" i="2" s="1"/>
  <c r="I115" i="2"/>
  <c r="H115" i="2"/>
  <c r="G115" i="2"/>
  <c r="F115" i="2"/>
  <c r="F25" i="2" s="1"/>
  <c r="E115" i="2"/>
  <c r="E25" i="2" s="1"/>
  <c r="D115" i="2"/>
  <c r="C115" i="2"/>
  <c r="B115" i="2"/>
  <c r="B25" i="2" s="1"/>
  <c r="M111" i="2"/>
  <c r="L111" i="2"/>
  <c r="K111" i="2"/>
  <c r="K6" i="2" s="1"/>
  <c r="J111" i="2"/>
  <c r="J6" i="2" s="1"/>
  <c r="I111" i="2"/>
  <c r="I6" i="2" s="1"/>
  <c r="H111" i="2"/>
  <c r="G111" i="2"/>
  <c r="G6" i="2" s="1"/>
  <c r="F111" i="2"/>
  <c r="F6" i="2" s="1"/>
  <c r="E111" i="2"/>
  <c r="E6" i="2" s="1"/>
  <c r="D111" i="2"/>
  <c r="C111" i="2"/>
  <c r="C6" i="2" s="1"/>
  <c r="B111" i="2"/>
  <c r="M107" i="2"/>
  <c r="L107" i="2"/>
  <c r="K107" i="2"/>
  <c r="K29" i="2" s="1"/>
  <c r="J107" i="2"/>
  <c r="J29" i="2" s="1"/>
  <c r="I107" i="2"/>
  <c r="H107" i="2"/>
  <c r="G107" i="2"/>
  <c r="F107" i="2"/>
  <c r="F29" i="2" s="1"/>
  <c r="E107" i="2"/>
  <c r="D107" i="2"/>
  <c r="C107" i="2"/>
  <c r="C29" i="2" s="1"/>
  <c r="B107" i="2"/>
  <c r="B29" i="2" s="1"/>
  <c r="B104" i="2"/>
  <c r="B27" i="2" s="1"/>
  <c r="C94" i="2"/>
  <c r="C21" i="2" s="1"/>
  <c r="B82" i="2"/>
  <c r="B23" i="2" s="1"/>
  <c r="C76" i="2"/>
  <c r="C19" i="2" s="1"/>
  <c r="B76" i="2"/>
  <c r="B19" i="2" s="1"/>
  <c r="M73" i="2"/>
  <c r="L73" i="2"/>
  <c r="L4" i="2" s="1"/>
  <c r="K73" i="2"/>
  <c r="K4" i="2" s="1"/>
  <c r="J73" i="2"/>
  <c r="J4" i="2" s="1"/>
  <c r="I73" i="2"/>
  <c r="I4" i="2" s="1"/>
  <c r="H73" i="2"/>
  <c r="H4" i="2" s="1"/>
  <c r="G73" i="2"/>
  <c r="F73" i="2"/>
  <c r="F4" i="2" s="1"/>
  <c r="E73" i="2"/>
  <c r="E4" i="2" s="1"/>
  <c r="D73" i="2"/>
  <c r="D4" i="2" s="1"/>
  <c r="C73" i="2"/>
  <c r="C4" i="2" s="1"/>
  <c r="B73" i="2"/>
  <c r="B65" i="2"/>
  <c r="B13" i="2" s="1"/>
  <c r="B58" i="2"/>
  <c r="B15" i="2" s="1"/>
  <c r="M48" i="2"/>
  <c r="L48" i="2"/>
  <c r="K48" i="2"/>
  <c r="J48" i="2"/>
  <c r="I48" i="2"/>
  <c r="H48" i="2"/>
  <c r="G48" i="2"/>
  <c r="F48" i="2"/>
  <c r="E48" i="2"/>
  <c r="D48" i="2"/>
  <c r="C48" i="2"/>
  <c r="B48" i="2"/>
  <c r="M45" i="2"/>
  <c r="M10" i="2" s="1"/>
  <c r="L45" i="2"/>
  <c r="L10" i="2" s="1"/>
  <c r="K45" i="2"/>
  <c r="K10" i="2" s="1"/>
  <c r="J45" i="2"/>
  <c r="J10" i="2" s="1"/>
  <c r="I45" i="2"/>
  <c r="I10" i="2" s="1"/>
  <c r="H45" i="2"/>
  <c r="H10" i="2" s="1"/>
  <c r="G45" i="2"/>
  <c r="G10" i="2" s="1"/>
  <c r="F45" i="2"/>
  <c r="F10" i="2" s="1"/>
  <c r="E45" i="2"/>
  <c r="D45" i="2"/>
  <c r="C45" i="2"/>
  <c r="C10" i="2" s="1"/>
  <c r="B45" i="2"/>
  <c r="B10" i="2" s="1"/>
  <c r="M4" i="2"/>
  <c r="C5" i="2"/>
  <c r="M6" i="2"/>
  <c r="C26" i="2"/>
  <c r="M29" i="2"/>
  <c r="L6" i="2"/>
  <c r="L25" i="2"/>
  <c r="L29" i="2"/>
  <c r="K25" i="2"/>
  <c r="I25" i="2"/>
  <c r="I29" i="2"/>
  <c r="H6" i="2"/>
  <c r="H25" i="2"/>
  <c r="H29" i="2"/>
  <c r="G4" i="2"/>
  <c r="G25" i="2"/>
  <c r="G29" i="2"/>
  <c r="E10" i="2"/>
  <c r="E29" i="2"/>
  <c r="D6" i="2"/>
  <c r="D10" i="2"/>
  <c r="D25" i="2"/>
  <c r="D29" i="2"/>
  <c r="C25" i="2"/>
  <c r="B4" i="2"/>
  <c r="B6" i="2"/>
  <c r="B21" i="2"/>
  <c r="A120" i="2"/>
  <c r="A122" i="3"/>
  <c r="I43" i="19" l="1"/>
  <c r="K219" i="19"/>
  <c r="K241" i="19" s="1"/>
  <c r="J241" i="19"/>
  <c r="J16" i="19"/>
  <c r="K65" i="19"/>
  <c r="K16" i="19" s="1"/>
  <c r="J26" i="19"/>
  <c r="K73" i="19"/>
  <c r="K26" i="19" s="1"/>
  <c r="J34" i="19"/>
  <c r="K661" i="19"/>
  <c r="K34" i="19" s="1"/>
  <c r="J39" i="19"/>
  <c r="K849" i="19"/>
  <c r="K39" i="19" s="1"/>
  <c r="G712" i="19"/>
  <c r="G713" i="19" s="1"/>
  <c r="H713" i="19"/>
  <c r="J36" i="19"/>
  <c r="K846" i="19"/>
  <c r="K36" i="19" s="1"/>
  <c r="G804" i="19"/>
  <c r="G805" i="19" s="1"/>
  <c r="H805" i="19"/>
  <c r="G537" i="19"/>
  <c r="G538" i="19" s="1"/>
  <c r="H538" i="19"/>
  <c r="H496" i="19"/>
  <c r="G495" i="19"/>
  <c r="G496" i="19" s="1"/>
  <c r="G163" i="19"/>
  <c r="G164" i="19" s="1"/>
  <c r="H164" i="19"/>
  <c r="G411" i="19"/>
  <c r="G412" i="19" s="1"/>
  <c r="H412" i="19"/>
  <c r="J38" i="19"/>
  <c r="K848" i="19"/>
  <c r="K38" i="19" s="1"/>
  <c r="K847" i="19"/>
  <c r="K37" i="19" s="1"/>
  <c r="J37" i="19"/>
  <c r="H206" i="19"/>
  <c r="G205" i="19"/>
  <c r="G206" i="19" s="1"/>
  <c r="H454" i="19"/>
  <c r="G453" i="19"/>
  <c r="G454" i="19" s="1"/>
  <c r="G666" i="19"/>
  <c r="G667" i="19" s="1"/>
  <c r="H667" i="19"/>
  <c r="G369" i="19"/>
  <c r="G370" i="19" s="1"/>
  <c r="H370" i="19"/>
  <c r="H622" i="19"/>
  <c r="G621" i="19"/>
  <c r="G622" i="19" s="1"/>
  <c r="H580" i="19"/>
  <c r="G579" i="19"/>
  <c r="G580" i="19" s="1"/>
  <c r="F83" i="19"/>
  <c r="I867" i="19"/>
  <c r="K680" i="19"/>
  <c r="K708" i="19" s="1"/>
  <c r="J708" i="19"/>
  <c r="K60" i="19"/>
  <c r="K11" i="19" s="1"/>
  <c r="J11" i="19"/>
  <c r="K77" i="19"/>
  <c r="K30" i="19" s="1"/>
  <c r="J30" i="19"/>
  <c r="J800" i="19"/>
  <c r="K772" i="19"/>
  <c r="K800" i="19" s="1"/>
  <c r="J533" i="19"/>
  <c r="K511" i="19"/>
  <c r="K533" i="19" s="1"/>
  <c r="J21" i="19"/>
  <c r="K190" i="19"/>
  <c r="K21" i="19" s="1"/>
  <c r="K469" i="19"/>
  <c r="K491" i="19" s="1"/>
  <c r="J491" i="19"/>
  <c r="J159" i="19"/>
  <c r="K137" i="19"/>
  <c r="K159" i="19" s="1"/>
  <c r="J407" i="19"/>
  <c r="K385" i="19"/>
  <c r="K407" i="19" s="1"/>
  <c r="J17" i="19"/>
  <c r="K66" i="19"/>
  <c r="K17" i="19" s="1"/>
  <c r="K72" i="19"/>
  <c r="K25" i="19" s="1"/>
  <c r="J25" i="19"/>
  <c r="J33" i="19"/>
  <c r="K660" i="19"/>
  <c r="K33" i="19" s="1"/>
  <c r="J201" i="19"/>
  <c r="K177" i="19"/>
  <c r="J29" i="19"/>
  <c r="K76" i="19"/>
  <c r="K29" i="19" s="1"/>
  <c r="J449" i="19"/>
  <c r="K427" i="19"/>
  <c r="K449" i="19" s="1"/>
  <c r="K68" i="19"/>
  <c r="K19" i="19" s="1"/>
  <c r="J19" i="19"/>
  <c r="K635" i="19"/>
  <c r="J662" i="19"/>
  <c r="J10" i="19"/>
  <c r="K59" i="19"/>
  <c r="J365" i="19"/>
  <c r="K343" i="19"/>
  <c r="K365" i="19" s="1"/>
  <c r="J617" i="19"/>
  <c r="K595" i="19"/>
  <c r="K617" i="19" s="1"/>
  <c r="K191" i="19"/>
  <c r="K22" i="19" s="1"/>
  <c r="J22" i="19"/>
  <c r="J14" i="19"/>
  <c r="K63" i="19"/>
  <c r="K14" i="19" s="1"/>
  <c r="K553" i="19"/>
  <c r="K575" i="19" s="1"/>
  <c r="J575" i="19"/>
  <c r="H330" i="19"/>
  <c r="G329" i="19"/>
  <c r="G330" i="19" s="1"/>
  <c r="J754" i="19"/>
  <c r="K726" i="19"/>
  <c r="H288" i="19"/>
  <c r="G287" i="19"/>
  <c r="G288" i="19" s="1"/>
  <c r="K852" i="19"/>
  <c r="K42" i="19" s="1"/>
  <c r="J42" i="19"/>
  <c r="G123" i="19"/>
  <c r="G124" i="19" s="1"/>
  <c r="H124" i="19"/>
  <c r="H858" i="19"/>
  <c r="G857" i="19"/>
  <c r="G858" i="19" s="1"/>
  <c r="G245" i="19"/>
  <c r="G246" i="19" s="1"/>
  <c r="H246" i="19"/>
  <c r="K57" i="19"/>
  <c r="J79" i="19"/>
  <c r="J8" i="19"/>
  <c r="J20" i="19"/>
  <c r="K69" i="19"/>
  <c r="K20" i="19" s="1"/>
  <c r="J31" i="19"/>
  <c r="K78" i="19"/>
  <c r="K31" i="19" s="1"/>
  <c r="K71" i="19"/>
  <c r="K24" i="19" s="1"/>
  <c r="J24" i="19"/>
  <c r="K851" i="19"/>
  <c r="K41" i="19" s="1"/>
  <c r="J41" i="19"/>
  <c r="K75" i="19"/>
  <c r="K28" i="19" s="1"/>
  <c r="J28" i="19"/>
  <c r="K301" i="19"/>
  <c r="K325" i="19" s="1"/>
  <c r="J325" i="19"/>
  <c r="J15" i="19"/>
  <c r="K64" i="19"/>
  <c r="K15" i="19" s="1"/>
  <c r="H759" i="19"/>
  <c r="G758" i="19"/>
  <c r="G759" i="19" s="1"/>
  <c r="J283" i="19"/>
  <c r="K259" i="19"/>
  <c r="K283" i="19" s="1"/>
  <c r="K61" i="19"/>
  <c r="K12" i="19" s="1"/>
  <c r="J12" i="19"/>
  <c r="J40" i="19"/>
  <c r="K850" i="19"/>
  <c r="K40" i="19" s="1"/>
  <c r="K74" i="19"/>
  <c r="K27" i="19" s="1"/>
  <c r="J27" i="19"/>
  <c r="K707" i="19"/>
  <c r="K35" i="19" s="1"/>
  <c r="J35" i="19"/>
  <c r="J23" i="19"/>
  <c r="K70" i="19"/>
  <c r="K23" i="19" s="1"/>
  <c r="K659" i="19"/>
  <c r="K32" i="19" s="1"/>
  <c r="J32" i="19"/>
  <c r="K58" i="19"/>
  <c r="K9" i="19" s="1"/>
  <c r="J9" i="19"/>
  <c r="J119" i="19"/>
  <c r="K97" i="19"/>
  <c r="K119" i="19" s="1"/>
  <c r="K818" i="19"/>
  <c r="K853" i="19" s="1"/>
  <c r="J853" i="19"/>
  <c r="K62" i="19"/>
  <c r="K13" i="19" s="1"/>
  <c r="J13" i="19"/>
  <c r="K67" i="19"/>
  <c r="K18" i="19" s="1"/>
  <c r="J18" i="19"/>
  <c r="D26" i="2"/>
  <c r="E26" i="2" s="1"/>
  <c r="F26" i="2" s="1"/>
  <c r="G26" i="2" s="1"/>
  <c r="H26" i="2" s="1"/>
  <c r="I26" i="2" s="1"/>
  <c r="J26" i="2" s="1"/>
  <c r="K26" i="2" s="1"/>
  <c r="L26" i="2" s="1"/>
  <c r="M26" i="2" s="1"/>
  <c r="D5" i="2"/>
  <c r="E5" i="2" s="1"/>
  <c r="F5" i="2" s="1"/>
  <c r="G5" i="2" s="1"/>
  <c r="H5" i="2" s="1"/>
  <c r="I5" i="2" s="1"/>
  <c r="J5" i="2" s="1"/>
  <c r="K5" i="2" s="1"/>
  <c r="L5" i="2" s="1"/>
  <c r="M5" i="2" s="1"/>
  <c r="N6" i="2"/>
  <c r="N4" i="2"/>
  <c r="N29" i="2"/>
  <c r="N25" i="2"/>
  <c r="B17" i="2"/>
  <c r="N10" i="2"/>
  <c r="D7" i="16"/>
  <c r="O22" i="11"/>
  <c r="C119" i="2"/>
  <c r="C104" i="2"/>
  <c r="C27" i="2" s="1"/>
  <c r="C82" i="2"/>
  <c r="C23" i="2" s="1"/>
  <c r="C65" i="2"/>
  <c r="C13" i="2" s="1"/>
  <c r="C58" i="2"/>
  <c r="C15" i="2" s="1"/>
  <c r="F15" i="5"/>
  <c r="F17" i="6"/>
  <c r="J33" i="10"/>
  <c r="J34" i="10" s="1"/>
  <c r="L34" i="10" s="1"/>
  <c r="L44" i="10" s="1"/>
  <c r="I72" i="10" s="1"/>
  <c r="D58" i="2"/>
  <c r="D15" i="2" s="1"/>
  <c r="D76" i="2"/>
  <c r="D19" i="2" s="1"/>
  <c r="D94" i="2"/>
  <c r="D21" i="2" s="1"/>
  <c r="B39" i="2"/>
  <c r="D82" i="2"/>
  <c r="D23" i="2" s="1"/>
  <c r="D65" i="2"/>
  <c r="D13" i="2" s="1"/>
  <c r="D104" i="2"/>
  <c r="D27" i="2" s="1"/>
  <c r="D119" i="2"/>
  <c r="H72" i="10"/>
  <c r="J48" i="10"/>
  <c r="L48" i="10" s="1"/>
  <c r="L54" i="10" s="1"/>
  <c r="M72" i="10" s="1"/>
  <c r="G24" i="11"/>
  <c r="J867" i="19" l="1"/>
  <c r="K201" i="19"/>
  <c r="D7" i="8"/>
  <c r="K8" i="19"/>
  <c r="K754" i="19"/>
  <c r="K662" i="19"/>
  <c r="K10" i="19"/>
  <c r="K79" i="19"/>
  <c r="J43" i="19"/>
  <c r="G83" i="19"/>
  <c r="G84" i="19" s="1"/>
  <c r="H84" i="19"/>
  <c r="H8" i="5"/>
  <c r="H12" i="5"/>
  <c r="H13" i="5"/>
  <c r="H9" i="5"/>
  <c r="H10" i="5"/>
  <c r="H7" i="5"/>
  <c r="H11" i="5"/>
  <c r="N26" i="2"/>
  <c r="N5" i="2"/>
  <c r="H11" i="6"/>
  <c r="C120" i="2"/>
  <c r="C122" i="2" s="1"/>
  <c r="C55" i="2" s="1"/>
  <c r="C18" i="2" s="1"/>
  <c r="C17" i="2"/>
  <c r="H14" i="5"/>
  <c r="H6" i="5"/>
  <c r="H9" i="6"/>
  <c r="H6" i="6"/>
  <c r="H10" i="6"/>
  <c r="H8" i="6"/>
  <c r="H5" i="6"/>
  <c r="H7" i="6"/>
  <c r="J44" i="10"/>
  <c r="E104" i="2"/>
  <c r="E27" i="2" s="1"/>
  <c r="E94" i="2"/>
  <c r="E21" i="2" s="1"/>
  <c r="E58" i="2"/>
  <c r="E15" i="2" s="1"/>
  <c r="N72" i="10"/>
  <c r="D120" i="2"/>
  <c r="D122" i="2" s="1"/>
  <c r="D55" i="2" s="1"/>
  <c r="D18" i="2" s="1"/>
  <c r="D17" i="2"/>
  <c r="E65" i="2"/>
  <c r="E13" i="2" s="1"/>
  <c r="E82" i="2"/>
  <c r="E23" i="2" s="1"/>
  <c r="J72" i="10"/>
  <c r="K72" i="10" s="1"/>
  <c r="B39" i="3"/>
  <c r="D39" i="3" s="1"/>
  <c r="E119" i="2"/>
  <c r="E76" i="2"/>
  <c r="E19" i="2" s="1"/>
  <c r="K865" i="19" l="1"/>
  <c r="G863" i="19"/>
  <c r="G864" i="19" s="1"/>
  <c r="H864" i="19"/>
  <c r="K43" i="19"/>
  <c r="K867" i="19"/>
  <c r="C39" i="2"/>
  <c r="H15" i="5"/>
  <c r="H17" i="6"/>
  <c r="P72" i="10"/>
  <c r="R72" i="10" s="1"/>
  <c r="E120" i="2"/>
  <c r="E122" i="2" s="1"/>
  <c r="E55" i="2" s="1"/>
  <c r="E18" i="2" s="1"/>
  <c r="E17" i="2"/>
  <c r="F65" i="2"/>
  <c r="F13" i="2" s="1"/>
  <c r="F76" i="2"/>
  <c r="F19" i="2" s="1"/>
  <c r="F119" i="2"/>
  <c r="F58" i="2"/>
  <c r="F15" i="2" s="1"/>
  <c r="F82" i="2"/>
  <c r="F23" i="2" s="1"/>
  <c r="D39" i="2"/>
  <c r="F104" i="2"/>
  <c r="F27" i="2" s="1"/>
  <c r="F94" i="2"/>
  <c r="F21" i="2" s="1"/>
  <c r="K871" i="19" l="1"/>
  <c r="E39" i="2"/>
  <c r="R89" i="10"/>
  <c r="P89" i="10"/>
  <c r="H40" i="11" s="1"/>
  <c r="H42" i="11" s="1"/>
  <c r="J42" i="11" s="1"/>
  <c r="H21" i="11" s="1"/>
  <c r="G58" i="2"/>
  <c r="G15" i="2" s="1"/>
  <c r="G119" i="2"/>
  <c r="G82" i="2"/>
  <c r="G23" i="2" s="1"/>
  <c r="G94" i="2"/>
  <c r="G21" i="2" s="1"/>
  <c r="G104" i="2"/>
  <c r="G27" i="2" s="1"/>
  <c r="G76" i="2"/>
  <c r="G19" i="2" s="1"/>
  <c r="F120" i="2"/>
  <c r="F122" i="2" s="1"/>
  <c r="F55" i="2" s="1"/>
  <c r="F18" i="2" s="1"/>
  <c r="F17" i="2"/>
  <c r="G65" i="2"/>
  <c r="G13" i="2" s="1"/>
  <c r="E12" i="16" l="1"/>
  <c r="D5" i="16"/>
  <c r="E9" i="16" s="1"/>
  <c r="O21" i="11"/>
  <c r="O23" i="11" s="1"/>
  <c r="H24" i="11"/>
  <c r="I21" i="11"/>
  <c r="P91" i="10"/>
  <c r="H65" i="2"/>
  <c r="H13" i="2" s="1"/>
  <c r="H104" i="2"/>
  <c r="H27" i="2" s="1"/>
  <c r="H58" i="2"/>
  <c r="H15" i="2" s="1"/>
  <c r="H82" i="2"/>
  <c r="H23" i="2" s="1"/>
  <c r="G17" i="2"/>
  <c r="G120" i="2"/>
  <c r="G122" i="2" s="1"/>
  <c r="G55" i="2" s="1"/>
  <c r="G18" i="2" s="1"/>
  <c r="F39" i="2"/>
  <c r="H76" i="2"/>
  <c r="H19" i="2" s="1"/>
  <c r="H94" i="2"/>
  <c r="H21" i="2" s="1"/>
  <c r="H119" i="2"/>
  <c r="J21" i="11" l="1"/>
  <c r="K21" i="11" s="1"/>
  <c r="K26" i="11" s="1"/>
  <c r="I26" i="11"/>
  <c r="G39" i="2"/>
  <c r="I94" i="2"/>
  <c r="I21" i="2" s="1"/>
  <c r="I104" i="2"/>
  <c r="I27" i="2" s="1"/>
  <c r="H120" i="2"/>
  <c r="H122" i="2" s="1"/>
  <c r="H55" i="2" s="1"/>
  <c r="H18" i="2" s="1"/>
  <c r="H17" i="2"/>
  <c r="I119" i="2"/>
  <c r="I76" i="2"/>
  <c r="I19" i="2" s="1"/>
  <c r="I58" i="2"/>
  <c r="I15" i="2" s="1"/>
  <c r="I82" i="2"/>
  <c r="I23" i="2" s="1"/>
  <c r="I65" i="2"/>
  <c r="I13" i="2" s="1"/>
  <c r="L21" i="11" l="1"/>
  <c r="L26" i="11" s="1"/>
  <c r="I120" i="2"/>
  <c r="I122" i="2" s="1"/>
  <c r="I55" i="2" s="1"/>
  <c r="I18" i="2" s="1"/>
  <c r="I17" i="2"/>
  <c r="J82" i="2"/>
  <c r="J23" i="2" s="1"/>
  <c r="J58" i="2"/>
  <c r="J15" i="2" s="1"/>
  <c r="J119" i="2"/>
  <c r="J104" i="2"/>
  <c r="J27" i="2" s="1"/>
  <c r="J65" i="2"/>
  <c r="J13" i="2" s="1"/>
  <c r="J76" i="2"/>
  <c r="J19" i="2" s="1"/>
  <c r="H39" i="2"/>
  <c r="J94" i="2"/>
  <c r="J21" i="2" s="1"/>
  <c r="I39" i="2" l="1"/>
  <c r="K94" i="2"/>
  <c r="K21" i="2" s="1"/>
  <c r="J120" i="2"/>
  <c r="J122" i="2" s="1"/>
  <c r="J55" i="2" s="1"/>
  <c r="J18" i="2" s="1"/>
  <c r="J17" i="2"/>
  <c r="K76" i="2"/>
  <c r="K19" i="2" s="1"/>
  <c r="K119" i="2"/>
  <c r="K82" i="2"/>
  <c r="K23" i="2" s="1"/>
  <c r="K104" i="2"/>
  <c r="K27" i="2" s="1"/>
  <c r="K58" i="2"/>
  <c r="K15" i="2" s="1"/>
  <c r="K65" i="2"/>
  <c r="K13" i="2" s="1"/>
  <c r="M82" i="2" l="1"/>
  <c r="M23" i="2" s="1"/>
  <c r="L82" i="2"/>
  <c r="L23" i="2" s="1"/>
  <c r="M76" i="2"/>
  <c r="M19" i="2" s="1"/>
  <c r="L76" i="2"/>
  <c r="L19" i="2" s="1"/>
  <c r="L65" i="2"/>
  <c r="L13" i="2" s="1"/>
  <c r="M65" i="2"/>
  <c r="M13" i="2" s="1"/>
  <c r="N13" i="2" s="1"/>
  <c r="M104" i="2"/>
  <c r="M27" i="2" s="1"/>
  <c r="N27" i="2" s="1"/>
  <c r="L104" i="2"/>
  <c r="L27" i="2" s="1"/>
  <c r="K17" i="2"/>
  <c r="K120" i="2"/>
  <c r="K122" i="2" s="1"/>
  <c r="K55" i="2" s="1"/>
  <c r="K18" i="2" s="1"/>
  <c r="M58" i="2"/>
  <c r="M15" i="2" s="1"/>
  <c r="L58" i="2"/>
  <c r="L15" i="2" s="1"/>
  <c r="M119" i="2"/>
  <c r="L119" i="2"/>
  <c r="J39" i="2"/>
  <c r="M94" i="2"/>
  <c r="M21" i="2" s="1"/>
  <c r="N21" i="2" s="1"/>
  <c r="L94" i="2"/>
  <c r="L21" i="2" s="1"/>
  <c r="N15" i="2" l="1"/>
  <c r="N19" i="2"/>
  <c r="N23" i="2"/>
  <c r="L120" i="2"/>
  <c r="L122" i="2" s="1"/>
  <c r="L55" i="2" s="1"/>
  <c r="L18" i="2" s="1"/>
  <c r="L17" i="2"/>
  <c r="K39" i="2"/>
  <c r="M120" i="2"/>
  <c r="M122" i="2" s="1"/>
  <c r="M55" i="2" s="1"/>
  <c r="M18" i="2" s="1"/>
  <c r="N18" i="2" s="1"/>
  <c r="M17" i="2"/>
  <c r="N17" i="2" l="1"/>
  <c r="L39" i="2"/>
  <c r="M39" i="2"/>
  <c r="N39" i="2" l="1"/>
  <c r="E9" i="8" l="1"/>
  <c r="C25" i="6" l="1"/>
  <c r="C23" i="5"/>
  <c r="B24" i="5" s="1"/>
  <c r="C24" i="5" l="1"/>
  <c r="B25" i="5" s="1"/>
  <c r="B26" i="6"/>
  <c r="C25" i="5" l="1"/>
  <c r="B26" i="5" s="1"/>
  <c r="C26" i="6"/>
  <c r="C26" i="5" l="1"/>
  <c r="B27" i="5" s="1"/>
  <c r="B27" i="6"/>
  <c r="C27" i="6" l="1"/>
  <c r="B28" i="6" s="1"/>
  <c r="C27" i="5"/>
  <c r="B28" i="5" s="1"/>
  <c r="C28" i="5" l="1"/>
  <c r="B29" i="5" s="1"/>
  <c r="C28" i="6"/>
  <c r="B29" i="6" s="1"/>
  <c r="C29" i="6" l="1"/>
  <c r="B30" i="6" s="1"/>
  <c r="C29" i="5"/>
  <c r="B30" i="5" s="1"/>
  <c r="C30" i="5" s="1"/>
  <c r="C31" i="5" s="1"/>
  <c r="B5" i="5" s="1"/>
  <c r="J14" i="5" l="1"/>
  <c r="J10" i="5"/>
  <c r="J8" i="5"/>
  <c r="J12" i="5"/>
  <c r="J7" i="5"/>
  <c r="J13" i="5"/>
  <c r="J11" i="5"/>
  <c r="J9" i="5"/>
  <c r="J6" i="5"/>
  <c r="C30" i="6"/>
  <c r="B31" i="6" s="1"/>
  <c r="L819" i="19" l="1"/>
  <c r="M819" i="19" s="1"/>
  <c r="L823" i="19"/>
  <c r="M823" i="19" s="1"/>
  <c r="L827" i="19"/>
  <c r="M827" i="19" s="1"/>
  <c r="L831" i="19"/>
  <c r="M831" i="19" s="1"/>
  <c r="L835" i="19"/>
  <c r="M835" i="19" s="1"/>
  <c r="L839" i="19"/>
  <c r="M839" i="19" s="1"/>
  <c r="L843" i="19"/>
  <c r="M843" i="19" s="1"/>
  <c r="L847" i="19"/>
  <c r="L851" i="19"/>
  <c r="L826" i="19"/>
  <c r="M826" i="19" s="1"/>
  <c r="L850" i="19"/>
  <c r="L820" i="19"/>
  <c r="M820" i="19" s="1"/>
  <c r="L824" i="19"/>
  <c r="M824" i="19" s="1"/>
  <c r="L828" i="19"/>
  <c r="M828" i="19" s="1"/>
  <c r="L832" i="19"/>
  <c r="M832" i="19" s="1"/>
  <c r="L836" i="19"/>
  <c r="M836" i="19" s="1"/>
  <c r="L840" i="19"/>
  <c r="M840" i="19" s="1"/>
  <c r="L844" i="19"/>
  <c r="M844" i="19" s="1"/>
  <c r="L848" i="19"/>
  <c r="L852" i="19"/>
  <c r="L830" i="19"/>
  <c r="M830" i="19" s="1"/>
  <c r="L834" i="19"/>
  <c r="M834" i="19" s="1"/>
  <c r="L842" i="19"/>
  <c r="M842" i="19" s="1"/>
  <c r="L821" i="19"/>
  <c r="M821" i="19" s="1"/>
  <c r="L825" i="19"/>
  <c r="M825" i="19" s="1"/>
  <c r="L829" i="19"/>
  <c r="M829" i="19" s="1"/>
  <c r="L833" i="19"/>
  <c r="M833" i="19" s="1"/>
  <c r="L837" i="19"/>
  <c r="M837" i="19" s="1"/>
  <c r="L841" i="19"/>
  <c r="M841" i="19" s="1"/>
  <c r="L845" i="19"/>
  <c r="M845" i="19" s="1"/>
  <c r="L849" i="19"/>
  <c r="L818" i="19"/>
  <c r="L822" i="19"/>
  <c r="M822" i="19" s="1"/>
  <c r="L838" i="19"/>
  <c r="M838" i="19" s="1"/>
  <c r="L846" i="19"/>
  <c r="L141" i="19"/>
  <c r="L145" i="19"/>
  <c r="L149" i="19"/>
  <c r="L153" i="19"/>
  <c r="L157" i="19"/>
  <c r="L138" i="19"/>
  <c r="L142" i="19"/>
  <c r="L146" i="19"/>
  <c r="L150" i="19"/>
  <c r="L154" i="19"/>
  <c r="L158" i="19"/>
  <c r="L139" i="19"/>
  <c r="L143" i="19"/>
  <c r="L147" i="19"/>
  <c r="L151" i="19"/>
  <c r="L155" i="19"/>
  <c r="L137" i="19"/>
  <c r="L144" i="19"/>
  <c r="L148" i="19"/>
  <c r="L152" i="19"/>
  <c r="L140" i="19"/>
  <c r="L156" i="19"/>
  <c r="L429" i="19"/>
  <c r="M429" i="19" s="1"/>
  <c r="L433" i="19"/>
  <c r="M433" i="19" s="1"/>
  <c r="L437" i="19"/>
  <c r="M437" i="19" s="1"/>
  <c r="L441" i="19"/>
  <c r="M441" i="19" s="1"/>
  <c r="L445" i="19"/>
  <c r="M445" i="19" s="1"/>
  <c r="L425" i="19"/>
  <c r="M425" i="19" s="1"/>
  <c r="L426" i="19"/>
  <c r="M426" i="19" s="1"/>
  <c r="L430" i="19"/>
  <c r="M430" i="19" s="1"/>
  <c r="L434" i="19"/>
  <c r="M434" i="19" s="1"/>
  <c r="L438" i="19"/>
  <c r="M438" i="19" s="1"/>
  <c r="L442" i="19"/>
  <c r="M442" i="19" s="1"/>
  <c r="L446" i="19"/>
  <c r="M446" i="19" s="1"/>
  <c r="L427" i="19"/>
  <c r="L431" i="19"/>
  <c r="M431" i="19" s="1"/>
  <c r="L435" i="19"/>
  <c r="M435" i="19" s="1"/>
  <c r="L439" i="19"/>
  <c r="M439" i="19" s="1"/>
  <c r="L443" i="19"/>
  <c r="M443" i="19" s="1"/>
  <c r="L447" i="19"/>
  <c r="M447" i="19" s="1"/>
  <c r="L428" i="19"/>
  <c r="M428" i="19" s="1"/>
  <c r="L444" i="19"/>
  <c r="M444" i="19" s="1"/>
  <c r="L432" i="19"/>
  <c r="M432" i="19" s="1"/>
  <c r="L448" i="19"/>
  <c r="M448" i="19" s="1"/>
  <c r="L436" i="19"/>
  <c r="M436" i="19" s="1"/>
  <c r="L440" i="19"/>
  <c r="M440" i="19" s="1"/>
  <c r="L99" i="19"/>
  <c r="L103" i="19"/>
  <c r="L107" i="19"/>
  <c r="L111" i="19"/>
  <c r="L115" i="19"/>
  <c r="L97" i="19"/>
  <c r="L100" i="19"/>
  <c r="L104" i="19"/>
  <c r="L108" i="19"/>
  <c r="L112" i="19"/>
  <c r="L116" i="19"/>
  <c r="L101" i="19"/>
  <c r="L105" i="19"/>
  <c r="L109" i="19"/>
  <c r="L113" i="19"/>
  <c r="L117" i="19"/>
  <c r="L98" i="19"/>
  <c r="L114" i="19"/>
  <c r="L102" i="19"/>
  <c r="L118" i="19"/>
  <c r="L106" i="19"/>
  <c r="L110" i="19"/>
  <c r="L387" i="19"/>
  <c r="M387" i="19" s="1"/>
  <c r="L391" i="19"/>
  <c r="M391" i="19" s="1"/>
  <c r="L395" i="19"/>
  <c r="M395" i="19" s="1"/>
  <c r="L399" i="19"/>
  <c r="M399" i="19" s="1"/>
  <c r="L403" i="19"/>
  <c r="M403" i="19" s="1"/>
  <c r="L383" i="19"/>
  <c r="M383" i="19" s="1"/>
  <c r="L384" i="19"/>
  <c r="M384" i="19" s="1"/>
  <c r="L388" i="19"/>
  <c r="M388" i="19" s="1"/>
  <c r="L392" i="19"/>
  <c r="M392" i="19" s="1"/>
  <c r="L396" i="19"/>
  <c r="M396" i="19" s="1"/>
  <c r="L400" i="19"/>
  <c r="M400" i="19" s="1"/>
  <c r="L404" i="19"/>
  <c r="M404" i="19" s="1"/>
  <c r="L385" i="19"/>
  <c r="L389" i="19"/>
  <c r="M389" i="19" s="1"/>
  <c r="L393" i="19"/>
  <c r="M393" i="19" s="1"/>
  <c r="L397" i="19"/>
  <c r="M397" i="19" s="1"/>
  <c r="L401" i="19"/>
  <c r="M401" i="19" s="1"/>
  <c r="L405" i="19"/>
  <c r="M405" i="19" s="1"/>
  <c r="L394" i="19"/>
  <c r="M394" i="19" s="1"/>
  <c r="L398" i="19"/>
  <c r="M398" i="19" s="1"/>
  <c r="L386" i="19"/>
  <c r="M386" i="19" s="1"/>
  <c r="L402" i="19"/>
  <c r="M402" i="19" s="1"/>
  <c r="L390" i="19"/>
  <c r="M390" i="19" s="1"/>
  <c r="L406" i="19"/>
  <c r="M406" i="19" s="1"/>
  <c r="L61" i="19"/>
  <c r="L65" i="19"/>
  <c r="L69" i="19"/>
  <c r="L73" i="19"/>
  <c r="L77" i="19"/>
  <c r="L58" i="19"/>
  <c r="L62" i="19"/>
  <c r="L66" i="19"/>
  <c r="L70" i="19"/>
  <c r="L74" i="19"/>
  <c r="L78" i="19"/>
  <c r="L59" i="19"/>
  <c r="L63" i="19"/>
  <c r="L67" i="19"/>
  <c r="L71" i="19"/>
  <c r="L75" i="19"/>
  <c r="L57" i="19"/>
  <c r="L68" i="19"/>
  <c r="L72" i="19"/>
  <c r="L60" i="19"/>
  <c r="L76" i="19"/>
  <c r="L64" i="19"/>
  <c r="L347" i="19"/>
  <c r="M347" i="19" s="1"/>
  <c r="L351" i="19"/>
  <c r="M351" i="19" s="1"/>
  <c r="L355" i="19"/>
  <c r="M355" i="19" s="1"/>
  <c r="L359" i="19"/>
  <c r="M359" i="19" s="1"/>
  <c r="L363" i="19"/>
  <c r="M363" i="19" s="1"/>
  <c r="L344" i="19"/>
  <c r="M344" i="19" s="1"/>
  <c r="L348" i="19"/>
  <c r="M348" i="19" s="1"/>
  <c r="L352" i="19"/>
  <c r="M352" i="19" s="1"/>
  <c r="L356" i="19"/>
  <c r="M356" i="19" s="1"/>
  <c r="L360" i="19"/>
  <c r="M360" i="19" s="1"/>
  <c r="L364" i="19"/>
  <c r="M364" i="19" s="1"/>
  <c r="L345" i="19"/>
  <c r="M345" i="19" s="1"/>
  <c r="L349" i="19"/>
  <c r="M349" i="19" s="1"/>
  <c r="L353" i="19"/>
  <c r="M353" i="19" s="1"/>
  <c r="L357" i="19"/>
  <c r="M357" i="19" s="1"/>
  <c r="L361" i="19"/>
  <c r="M361" i="19" s="1"/>
  <c r="L343" i="19"/>
  <c r="L346" i="19"/>
  <c r="M346" i="19" s="1"/>
  <c r="L362" i="19"/>
  <c r="M362" i="19" s="1"/>
  <c r="L350" i="19"/>
  <c r="M350" i="19" s="1"/>
  <c r="L354" i="19"/>
  <c r="M354" i="19" s="1"/>
  <c r="L358" i="19"/>
  <c r="M358" i="19" s="1"/>
  <c r="L471" i="19"/>
  <c r="M471" i="19" s="1"/>
  <c r="L475" i="19"/>
  <c r="M475" i="19" s="1"/>
  <c r="L479" i="19"/>
  <c r="M479" i="19" s="1"/>
  <c r="L483" i="19"/>
  <c r="M483" i="19" s="1"/>
  <c r="L487" i="19"/>
  <c r="M487" i="19" s="1"/>
  <c r="L467" i="19"/>
  <c r="M467" i="19" s="1"/>
  <c r="L468" i="19"/>
  <c r="M468" i="19" s="1"/>
  <c r="L472" i="19"/>
  <c r="M472" i="19" s="1"/>
  <c r="L476" i="19"/>
  <c r="M476" i="19" s="1"/>
  <c r="L480" i="19"/>
  <c r="M480" i="19" s="1"/>
  <c r="L484" i="19"/>
  <c r="M484" i="19" s="1"/>
  <c r="L488" i="19"/>
  <c r="M488" i="19" s="1"/>
  <c r="L469" i="19"/>
  <c r="L473" i="19"/>
  <c r="M473" i="19" s="1"/>
  <c r="L477" i="19"/>
  <c r="M477" i="19" s="1"/>
  <c r="L481" i="19"/>
  <c r="M481" i="19" s="1"/>
  <c r="L485" i="19"/>
  <c r="M485" i="19" s="1"/>
  <c r="L489" i="19"/>
  <c r="M489" i="19" s="1"/>
  <c r="L478" i="19"/>
  <c r="M478" i="19" s="1"/>
  <c r="L482" i="19"/>
  <c r="M482" i="19" s="1"/>
  <c r="L470" i="19"/>
  <c r="M470" i="19" s="1"/>
  <c r="L486" i="19"/>
  <c r="M486" i="19" s="1"/>
  <c r="L474" i="19"/>
  <c r="M474" i="19" s="1"/>
  <c r="L490" i="19"/>
  <c r="M490" i="19" s="1"/>
  <c r="M614" i="19"/>
  <c r="M610" i="19"/>
  <c r="M606" i="19"/>
  <c r="M602" i="19"/>
  <c r="M598" i="19"/>
  <c r="M594" i="19"/>
  <c r="M616" i="19"/>
  <c r="M612" i="19"/>
  <c r="M608" i="19"/>
  <c r="M604" i="19"/>
  <c r="M600" i="19"/>
  <c r="M596" i="19"/>
  <c r="M611" i="19"/>
  <c r="M603" i="19"/>
  <c r="M609" i="19"/>
  <c r="M601" i="19"/>
  <c r="M593" i="19"/>
  <c r="M615" i="19"/>
  <c r="M607" i="19"/>
  <c r="M599" i="19"/>
  <c r="M613" i="19"/>
  <c r="M605" i="19"/>
  <c r="M597" i="19"/>
  <c r="C31" i="6"/>
  <c r="B32" i="6" s="1"/>
  <c r="C32" i="6" s="1"/>
  <c r="C33" i="6" s="1"/>
  <c r="J15" i="5"/>
  <c r="B5" i="6" l="1"/>
  <c r="L449" i="19"/>
  <c r="M427" i="19"/>
  <c r="M449" i="19" s="1"/>
  <c r="L365" i="19"/>
  <c r="M343" i="19"/>
  <c r="M365" i="19" s="1"/>
  <c r="L491" i="19"/>
  <c r="M469" i="19"/>
  <c r="M491" i="19" s="1"/>
  <c r="L407" i="19"/>
  <c r="M385" i="19"/>
  <c r="M407" i="19" s="1"/>
  <c r="L42" i="19"/>
  <c r="M852" i="19"/>
  <c r="M42" i="19" s="1"/>
  <c r="L39" i="19"/>
  <c r="M849" i="19"/>
  <c r="M39" i="19" s="1"/>
  <c r="L36" i="19"/>
  <c r="M846" i="19"/>
  <c r="M36" i="19" s="1"/>
  <c r="L40" i="19"/>
  <c r="M850" i="19"/>
  <c r="M40" i="19" s="1"/>
  <c r="L41" i="19"/>
  <c r="M851" i="19"/>
  <c r="M41" i="19" s="1"/>
  <c r="L617" i="19"/>
  <c r="M595" i="19"/>
  <c r="M617" i="19" s="1"/>
  <c r="L853" i="19"/>
  <c r="M818" i="19"/>
  <c r="M853" i="19" s="1"/>
  <c r="L37" i="19"/>
  <c r="M847" i="19"/>
  <c r="M37" i="19" s="1"/>
  <c r="L38" i="19"/>
  <c r="M848" i="19"/>
  <c r="M38" i="19" s="1"/>
  <c r="J15" i="6" l="1"/>
  <c r="J14" i="6"/>
  <c r="J12" i="6"/>
  <c r="J13" i="6"/>
  <c r="J9" i="6"/>
  <c r="L691" i="19" s="1"/>
  <c r="M691" i="19" s="1"/>
  <c r="J6" i="6"/>
  <c r="L234" i="19" s="1"/>
  <c r="M234" i="19" s="1"/>
  <c r="J10" i="6"/>
  <c r="J8" i="6"/>
  <c r="L308" i="19" s="1"/>
  <c r="M308" i="19" s="1"/>
  <c r="J7" i="6"/>
  <c r="L270" i="19" s="1"/>
  <c r="M270" i="19" s="1"/>
  <c r="J11" i="6"/>
  <c r="L783" i="19" s="1"/>
  <c r="M783" i="19" s="1"/>
  <c r="J5" i="6"/>
  <c r="L186" i="19" s="1"/>
  <c r="M186" i="19" s="1"/>
  <c r="M154" i="19"/>
  <c r="M148" i="19"/>
  <c r="M152" i="19"/>
  <c r="M156" i="19"/>
  <c r="M153" i="19"/>
  <c r="M141" i="19"/>
  <c r="M147" i="19"/>
  <c r="M143" i="19"/>
  <c r="M157" i="19"/>
  <c r="M138" i="19"/>
  <c r="M155" i="19"/>
  <c r="M142" i="19"/>
  <c r="M149" i="19"/>
  <c r="M151" i="19"/>
  <c r="M146" i="19"/>
  <c r="M150" i="19"/>
  <c r="M158" i="19"/>
  <c r="M145" i="19"/>
  <c r="M139" i="19"/>
  <c r="M140" i="19"/>
  <c r="M144" i="19"/>
  <c r="M116" i="19"/>
  <c r="M117" i="19"/>
  <c r="M113" i="19"/>
  <c r="M108" i="19"/>
  <c r="M105" i="19"/>
  <c r="M103" i="19"/>
  <c r="M115" i="19"/>
  <c r="M104" i="19"/>
  <c r="M112" i="19"/>
  <c r="M109" i="19"/>
  <c r="M100" i="19"/>
  <c r="M114" i="19"/>
  <c r="M99" i="19"/>
  <c r="M111" i="19"/>
  <c r="M106" i="19"/>
  <c r="M110" i="19"/>
  <c r="M101" i="19"/>
  <c r="M98" i="19"/>
  <c r="M102" i="19"/>
  <c r="M118" i="19"/>
  <c r="M107" i="19"/>
  <c r="L639" i="19" l="1"/>
  <c r="M639" i="19" s="1"/>
  <c r="L643" i="19"/>
  <c r="M643" i="19" s="1"/>
  <c r="L647" i="19"/>
  <c r="M647" i="19" s="1"/>
  <c r="L651" i="19"/>
  <c r="M651" i="19" s="1"/>
  <c r="L655" i="19"/>
  <c r="M655" i="19" s="1"/>
  <c r="L659" i="19"/>
  <c r="L636" i="19"/>
  <c r="M636" i="19" s="1"/>
  <c r="L640" i="19"/>
  <c r="M640" i="19" s="1"/>
  <c r="L644" i="19"/>
  <c r="M644" i="19" s="1"/>
  <c r="L648" i="19"/>
  <c r="M648" i="19" s="1"/>
  <c r="L652" i="19"/>
  <c r="M652" i="19" s="1"/>
  <c r="L656" i="19"/>
  <c r="M656" i="19" s="1"/>
  <c r="L660" i="19"/>
  <c r="L637" i="19"/>
  <c r="M637" i="19" s="1"/>
  <c r="L645" i="19"/>
  <c r="M645" i="19" s="1"/>
  <c r="L649" i="19"/>
  <c r="M649" i="19" s="1"/>
  <c r="L657" i="19"/>
  <c r="M657" i="19" s="1"/>
  <c r="L638" i="19"/>
  <c r="M638" i="19" s="1"/>
  <c r="L642" i="19"/>
  <c r="M642" i="19" s="1"/>
  <c r="L646" i="19"/>
  <c r="M646" i="19" s="1"/>
  <c r="L650" i="19"/>
  <c r="M650" i="19" s="1"/>
  <c r="L654" i="19"/>
  <c r="M654" i="19" s="1"/>
  <c r="L658" i="19"/>
  <c r="M658" i="19" s="1"/>
  <c r="L635" i="19"/>
  <c r="M635" i="19" s="1"/>
  <c r="L641" i="19"/>
  <c r="M641" i="19" s="1"/>
  <c r="L653" i="19"/>
  <c r="M653" i="19" s="1"/>
  <c r="L661" i="19"/>
  <c r="L552" i="19"/>
  <c r="M552" i="19" s="1"/>
  <c r="L556" i="19"/>
  <c r="M556" i="19" s="1"/>
  <c r="L560" i="19"/>
  <c r="M560" i="19" s="1"/>
  <c r="L564" i="19"/>
  <c r="M564" i="19" s="1"/>
  <c r="L568" i="19"/>
  <c r="M568" i="19" s="1"/>
  <c r="L572" i="19"/>
  <c r="M572" i="19" s="1"/>
  <c r="L553" i="19"/>
  <c r="L557" i="19"/>
  <c r="M557" i="19" s="1"/>
  <c r="L561" i="19"/>
  <c r="M561" i="19" s="1"/>
  <c r="L565" i="19"/>
  <c r="M565" i="19" s="1"/>
  <c r="L569" i="19"/>
  <c r="M569" i="19" s="1"/>
  <c r="L573" i="19"/>
  <c r="M573" i="19" s="1"/>
  <c r="L554" i="19"/>
  <c r="M554" i="19" s="1"/>
  <c r="L566" i="19"/>
  <c r="M566" i="19" s="1"/>
  <c r="L574" i="19"/>
  <c r="M574" i="19" s="1"/>
  <c r="L555" i="19"/>
  <c r="M555" i="19" s="1"/>
  <c r="L559" i="19"/>
  <c r="M559" i="19" s="1"/>
  <c r="L563" i="19"/>
  <c r="M563" i="19" s="1"/>
  <c r="L567" i="19"/>
  <c r="M567" i="19" s="1"/>
  <c r="L571" i="19"/>
  <c r="M571" i="19" s="1"/>
  <c r="L551" i="19"/>
  <c r="M551" i="19" s="1"/>
  <c r="L558" i="19"/>
  <c r="M558" i="19" s="1"/>
  <c r="L562" i="19"/>
  <c r="M562" i="19" s="1"/>
  <c r="L570" i="19"/>
  <c r="M570" i="19" s="1"/>
  <c r="L511" i="19"/>
  <c r="L515" i="19"/>
  <c r="M515" i="19" s="1"/>
  <c r="L519" i="19"/>
  <c r="M519" i="19" s="1"/>
  <c r="L523" i="19"/>
  <c r="M523" i="19" s="1"/>
  <c r="L527" i="19"/>
  <c r="M527" i="19" s="1"/>
  <c r="L531" i="19"/>
  <c r="M531" i="19" s="1"/>
  <c r="L512" i="19"/>
  <c r="M512" i="19" s="1"/>
  <c r="L516" i="19"/>
  <c r="M516" i="19" s="1"/>
  <c r="L520" i="19"/>
  <c r="M520" i="19" s="1"/>
  <c r="L524" i="19"/>
  <c r="M524" i="19" s="1"/>
  <c r="L528" i="19"/>
  <c r="M528" i="19" s="1"/>
  <c r="L532" i="19"/>
  <c r="M532" i="19" s="1"/>
  <c r="L517" i="19"/>
  <c r="M517" i="19" s="1"/>
  <c r="L525" i="19"/>
  <c r="M525" i="19" s="1"/>
  <c r="L510" i="19"/>
  <c r="M510" i="19" s="1"/>
  <c r="L514" i="19"/>
  <c r="M514" i="19" s="1"/>
  <c r="L518" i="19"/>
  <c r="M518" i="19" s="1"/>
  <c r="L522" i="19"/>
  <c r="M522" i="19" s="1"/>
  <c r="L526" i="19"/>
  <c r="M526" i="19" s="1"/>
  <c r="L530" i="19"/>
  <c r="M530" i="19" s="1"/>
  <c r="L509" i="19"/>
  <c r="M509" i="19" s="1"/>
  <c r="L513" i="19"/>
  <c r="M513" i="19" s="1"/>
  <c r="L521" i="19"/>
  <c r="M521" i="19" s="1"/>
  <c r="L529" i="19"/>
  <c r="M529" i="19" s="1"/>
  <c r="L681" i="19"/>
  <c r="M681" i="19" s="1"/>
  <c r="L696" i="19"/>
  <c r="M696" i="19" s="1"/>
  <c r="L699" i="19"/>
  <c r="M699" i="19" s="1"/>
  <c r="L698" i="19"/>
  <c r="M698" i="19" s="1"/>
  <c r="L705" i="19"/>
  <c r="M705" i="19" s="1"/>
  <c r="L233" i="19"/>
  <c r="M233" i="19" s="1"/>
  <c r="L231" i="19"/>
  <c r="M231" i="19" s="1"/>
  <c r="L692" i="19"/>
  <c r="M692" i="19" s="1"/>
  <c r="L694" i="19"/>
  <c r="M694" i="19" s="1"/>
  <c r="L697" i="19"/>
  <c r="M697" i="19" s="1"/>
  <c r="L700" i="19"/>
  <c r="M700" i="19" s="1"/>
  <c r="L695" i="19"/>
  <c r="M695" i="19" s="1"/>
  <c r="L688" i="19"/>
  <c r="M688" i="19" s="1"/>
  <c r="L686" i="19"/>
  <c r="M686" i="19" s="1"/>
  <c r="L693" i="19"/>
  <c r="M693" i="19" s="1"/>
  <c r="L684" i="19"/>
  <c r="M684" i="19" s="1"/>
  <c r="L687" i="19"/>
  <c r="M687" i="19" s="1"/>
  <c r="L680" i="19"/>
  <c r="L702" i="19"/>
  <c r="M702" i="19" s="1"/>
  <c r="L682" i="19"/>
  <c r="M682" i="19" s="1"/>
  <c r="L689" i="19"/>
  <c r="M689" i="19" s="1"/>
  <c r="L703" i="19"/>
  <c r="M703" i="19" s="1"/>
  <c r="L683" i="19"/>
  <c r="M683" i="19" s="1"/>
  <c r="L230" i="19"/>
  <c r="M230" i="19" s="1"/>
  <c r="L776" i="19"/>
  <c r="M776" i="19" s="1"/>
  <c r="L240" i="19"/>
  <c r="M240" i="19" s="1"/>
  <c r="L704" i="19"/>
  <c r="M704" i="19" s="1"/>
  <c r="L706" i="19"/>
  <c r="M706" i="19" s="1"/>
  <c r="L690" i="19"/>
  <c r="M690" i="19" s="1"/>
  <c r="L701" i="19"/>
  <c r="M701" i="19" s="1"/>
  <c r="L685" i="19"/>
  <c r="M685" i="19" s="1"/>
  <c r="L707" i="19"/>
  <c r="M707" i="19" s="1"/>
  <c r="L788" i="19"/>
  <c r="M788" i="19" s="1"/>
  <c r="L224" i="19"/>
  <c r="M224" i="19" s="1"/>
  <c r="L304" i="19"/>
  <c r="M304" i="19" s="1"/>
  <c r="L727" i="19"/>
  <c r="M727" i="19" s="1"/>
  <c r="L731" i="19"/>
  <c r="M731" i="19" s="1"/>
  <c r="L735" i="19"/>
  <c r="M735" i="19" s="1"/>
  <c r="L739" i="19"/>
  <c r="M739" i="19" s="1"/>
  <c r="L743" i="19"/>
  <c r="M743" i="19" s="1"/>
  <c r="L747" i="19"/>
  <c r="M747" i="19" s="1"/>
  <c r="L751" i="19"/>
  <c r="M751" i="19" s="1"/>
  <c r="L728" i="19"/>
  <c r="M728" i="19" s="1"/>
  <c r="L732" i="19"/>
  <c r="M732" i="19" s="1"/>
  <c r="L736" i="19"/>
  <c r="M736" i="19" s="1"/>
  <c r="L740" i="19"/>
  <c r="M740" i="19" s="1"/>
  <c r="L744" i="19"/>
  <c r="M744" i="19" s="1"/>
  <c r="L748" i="19"/>
  <c r="M748" i="19" s="1"/>
  <c r="L752" i="19"/>
  <c r="M752" i="19" s="1"/>
  <c r="L733" i="19"/>
  <c r="M733" i="19" s="1"/>
  <c r="L737" i="19"/>
  <c r="M737" i="19" s="1"/>
  <c r="L741" i="19"/>
  <c r="M741" i="19" s="1"/>
  <c r="L745" i="19"/>
  <c r="M745" i="19" s="1"/>
  <c r="L749" i="19"/>
  <c r="M749" i="19" s="1"/>
  <c r="L730" i="19"/>
  <c r="M730" i="19" s="1"/>
  <c r="L734" i="19"/>
  <c r="M734" i="19" s="1"/>
  <c r="L738" i="19"/>
  <c r="M738" i="19" s="1"/>
  <c r="L742" i="19"/>
  <c r="M742" i="19" s="1"/>
  <c r="L746" i="19"/>
  <c r="M746" i="19" s="1"/>
  <c r="L726" i="19"/>
  <c r="L729" i="19"/>
  <c r="M729" i="19" s="1"/>
  <c r="L753" i="19"/>
  <c r="M753" i="19" s="1"/>
  <c r="L750" i="19"/>
  <c r="M750" i="19" s="1"/>
  <c r="L317" i="19"/>
  <c r="M317" i="19" s="1"/>
  <c r="L301" i="19"/>
  <c r="M301" i="19" s="1"/>
  <c r="L192" i="19"/>
  <c r="M192" i="19" s="1"/>
  <c r="L177" i="19"/>
  <c r="M177" i="19" s="1"/>
  <c r="L182" i="19"/>
  <c r="M182" i="19" s="1"/>
  <c r="L322" i="19"/>
  <c r="M322" i="19" s="1"/>
  <c r="L279" i="19"/>
  <c r="M279" i="19" s="1"/>
  <c r="L306" i="19"/>
  <c r="M306" i="19" s="1"/>
  <c r="L272" i="19"/>
  <c r="M272" i="19" s="1"/>
  <c r="L315" i="19"/>
  <c r="M315" i="19" s="1"/>
  <c r="L305" i="19"/>
  <c r="M305" i="19" s="1"/>
  <c r="L273" i="19"/>
  <c r="M273" i="19" s="1"/>
  <c r="L278" i="19"/>
  <c r="M278" i="19" s="1"/>
  <c r="L307" i="19"/>
  <c r="M307" i="19" s="1"/>
  <c r="L320" i="19"/>
  <c r="M320" i="19" s="1"/>
  <c r="L185" i="19"/>
  <c r="M185" i="19" s="1"/>
  <c r="L277" i="19"/>
  <c r="M277" i="19" s="1"/>
  <c r="L282" i="19"/>
  <c r="M282" i="19" s="1"/>
  <c r="L199" i="19"/>
  <c r="M199" i="19" s="1"/>
  <c r="L198" i="19"/>
  <c r="M198" i="19" s="1"/>
  <c r="L267" i="19"/>
  <c r="M267" i="19" s="1"/>
  <c r="L280" i="19"/>
  <c r="M280" i="19" s="1"/>
  <c r="L262" i="19"/>
  <c r="M262" i="19" s="1"/>
  <c r="L786" i="19"/>
  <c r="M786" i="19" s="1"/>
  <c r="L791" i="19"/>
  <c r="M791" i="19" s="1"/>
  <c r="L239" i="19"/>
  <c r="M239" i="19" s="1"/>
  <c r="L227" i="19"/>
  <c r="M227" i="19" s="1"/>
  <c r="L229" i="19"/>
  <c r="M229" i="19" s="1"/>
  <c r="L236" i="19"/>
  <c r="M236" i="19" s="1"/>
  <c r="L220" i="19"/>
  <c r="M220" i="19" s="1"/>
  <c r="L226" i="19"/>
  <c r="M226" i="19" s="1"/>
  <c r="L797" i="19"/>
  <c r="M797" i="19" s="1"/>
  <c r="L775" i="19"/>
  <c r="M775" i="19" s="1"/>
  <c r="L263" i="19"/>
  <c r="M263" i="19" s="1"/>
  <c r="L265" i="19"/>
  <c r="M265" i="19" s="1"/>
  <c r="L268" i="19"/>
  <c r="M268" i="19" s="1"/>
  <c r="L274" i="19"/>
  <c r="M274" i="19" s="1"/>
  <c r="L223" i="19"/>
  <c r="M223" i="19" s="1"/>
  <c r="L219" i="19"/>
  <c r="M219" i="19" s="1"/>
  <c r="L225" i="19"/>
  <c r="M225" i="19" s="1"/>
  <c r="L232" i="19"/>
  <c r="M232" i="19" s="1"/>
  <c r="L238" i="19"/>
  <c r="M238" i="19" s="1"/>
  <c r="L222" i="19"/>
  <c r="M222" i="19" s="1"/>
  <c r="L781" i="19"/>
  <c r="M781" i="19" s="1"/>
  <c r="L271" i="19"/>
  <c r="M271" i="19" s="1"/>
  <c r="L281" i="19"/>
  <c r="M281" i="19" s="1"/>
  <c r="L261" i="19"/>
  <c r="M261" i="19" s="1"/>
  <c r="L264" i="19"/>
  <c r="M264" i="19" s="1"/>
  <c r="L266" i="19"/>
  <c r="M266" i="19" s="1"/>
  <c r="L323" i="19"/>
  <c r="M323" i="19" s="1"/>
  <c r="L314" i="19"/>
  <c r="M314" i="19" s="1"/>
  <c r="L312" i="19"/>
  <c r="M312" i="19" s="1"/>
  <c r="L235" i="19"/>
  <c r="M235" i="19" s="1"/>
  <c r="L237" i="19"/>
  <c r="M237" i="19" s="1"/>
  <c r="L221" i="19"/>
  <c r="M221" i="19" s="1"/>
  <c r="L228" i="19"/>
  <c r="M228" i="19" s="1"/>
  <c r="L784" i="19"/>
  <c r="M784" i="19" s="1"/>
  <c r="L774" i="19"/>
  <c r="M774" i="19" s="1"/>
  <c r="L796" i="19"/>
  <c r="M796" i="19" s="1"/>
  <c r="L779" i="19"/>
  <c r="M779" i="19" s="1"/>
  <c r="L321" i="19"/>
  <c r="M321" i="19" s="1"/>
  <c r="L309" i="19"/>
  <c r="M309" i="19" s="1"/>
  <c r="L311" i="19"/>
  <c r="M311" i="19" s="1"/>
  <c r="L318" i="19"/>
  <c r="M318" i="19" s="1"/>
  <c r="L302" i="19"/>
  <c r="M302" i="19" s="1"/>
  <c r="L316" i="19"/>
  <c r="M316" i="19" s="1"/>
  <c r="L790" i="19"/>
  <c r="M790" i="19" s="1"/>
  <c r="L785" i="19"/>
  <c r="M785" i="19" s="1"/>
  <c r="L795" i="19"/>
  <c r="M795" i="19" s="1"/>
  <c r="L313" i="19"/>
  <c r="M313" i="19" s="1"/>
  <c r="L319" i="19"/>
  <c r="M319" i="19" s="1"/>
  <c r="L303" i="19"/>
  <c r="M303" i="19" s="1"/>
  <c r="L310" i="19"/>
  <c r="M310" i="19" s="1"/>
  <c r="L324" i="19"/>
  <c r="M324" i="19" s="1"/>
  <c r="J17" i="6"/>
  <c r="L183" i="19"/>
  <c r="M183" i="19" s="1"/>
  <c r="L197" i="19"/>
  <c r="M197" i="19" s="1"/>
  <c r="L181" i="19"/>
  <c r="M181" i="19" s="1"/>
  <c r="L188" i="19"/>
  <c r="M188" i="19" s="1"/>
  <c r="L194" i="19"/>
  <c r="M194" i="19" s="1"/>
  <c r="L178" i="19"/>
  <c r="M178" i="19" s="1"/>
  <c r="L191" i="19"/>
  <c r="M191" i="19" s="1"/>
  <c r="L195" i="19"/>
  <c r="M195" i="19" s="1"/>
  <c r="L193" i="19"/>
  <c r="M193" i="19" s="1"/>
  <c r="L200" i="19"/>
  <c r="M200" i="19" s="1"/>
  <c r="L184" i="19"/>
  <c r="M184" i="19" s="1"/>
  <c r="L190" i="19"/>
  <c r="M190" i="19" s="1"/>
  <c r="L772" i="19"/>
  <c r="M772" i="19" s="1"/>
  <c r="L798" i="19"/>
  <c r="M798" i="19" s="1"/>
  <c r="L782" i="19"/>
  <c r="M782" i="19" s="1"/>
  <c r="L793" i="19"/>
  <c r="M793" i="19" s="1"/>
  <c r="L777" i="19"/>
  <c r="M777" i="19" s="1"/>
  <c r="L780" i="19"/>
  <c r="M780" i="19" s="1"/>
  <c r="L787" i="19"/>
  <c r="M787" i="19" s="1"/>
  <c r="L187" i="19"/>
  <c r="M187" i="19" s="1"/>
  <c r="L179" i="19"/>
  <c r="M179" i="19" s="1"/>
  <c r="L189" i="19"/>
  <c r="M189" i="19" s="1"/>
  <c r="L196" i="19"/>
  <c r="M196" i="19" s="1"/>
  <c r="L180" i="19"/>
  <c r="M180" i="19" s="1"/>
  <c r="L792" i="19"/>
  <c r="M792" i="19" s="1"/>
  <c r="L794" i="19"/>
  <c r="M794" i="19" s="1"/>
  <c r="L778" i="19"/>
  <c r="M778" i="19" s="1"/>
  <c r="L789" i="19"/>
  <c r="M789" i="19" s="1"/>
  <c r="L773" i="19"/>
  <c r="M773" i="19" s="1"/>
  <c r="L799" i="19"/>
  <c r="M799" i="19" s="1"/>
  <c r="L259" i="19"/>
  <c r="L275" i="19"/>
  <c r="M275" i="19" s="1"/>
  <c r="L269" i="19"/>
  <c r="M269" i="19" s="1"/>
  <c r="L276" i="19"/>
  <c r="M276" i="19" s="1"/>
  <c r="L260" i="19"/>
  <c r="M260" i="19" s="1"/>
  <c r="M680" i="19"/>
  <c r="L119" i="19"/>
  <c r="M97" i="19"/>
  <c r="M119" i="19" s="1"/>
  <c r="M74" i="19"/>
  <c r="M58" i="19"/>
  <c r="M61" i="19"/>
  <c r="M78" i="19"/>
  <c r="M661" i="19"/>
  <c r="M59" i="19"/>
  <c r="M64" i="19"/>
  <c r="M68" i="19"/>
  <c r="M75" i="19"/>
  <c r="M65" i="19"/>
  <c r="M62" i="19"/>
  <c r="M66" i="19"/>
  <c r="M660" i="19"/>
  <c r="M63" i="19"/>
  <c r="M71" i="19"/>
  <c r="M72" i="19"/>
  <c r="M70" i="19"/>
  <c r="M73" i="19"/>
  <c r="M77" i="19"/>
  <c r="M69" i="19"/>
  <c r="M659" i="19"/>
  <c r="L159" i="19"/>
  <c r="M137" i="19"/>
  <c r="M159" i="19" s="1"/>
  <c r="M67" i="19"/>
  <c r="M60" i="19"/>
  <c r="L79" i="19"/>
  <c r="L870" i="19" s="1"/>
  <c r="M57" i="19"/>
  <c r="M76" i="19"/>
  <c r="L662" i="19"/>
  <c r="M553" i="19" l="1"/>
  <c r="M575" i="19" s="1"/>
  <c r="L575" i="19"/>
  <c r="L533" i="19"/>
  <c r="M511" i="19"/>
  <c r="M533" i="19" s="1"/>
  <c r="L708" i="19"/>
  <c r="M708" i="19"/>
  <c r="L35" i="19"/>
  <c r="M726" i="19"/>
  <c r="M754" i="19" s="1"/>
  <c r="L754" i="19"/>
  <c r="L33" i="19"/>
  <c r="L12" i="19"/>
  <c r="L30" i="19"/>
  <c r="L34" i="19"/>
  <c r="M22" i="19"/>
  <c r="M33" i="19"/>
  <c r="M21" i="19"/>
  <c r="M32" i="19"/>
  <c r="M13" i="19"/>
  <c r="M241" i="19"/>
  <c r="M30" i="19"/>
  <c r="M17" i="19"/>
  <c r="M34" i="19"/>
  <c r="M35" i="19"/>
  <c r="L201" i="19"/>
  <c r="L20" i="19"/>
  <c r="L26" i="19"/>
  <c r="L24" i="19"/>
  <c r="M16" i="19"/>
  <c r="L21" i="19"/>
  <c r="L29" i="19"/>
  <c r="L11" i="19"/>
  <c r="M20" i="19"/>
  <c r="M26" i="19"/>
  <c r="L17" i="19"/>
  <c r="L325" i="19"/>
  <c r="M29" i="19"/>
  <c r="L32" i="19"/>
  <c r="L241" i="19"/>
  <c r="L19" i="19"/>
  <c r="L18" i="19"/>
  <c r="L23" i="19"/>
  <c r="M24" i="19"/>
  <c r="L16" i="19"/>
  <c r="M19" i="19"/>
  <c r="L27" i="19"/>
  <c r="L283" i="19"/>
  <c r="M325" i="19"/>
  <c r="L13" i="19"/>
  <c r="L10" i="19"/>
  <c r="M23" i="19"/>
  <c r="M12" i="19"/>
  <c r="L25" i="19"/>
  <c r="L14" i="19"/>
  <c r="L22" i="19"/>
  <c r="L28" i="19"/>
  <c r="L15" i="19"/>
  <c r="L31" i="19"/>
  <c r="L9" i="19"/>
  <c r="M259" i="19"/>
  <c r="M283" i="19" s="1"/>
  <c r="M800" i="19"/>
  <c r="M18" i="19"/>
  <c r="M27" i="19"/>
  <c r="L8" i="19"/>
  <c r="M25" i="19"/>
  <c r="M14" i="19"/>
  <c r="M28" i="19"/>
  <c r="M15" i="19"/>
  <c r="M31" i="19"/>
  <c r="M9" i="19"/>
  <c r="L800" i="19"/>
  <c r="M11" i="19"/>
  <c r="M662" i="19"/>
  <c r="M79" i="19"/>
  <c r="M201" i="19"/>
  <c r="L869" i="19" l="1"/>
  <c r="M10" i="19"/>
  <c r="M8" i="19"/>
  <c r="M43" i="19" s="1"/>
  <c r="L43" i="19"/>
  <c r="L867" i="19"/>
  <c r="M867" i="19"/>
  <c r="L871" i="19" l="1"/>
</calcChain>
</file>

<file path=xl/comments1.xml><?xml version="1.0" encoding="utf-8"?>
<comments xmlns="http://schemas.openxmlformats.org/spreadsheetml/2006/main">
  <authors>
    <author>Thomas Kramer</author>
  </authors>
  <commentList>
    <comment ref="E10" authorId="0">
      <text>
        <r>
          <rPr>
            <b/>
            <sz val="8"/>
            <color indexed="81"/>
            <rFont val="Tahoma"/>
            <family val="2"/>
          </rPr>
          <t>Thomas Kramer:</t>
        </r>
        <r>
          <rPr>
            <sz val="8"/>
            <color indexed="81"/>
            <rFont val="Tahoma"/>
            <family val="2"/>
          </rPr>
          <t xml:space="preserve">
Formally CIN</t>
        </r>
      </text>
    </comment>
    <comment ref="E11" authorId="0">
      <text>
        <r>
          <rPr>
            <b/>
            <sz val="8"/>
            <color indexed="81"/>
            <rFont val="Tahoma"/>
            <family val="2"/>
          </rPr>
          <t>Thomas Kramer:</t>
        </r>
        <r>
          <rPr>
            <sz val="8"/>
            <color indexed="81"/>
            <rFont val="Tahoma"/>
            <family val="2"/>
          </rPr>
          <t xml:space="preserve">
added for 2012. CIN was split into two</t>
        </r>
      </text>
    </comment>
    <comment ref="B57" authorId="0">
      <text>
        <r>
          <rPr>
            <b/>
            <sz val="8"/>
            <color indexed="81"/>
            <rFont val="Tahoma"/>
            <family val="2"/>
          </rPr>
          <t>Thomas Kramer:</t>
        </r>
        <r>
          <rPr>
            <sz val="8"/>
            <color indexed="81"/>
            <rFont val="Tahoma"/>
            <family val="2"/>
          </rPr>
          <t xml:space="preserve">
Zone ATSI</t>
        </r>
      </text>
    </comment>
    <comment ref="B59" authorId="0">
      <text>
        <r>
          <rPr>
            <b/>
            <sz val="8"/>
            <color indexed="81"/>
            <rFont val="Tahoma"/>
            <family val="2"/>
          </rPr>
          <t>Thomas Kramer:</t>
        </r>
        <r>
          <rPr>
            <sz val="8"/>
            <color indexed="81"/>
            <rFont val="Tahoma"/>
            <family val="2"/>
          </rPr>
          <t xml:space="preserve">
Formally CIN</t>
        </r>
      </text>
    </comment>
    <comment ref="B60" authorId="0">
      <text>
        <r>
          <rPr>
            <b/>
            <sz val="8"/>
            <color indexed="81"/>
            <rFont val="Tahoma"/>
            <family val="2"/>
          </rPr>
          <t>Thomas Kramer:</t>
        </r>
        <r>
          <rPr>
            <sz val="8"/>
            <color indexed="81"/>
            <rFont val="Tahoma"/>
            <family val="2"/>
          </rPr>
          <t xml:space="preserve">
added for 2012. CIN was split into two</t>
        </r>
      </text>
    </comment>
    <comment ref="B61" authorId="0">
      <text>
        <r>
          <rPr>
            <b/>
            <sz val="8"/>
            <color indexed="81"/>
            <rFont val="Tahoma"/>
            <family val="2"/>
          </rPr>
          <t>Thomas Kramer:</t>
        </r>
        <r>
          <rPr>
            <sz val="8"/>
            <color indexed="81"/>
            <rFont val="Tahoma"/>
            <family val="2"/>
          </rPr>
          <t xml:space="preserve">
Zone SIGE</t>
        </r>
      </text>
    </comment>
    <comment ref="A97" authorId="0">
      <text>
        <r>
          <rPr>
            <b/>
            <sz val="8"/>
            <color indexed="81"/>
            <rFont val="Tahoma"/>
            <family val="2"/>
          </rPr>
          <t>Thomas Kramer:</t>
        </r>
        <r>
          <rPr>
            <sz val="8"/>
            <color indexed="81"/>
            <rFont val="Tahoma"/>
            <family val="2"/>
          </rPr>
          <t xml:space="preserve">
Zone ATSI</t>
        </r>
      </text>
    </comment>
    <comment ref="A99" authorId="0">
      <text>
        <r>
          <rPr>
            <b/>
            <sz val="8"/>
            <color indexed="81"/>
            <rFont val="Tahoma"/>
            <family val="2"/>
          </rPr>
          <t>Thomas Kramer:</t>
        </r>
        <r>
          <rPr>
            <sz val="8"/>
            <color indexed="81"/>
            <rFont val="Tahoma"/>
            <family val="2"/>
          </rPr>
          <t xml:space="preserve">
Formally CIN</t>
        </r>
      </text>
    </comment>
    <comment ref="B99" authorId="0">
      <text>
        <r>
          <rPr>
            <b/>
            <sz val="8"/>
            <color indexed="81"/>
            <rFont val="Tahoma"/>
            <family val="2"/>
          </rPr>
          <t>Thomas Kramer:</t>
        </r>
        <r>
          <rPr>
            <sz val="8"/>
            <color indexed="81"/>
            <rFont val="Tahoma"/>
            <family val="2"/>
          </rPr>
          <t xml:space="preserve">
Formally CIN</t>
        </r>
      </text>
    </comment>
    <comment ref="A100" authorId="0">
      <text>
        <r>
          <rPr>
            <b/>
            <sz val="8"/>
            <color indexed="81"/>
            <rFont val="Tahoma"/>
            <family val="2"/>
          </rPr>
          <t>Thomas Kramer:</t>
        </r>
        <r>
          <rPr>
            <sz val="8"/>
            <color indexed="81"/>
            <rFont val="Tahoma"/>
            <family val="2"/>
          </rPr>
          <t xml:space="preserve">
added for 2012. CIN was split into two</t>
        </r>
      </text>
    </comment>
    <comment ref="B100" authorId="0">
      <text>
        <r>
          <rPr>
            <b/>
            <sz val="8"/>
            <color indexed="81"/>
            <rFont val="Tahoma"/>
            <family val="2"/>
          </rPr>
          <t>Thomas Kramer:</t>
        </r>
        <r>
          <rPr>
            <sz val="8"/>
            <color indexed="81"/>
            <rFont val="Tahoma"/>
            <family val="2"/>
          </rPr>
          <t xml:space="preserve">
added for 2012. CIN was split into two</t>
        </r>
      </text>
    </comment>
    <comment ref="A101" authorId="0">
      <text>
        <r>
          <rPr>
            <b/>
            <sz val="8"/>
            <color indexed="81"/>
            <rFont val="Tahoma"/>
            <family val="2"/>
          </rPr>
          <t>Thomas Kramer:</t>
        </r>
        <r>
          <rPr>
            <sz val="8"/>
            <color indexed="81"/>
            <rFont val="Tahoma"/>
            <family val="2"/>
          </rPr>
          <t xml:space="preserve">
Zone SIGE</t>
        </r>
      </text>
    </comment>
    <comment ref="A137" authorId="0">
      <text>
        <r>
          <rPr>
            <b/>
            <sz val="8"/>
            <color indexed="81"/>
            <rFont val="Tahoma"/>
            <family val="2"/>
          </rPr>
          <t>Thomas Kramer:</t>
        </r>
        <r>
          <rPr>
            <sz val="8"/>
            <color indexed="81"/>
            <rFont val="Tahoma"/>
            <family val="2"/>
          </rPr>
          <t xml:space="preserve">
Zone ATSI</t>
        </r>
      </text>
    </comment>
    <comment ref="A139" authorId="0">
      <text>
        <r>
          <rPr>
            <b/>
            <sz val="8"/>
            <color indexed="81"/>
            <rFont val="Tahoma"/>
            <family val="2"/>
          </rPr>
          <t>Thomas Kramer:</t>
        </r>
        <r>
          <rPr>
            <sz val="8"/>
            <color indexed="81"/>
            <rFont val="Tahoma"/>
            <family val="2"/>
          </rPr>
          <t xml:space="preserve">
Formally CIN</t>
        </r>
      </text>
    </comment>
    <comment ref="B139" authorId="0">
      <text>
        <r>
          <rPr>
            <b/>
            <sz val="8"/>
            <color indexed="81"/>
            <rFont val="Tahoma"/>
            <family val="2"/>
          </rPr>
          <t>Thomas Kramer:</t>
        </r>
        <r>
          <rPr>
            <sz val="8"/>
            <color indexed="81"/>
            <rFont val="Tahoma"/>
            <family val="2"/>
          </rPr>
          <t xml:space="preserve">
Formally CIN</t>
        </r>
      </text>
    </comment>
    <comment ref="A140" authorId="0">
      <text>
        <r>
          <rPr>
            <b/>
            <sz val="8"/>
            <color indexed="81"/>
            <rFont val="Tahoma"/>
            <family val="2"/>
          </rPr>
          <t>Thomas Kramer:</t>
        </r>
        <r>
          <rPr>
            <sz val="8"/>
            <color indexed="81"/>
            <rFont val="Tahoma"/>
            <family val="2"/>
          </rPr>
          <t xml:space="preserve">
added for 2012. CIN was split into two</t>
        </r>
      </text>
    </comment>
    <comment ref="B140" authorId="0">
      <text>
        <r>
          <rPr>
            <b/>
            <sz val="8"/>
            <color indexed="81"/>
            <rFont val="Tahoma"/>
            <family val="2"/>
          </rPr>
          <t>Thomas Kramer:</t>
        </r>
        <r>
          <rPr>
            <sz val="8"/>
            <color indexed="81"/>
            <rFont val="Tahoma"/>
            <family val="2"/>
          </rPr>
          <t xml:space="preserve">
added for 2012. CIN was split into two</t>
        </r>
      </text>
    </comment>
    <comment ref="A141" authorId="0">
      <text>
        <r>
          <rPr>
            <b/>
            <sz val="8"/>
            <color indexed="81"/>
            <rFont val="Tahoma"/>
            <family val="2"/>
          </rPr>
          <t>Thomas Kramer:</t>
        </r>
        <r>
          <rPr>
            <sz val="8"/>
            <color indexed="81"/>
            <rFont val="Tahoma"/>
            <family val="2"/>
          </rPr>
          <t xml:space="preserve">
Zone SIGE</t>
        </r>
      </text>
    </comment>
    <comment ref="A177" authorId="0">
      <text>
        <r>
          <rPr>
            <b/>
            <sz val="8"/>
            <color indexed="81"/>
            <rFont val="Tahoma"/>
            <family val="2"/>
          </rPr>
          <t>Thomas Kramer:</t>
        </r>
        <r>
          <rPr>
            <sz val="8"/>
            <color indexed="81"/>
            <rFont val="Tahoma"/>
            <family val="2"/>
          </rPr>
          <t xml:space="preserve">
Zone ATSI</t>
        </r>
      </text>
    </comment>
    <comment ref="A179" authorId="0">
      <text>
        <r>
          <rPr>
            <b/>
            <sz val="8"/>
            <color indexed="81"/>
            <rFont val="Tahoma"/>
            <family val="2"/>
          </rPr>
          <t>Thomas Kramer:</t>
        </r>
        <r>
          <rPr>
            <sz val="8"/>
            <color indexed="81"/>
            <rFont val="Tahoma"/>
            <family val="2"/>
          </rPr>
          <t xml:space="preserve">
Formally CIN</t>
        </r>
      </text>
    </comment>
    <comment ref="B179" authorId="0">
      <text>
        <r>
          <rPr>
            <b/>
            <sz val="8"/>
            <color indexed="81"/>
            <rFont val="Tahoma"/>
            <family val="2"/>
          </rPr>
          <t>Thomas Kramer:</t>
        </r>
        <r>
          <rPr>
            <sz val="8"/>
            <color indexed="81"/>
            <rFont val="Tahoma"/>
            <family val="2"/>
          </rPr>
          <t xml:space="preserve">
Formally CIN</t>
        </r>
      </text>
    </comment>
    <comment ref="A180" authorId="0">
      <text>
        <r>
          <rPr>
            <b/>
            <sz val="8"/>
            <color indexed="81"/>
            <rFont val="Tahoma"/>
            <family val="2"/>
          </rPr>
          <t>Thomas Kramer:</t>
        </r>
        <r>
          <rPr>
            <sz val="8"/>
            <color indexed="81"/>
            <rFont val="Tahoma"/>
            <family val="2"/>
          </rPr>
          <t xml:space="preserve">
added for 2012. CIN was split into two</t>
        </r>
      </text>
    </comment>
    <comment ref="B180" authorId="0">
      <text>
        <r>
          <rPr>
            <b/>
            <sz val="8"/>
            <color indexed="81"/>
            <rFont val="Tahoma"/>
            <family val="2"/>
          </rPr>
          <t>Thomas Kramer:</t>
        </r>
        <r>
          <rPr>
            <sz val="8"/>
            <color indexed="81"/>
            <rFont val="Tahoma"/>
            <family val="2"/>
          </rPr>
          <t xml:space="preserve">
added for 2012. CIN was split into two</t>
        </r>
      </text>
    </comment>
    <comment ref="A181" authorId="0">
      <text>
        <r>
          <rPr>
            <b/>
            <sz val="8"/>
            <color indexed="81"/>
            <rFont val="Tahoma"/>
            <family val="2"/>
          </rPr>
          <t>Thomas Kramer:</t>
        </r>
        <r>
          <rPr>
            <sz val="8"/>
            <color indexed="81"/>
            <rFont val="Tahoma"/>
            <family val="2"/>
          </rPr>
          <t xml:space="preserve">
Zone SIGE</t>
        </r>
      </text>
    </comment>
    <comment ref="A219" authorId="0">
      <text>
        <r>
          <rPr>
            <b/>
            <sz val="8"/>
            <color indexed="81"/>
            <rFont val="Tahoma"/>
            <family val="2"/>
          </rPr>
          <t>Thomas Kramer:</t>
        </r>
        <r>
          <rPr>
            <sz val="8"/>
            <color indexed="81"/>
            <rFont val="Tahoma"/>
            <family val="2"/>
          </rPr>
          <t xml:space="preserve">
Zone ATSI</t>
        </r>
      </text>
    </comment>
    <comment ref="A221" authorId="0">
      <text>
        <r>
          <rPr>
            <b/>
            <sz val="8"/>
            <color indexed="81"/>
            <rFont val="Tahoma"/>
            <family val="2"/>
          </rPr>
          <t>Thomas Kramer:</t>
        </r>
        <r>
          <rPr>
            <sz val="8"/>
            <color indexed="81"/>
            <rFont val="Tahoma"/>
            <family val="2"/>
          </rPr>
          <t xml:space="preserve">
Formally CIN</t>
        </r>
      </text>
    </comment>
    <comment ref="B221" authorId="0">
      <text>
        <r>
          <rPr>
            <b/>
            <sz val="8"/>
            <color indexed="81"/>
            <rFont val="Tahoma"/>
            <family val="2"/>
          </rPr>
          <t>Thomas Kramer:</t>
        </r>
        <r>
          <rPr>
            <sz val="8"/>
            <color indexed="81"/>
            <rFont val="Tahoma"/>
            <family val="2"/>
          </rPr>
          <t xml:space="preserve">
Formally CIN</t>
        </r>
      </text>
    </comment>
    <comment ref="A222" authorId="0">
      <text>
        <r>
          <rPr>
            <b/>
            <sz val="8"/>
            <color indexed="81"/>
            <rFont val="Tahoma"/>
            <family val="2"/>
          </rPr>
          <t>Thomas Kramer:</t>
        </r>
        <r>
          <rPr>
            <sz val="8"/>
            <color indexed="81"/>
            <rFont val="Tahoma"/>
            <family val="2"/>
          </rPr>
          <t xml:space="preserve">
added for 2012. CIN was split into two</t>
        </r>
      </text>
    </comment>
    <comment ref="B222" authorId="0">
      <text>
        <r>
          <rPr>
            <b/>
            <sz val="8"/>
            <color indexed="81"/>
            <rFont val="Tahoma"/>
            <family val="2"/>
          </rPr>
          <t>Thomas Kramer:</t>
        </r>
        <r>
          <rPr>
            <sz val="8"/>
            <color indexed="81"/>
            <rFont val="Tahoma"/>
            <family val="2"/>
          </rPr>
          <t xml:space="preserve">
added for 2012. CIN was split into two</t>
        </r>
      </text>
    </comment>
    <comment ref="A223" authorId="0">
      <text>
        <r>
          <rPr>
            <b/>
            <sz val="8"/>
            <color indexed="81"/>
            <rFont val="Tahoma"/>
            <family val="2"/>
          </rPr>
          <t>Thomas Kramer:</t>
        </r>
        <r>
          <rPr>
            <sz val="8"/>
            <color indexed="81"/>
            <rFont val="Tahoma"/>
            <family val="2"/>
          </rPr>
          <t xml:space="preserve">
Zone SIGE</t>
        </r>
      </text>
    </comment>
    <comment ref="E257" authorId="0">
      <text>
        <r>
          <rPr>
            <b/>
            <sz val="8"/>
            <color indexed="81"/>
            <rFont val="Tahoma"/>
            <family val="2"/>
          </rPr>
          <t>Thomas Kramer:</t>
        </r>
        <r>
          <rPr>
            <sz val="8"/>
            <color indexed="81"/>
            <rFont val="Tahoma"/>
            <family val="2"/>
          </rPr>
          <t xml:space="preserve">
updated per MISO review comment</t>
        </r>
      </text>
    </comment>
    <comment ref="A259" authorId="0">
      <text>
        <r>
          <rPr>
            <b/>
            <sz val="8"/>
            <color indexed="81"/>
            <rFont val="Tahoma"/>
            <family val="2"/>
          </rPr>
          <t>Thomas Kramer:</t>
        </r>
        <r>
          <rPr>
            <sz val="8"/>
            <color indexed="81"/>
            <rFont val="Tahoma"/>
            <family val="2"/>
          </rPr>
          <t xml:space="preserve">
Zone ATSI</t>
        </r>
      </text>
    </comment>
    <comment ref="A261" authorId="0">
      <text>
        <r>
          <rPr>
            <b/>
            <sz val="8"/>
            <color indexed="81"/>
            <rFont val="Tahoma"/>
            <family val="2"/>
          </rPr>
          <t>Thomas Kramer:</t>
        </r>
        <r>
          <rPr>
            <sz val="8"/>
            <color indexed="81"/>
            <rFont val="Tahoma"/>
            <family val="2"/>
          </rPr>
          <t xml:space="preserve">
Formally CIN</t>
        </r>
      </text>
    </comment>
    <comment ref="B261" authorId="0">
      <text>
        <r>
          <rPr>
            <b/>
            <sz val="8"/>
            <color indexed="81"/>
            <rFont val="Tahoma"/>
            <family val="2"/>
          </rPr>
          <t>Thomas Kramer:</t>
        </r>
        <r>
          <rPr>
            <sz val="8"/>
            <color indexed="81"/>
            <rFont val="Tahoma"/>
            <family val="2"/>
          </rPr>
          <t xml:space="preserve">
Formally CIN</t>
        </r>
      </text>
    </comment>
    <comment ref="A262" authorId="0">
      <text>
        <r>
          <rPr>
            <b/>
            <sz val="8"/>
            <color indexed="81"/>
            <rFont val="Tahoma"/>
            <family val="2"/>
          </rPr>
          <t>Thomas Kramer:</t>
        </r>
        <r>
          <rPr>
            <sz val="8"/>
            <color indexed="81"/>
            <rFont val="Tahoma"/>
            <family val="2"/>
          </rPr>
          <t xml:space="preserve">
added for 2012. CIN was split into two</t>
        </r>
      </text>
    </comment>
    <comment ref="B262" authorId="0">
      <text>
        <r>
          <rPr>
            <b/>
            <sz val="8"/>
            <color indexed="81"/>
            <rFont val="Tahoma"/>
            <family val="2"/>
          </rPr>
          <t>Thomas Kramer:</t>
        </r>
        <r>
          <rPr>
            <sz val="8"/>
            <color indexed="81"/>
            <rFont val="Tahoma"/>
            <family val="2"/>
          </rPr>
          <t xml:space="preserve">
added for 2012. CIN was split into two</t>
        </r>
      </text>
    </comment>
    <comment ref="A263" authorId="0">
      <text>
        <r>
          <rPr>
            <b/>
            <sz val="8"/>
            <color indexed="81"/>
            <rFont val="Tahoma"/>
            <family val="2"/>
          </rPr>
          <t>Thomas Kramer:</t>
        </r>
        <r>
          <rPr>
            <sz val="8"/>
            <color indexed="81"/>
            <rFont val="Tahoma"/>
            <family val="2"/>
          </rPr>
          <t xml:space="preserve">
Zone SIGE</t>
        </r>
      </text>
    </comment>
    <comment ref="A301" authorId="0">
      <text>
        <r>
          <rPr>
            <b/>
            <sz val="8"/>
            <color indexed="81"/>
            <rFont val="Tahoma"/>
            <family val="2"/>
          </rPr>
          <t>Thomas Kramer:</t>
        </r>
        <r>
          <rPr>
            <sz val="8"/>
            <color indexed="81"/>
            <rFont val="Tahoma"/>
            <family val="2"/>
          </rPr>
          <t xml:space="preserve">
Zone ATSI</t>
        </r>
      </text>
    </comment>
    <comment ref="A303" authorId="0">
      <text>
        <r>
          <rPr>
            <b/>
            <sz val="8"/>
            <color indexed="81"/>
            <rFont val="Tahoma"/>
            <family val="2"/>
          </rPr>
          <t>Thomas Kramer:</t>
        </r>
        <r>
          <rPr>
            <sz val="8"/>
            <color indexed="81"/>
            <rFont val="Tahoma"/>
            <family val="2"/>
          </rPr>
          <t xml:space="preserve">
Formally CIN</t>
        </r>
      </text>
    </comment>
    <comment ref="B303" authorId="0">
      <text>
        <r>
          <rPr>
            <b/>
            <sz val="8"/>
            <color indexed="81"/>
            <rFont val="Tahoma"/>
            <family val="2"/>
          </rPr>
          <t>Thomas Kramer:</t>
        </r>
        <r>
          <rPr>
            <sz val="8"/>
            <color indexed="81"/>
            <rFont val="Tahoma"/>
            <family val="2"/>
          </rPr>
          <t xml:space="preserve">
Formally CIN</t>
        </r>
      </text>
    </comment>
    <comment ref="A304" authorId="0">
      <text>
        <r>
          <rPr>
            <b/>
            <sz val="8"/>
            <color indexed="81"/>
            <rFont val="Tahoma"/>
            <family val="2"/>
          </rPr>
          <t>Thomas Kramer:</t>
        </r>
        <r>
          <rPr>
            <sz val="8"/>
            <color indexed="81"/>
            <rFont val="Tahoma"/>
            <family val="2"/>
          </rPr>
          <t xml:space="preserve">
added for 2012. CIN was split into two</t>
        </r>
      </text>
    </comment>
    <comment ref="B304" authorId="0">
      <text>
        <r>
          <rPr>
            <b/>
            <sz val="8"/>
            <color indexed="81"/>
            <rFont val="Tahoma"/>
            <family val="2"/>
          </rPr>
          <t>Thomas Kramer:</t>
        </r>
        <r>
          <rPr>
            <sz val="8"/>
            <color indexed="81"/>
            <rFont val="Tahoma"/>
            <family val="2"/>
          </rPr>
          <t xml:space="preserve">
added for 2012. CIN was split into two</t>
        </r>
      </text>
    </comment>
    <comment ref="A305" authorId="0">
      <text>
        <r>
          <rPr>
            <b/>
            <sz val="8"/>
            <color indexed="81"/>
            <rFont val="Tahoma"/>
            <family val="2"/>
          </rPr>
          <t>Thomas Kramer:</t>
        </r>
        <r>
          <rPr>
            <sz val="8"/>
            <color indexed="81"/>
            <rFont val="Tahoma"/>
            <family val="2"/>
          </rPr>
          <t xml:space="preserve">
Zone SIGE</t>
        </r>
      </text>
    </comment>
    <comment ref="A343" authorId="0">
      <text>
        <r>
          <rPr>
            <b/>
            <sz val="8"/>
            <color indexed="81"/>
            <rFont val="Tahoma"/>
            <family val="2"/>
          </rPr>
          <t>Thomas Kramer:</t>
        </r>
        <r>
          <rPr>
            <sz val="8"/>
            <color indexed="81"/>
            <rFont val="Tahoma"/>
            <family val="2"/>
          </rPr>
          <t xml:space="preserve">
Zone ATSI</t>
        </r>
      </text>
    </comment>
    <comment ref="A345" authorId="0">
      <text>
        <r>
          <rPr>
            <b/>
            <sz val="8"/>
            <color indexed="81"/>
            <rFont val="Tahoma"/>
            <family val="2"/>
          </rPr>
          <t>Thomas Kramer:</t>
        </r>
        <r>
          <rPr>
            <sz val="8"/>
            <color indexed="81"/>
            <rFont val="Tahoma"/>
            <family val="2"/>
          </rPr>
          <t xml:space="preserve">
Formally CIN</t>
        </r>
      </text>
    </comment>
    <comment ref="B345" authorId="0">
      <text>
        <r>
          <rPr>
            <b/>
            <sz val="8"/>
            <color indexed="81"/>
            <rFont val="Tahoma"/>
            <family val="2"/>
          </rPr>
          <t>Thomas Kramer:</t>
        </r>
        <r>
          <rPr>
            <sz val="8"/>
            <color indexed="81"/>
            <rFont val="Tahoma"/>
            <family val="2"/>
          </rPr>
          <t xml:space="preserve">
Formally CIN</t>
        </r>
      </text>
    </comment>
    <comment ref="A346" authorId="0">
      <text>
        <r>
          <rPr>
            <b/>
            <sz val="8"/>
            <color indexed="81"/>
            <rFont val="Tahoma"/>
            <family val="2"/>
          </rPr>
          <t>Thomas Kramer:</t>
        </r>
        <r>
          <rPr>
            <sz val="8"/>
            <color indexed="81"/>
            <rFont val="Tahoma"/>
            <family val="2"/>
          </rPr>
          <t xml:space="preserve">
added for 2012. CIN was split into two</t>
        </r>
      </text>
    </comment>
    <comment ref="B346" authorId="0">
      <text>
        <r>
          <rPr>
            <b/>
            <sz val="8"/>
            <color indexed="81"/>
            <rFont val="Tahoma"/>
            <family val="2"/>
          </rPr>
          <t>Thomas Kramer:</t>
        </r>
        <r>
          <rPr>
            <sz val="8"/>
            <color indexed="81"/>
            <rFont val="Tahoma"/>
            <family val="2"/>
          </rPr>
          <t xml:space="preserve">
added for 2012. CIN was split into two</t>
        </r>
      </text>
    </comment>
    <comment ref="A347" authorId="0">
      <text>
        <r>
          <rPr>
            <b/>
            <sz val="8"/>
            <color indexed="81"/>
            <rFont val="Tahoma"/>
            <family val="2"/>
          </rPr>
          <t>Thomas Kramer:</t>
        </r>
        <r>
          <rPr>
            <sz val="8"/>
            <color indexed="81"/>
            <rFont val="Tahoma"/>
            <family val="2"/>
          </rPr>
          <t xml:space="preserve">
Zone SIGE</t>
        </r>
      </text>
    </comment>
    <comment ref="A383" authorId="0">
      <text>
        <r>
          <rPr>
            <b/>
            <sz val="8"/>
            <color indexed="81"/>
            <rFont val="Tahoma"/>
            <family val="2"/>
          </rPr>
          <t>Thomas Kramer:</t>
        </r>
        <r>
          <rPr>
            <sz val="8"/>
            <color indexed="81"/>
            <rFont val="Tahoma"/>
            <family val="2"/>
          </rPr>
          <t xml:space="preserve">
Zone ATSI</t>
        </r>
      </text>
    </comment>
    <comment ref="A385" authorId="0">
      <text>
        <r>
          <rPr>
            <b/>
            <sz val="8"/>
            <color indexed="81"/>
            <rFont val="Tahoma"/>
            <family val="2"/>
          </rPr>
          <t>Thomas Kramer:</t>
        </r>
        <r>
          <rPr>
            <sz val="8"/>
            <color indexed="81"/>
            <rFont val="Tahoma"/>
            <family val="2"/>
          </rPr>
          <t xml:space="preserve">
Formally CIN</t>
        </r>
      </text>
    </comment>
    <comment ref="B385" authorId="0">
      <text>
        <r>
          <rPr>
            <b/>
            <sz val="8"/>
            <color indexed="81"/>
            <rFont val="Tahoma"/>
            <family val="2"/>
          </rPr>
          <t>Thomas Kramer:</t>
        </r>
        <r>
          <rPr>
            <sz val="8"/>
            <color indexed="81"/>
            <rFont val="Tahoma"/>
            <family val="2"/>
          </rPr>
          <t xml:space="preserve">
Formally CIN</t>
        </r>
      </text>
    </comment>
    <comment ref="A386" authorId="0">
      <text>
        <r>
          <rPr>
            <b/>
            <sz val="8"/>
            <color indexed="81"/>
            <rFont val="Tahoma"/>
            <family val="2"/>
          </rPr>
          <t>Thomas Kramer:</t>
        </r>
        <r>
          <rPr>
            <sz val="8"/>
            <color indexed="81"/>
            <rFont val="Tahoma"/>
            <family val="2"/>
          </rPr>
          <t xml:space="preserve">
added for 2012. CIN was split into two</t>
        </r>
      </text>
    </comment>
    <comment ref="B386" authorId="0">
      <text>
        <r>
          <rPr>
            <b/>
            <sz val="8"/>
            <color indexed="81"/>
            <rFont val="Tahoma"/>
            <family val="2"/>
          </rPr>
          <t>Thomas Kramer:</t>
        </r>
        <r>
          <rPr>
            <sz val="8"/>
            <color indexed="81"/>
            <rFont val="Tahoma"/>
            <family val="2"/>
          </rPr>
          <t xml:space="preserve">
added for 2012. CIN was split into two</t>
        </r>
      </text>
    </comment>
    <comment ref="A387" authorId="0">
      <text>
        <r>
          <rPr>
            <b/>
            <sz val="8"/>
            <color indexed="81"/>
            <rFont val="Tahoma"/>
            <family val="2"/>
          </rPr>
          <t>Thomas Kramer:</t>
        </r>
        <r>
          <rPr>
            <sz val="8"/>
            <color indexed="81"/>
            <rFont val="Tahoma"/>
            <family val="2"/>
          </rPr>
          <t xml:space="preserve">
Zone SIGE</t>
        </r>
      </text>
    </comment>
    <comment ref="A425" authorId="0">
      <text>
        <r>
          <rPr>
            <b/>
            <sz val="8"/>
            <color indexed="81"/>
            <rFont val="Tahoma"/>
            <family val="2"/>
          </rPr>
          <t>Thomas Kramer:</t>
        </r>
        <r>
          <rPr>
            <sz val="8"/>
            <color indexed="81"/>
            <rFont val="Tahoma"/>
            <family val="2"/>
          </rPr>
          <t xml:space="preserve">
Zone ATSI</t>
        </r>
      </text>
    </comment>
    <comment ref="A427" authorId="0">
      <text>
        <r>
          <rPr>
            <b/>
            <sz val="8"/>
            <color indexed="81"/>
            <rFont val="Tahoma"/>
            <family val="2"/>
          </rPr>
          <t>Thomas Kramer:</t>
        </r>
        <r>
          <rPr>
            <sz val="8"/>
            <color indexed="81"/>
            <rFont val="Tahoma"/>
            <family val="2"/>
          </rPr>
          <t xml:space="preserve">
Formally CIN</t>
        </r>
      </text>
    </comment>
    <comment ref="B427" authorId="0">
      <text>
        <r>
          <rPr>
            <b/>
            <sz val="8"/>
            <color indexed="81"/>
            <rFont val="Tahoma"/>
            <family val="2"/>
          </rPr>
          <t>Thomas Kramer:</t>
        </r>
        <r>
          <rPr>
            <sz val="8"/>
            <color indexed="81"/>
            <rFont val="Tahoma"/>
            <family val="2"/>
          </rPr>
          <t xml:space="preserve">
Formally CIN</t>
        </r>
      </text>
    </comment>
    <comment ref="A428" authorId="0">
      <text>
        <r>
          <rPr>
            <b/>
            <sz val="8"/>
            <color indexed="81"/>
            <rFont val="Tahoma"/>
            <family val="2"/>
          </rPr>
          <t>Thomas Kramer:</t>
        </r>
        <r>
          <rPr>
            <sz val="8"/>
            <color indexed="81"/>
            <rFont val="Tahoma"/>
            <family val="2"/>
          </rPr>
          <t xml:space="preserve">
added for 2012. CIN was split into two</t>
        </r>
      </text>
    </comment>
    <comment ref="B428" authorId="0">
      <text>
        <r>
          <rPr>
            <b/>
            <sz val="8"/>
            <color indexed="81"/>
            <rFont val="Tahoma"/>
            <family val="2"/>
          </rPr>
          <t>Thomas Kramer:</t>
        </r>
        <r>
          <rPr>
            <sz val="8"/>
            <color indexed="81"/>
            <rFont val="Tahoma"/>
            <family val="2"/>
          </rPr>
          <t xml:space="preserve">
added for 2012. CIN was split into two</t>
        </r>
      </text>
    </comment>
    <comment ref="A429" authorId="0">
      <text>
        <r>
          <rPr>
            <b/>
            <sz val="8"/>
            <color indexed="81"/>
            <rFont val="Tahoma"/>
            <family val="2"/>
          </rPr>
          <t>Thomas Kramer:</t>
        </r>
        <r>
          <rPr>
            <sz val="8"/>
            <color indexed="81"/>
            <rFont val="Tahoma"/>
            <family val="2"/>
          </rPr>
          <t xml:space="preserve">
Zone SIGE</t>
        </r>
      </text>
    </comment>
    <comment ref="A467" authorId="0">
      <text>
        <r>
          <rPr>
            <b/>
            <sz val="8"/>
            <color indexed="81"/>
            <rFont val="Tahoma"/>
            <family val="2"/>
          </rPr>
          <t>Thomas Kramer:</t>
        </r>
        <r>
          <rPr>
            <sz val="8"/>
            <color indexed="81"/>
            <rFont val="Tahoma"/>
            <family val="2"/>
          </rPr>
          <t xml:space="preserve">
Zone ATSI</t>
        </r>
      </text>
    </comment>
    <comment ref="A469" authorId="0">
      <text>
        <r>
          <rPr>
            <b/>
            <sz val="8"/>
            <color indexed="81"/>
            <rFont val="Tahoma"/>
            <family val="2"/>
          </rPr>
          <t>Thomas Kramer:</t>
        </r>
        <r>
          <rPr>
            <sz val="8"/>
            <color indexed="81"/>
            <rFont val="Tahoma"/>
            <family val="2"/>
          </rPr>
          <t xml:space="preserve">
Formally CIN</t>
        </r>
      </text>
    </comment>
    <comment ref="B469" authorId="0">
      <text>
        <r>
          <rPr>
            <b/>
            <sz val="8"/>
            <color indexed="81"/>
            <rFont val="Tahoma"/>
            <family val="2"/>
          </rPr>
          <t>Thomas Kramer:</t>
        </r>
        <r>
          <rPr>
            <sz val="8"/>
            <color indexed="81"/>
            <rFont val="Tahoma"/>
            <family val="2"/>
          </rPr>
          <t xml:space="preserve">
Formally CIN</t>
        </r>
      </text>
    </comment>
    <comment ref="A470" authorId="0">
      <text>
        <r>
          <rPr>
            <b/>
            <sz val="8"/>
            <color indexed="81"/>
            <rFont val="Tahoma"/>
            <family val="2"/>
          </rPr>
          <t>Thomas Kramer:</t>
        </r>
        <r>
          <rPr>
            <sz val="8"/>
            <color indexed="81"/>
            <rFont val="Tahoma"/>
            <family val="2"/>
          </rPr>
          <t xml:space="preserve">
added for 2012. CIN was split into two</t>
        </r>
      </text>
    </comment>
    <comment ref="B470" authorId="0">
      <text>
        <r>
          <rPr>
            <b/>
            <sz val="8"/>
            <color indexed="81"/>
            <rFont val="Tahoma"/>
            <family val="2"/>
          </rPr>
          <t>Thomas Kramer:</t>
        </r>
        <r>
          <rPr>
            <sz val="8"/>
            <color indexed="81"/>
            <rFont val="Tahoma"/>
            <family val="2"/>
          </rPr>
          <t xml:space="preserve">
added for 2012. CIN was split into two</t>
        </r>
      </text>
    </comment>
    <comment ref="A471" authorId="0">
      <text>
        <r>
          <rPr>
            <b/>
            <sz val="8"/>
            <color indexed="81"/>
            <rFont val="Tahoma"/>
            <family val="2"/>
          </rPr>
          <t>Thomas Kramer:</t>
        </r>
        <r>
          <rPr>
            <sz val="8"/>
            <color indexed="81"/>
            <rFont val="Tahoma"/>
            <family val="2"/>
          </rPr>
          <t xml:space="preserve">
Zone SIGE</t>
        </r>
      </text>
    </comment>
    <comment ref="A509" authorId="0">
      <text>
        <r>
          <rPr>
            <b/>
            <sz val="8"/>
            <color indexed="81"/>
            <rFont val="Tahoma"/>
            <family val="2"/>
          </rPr>
          <t>Thomas Kramer:</t>
        </r>
        <r>
          <rPr>
            <sz val="8"/>
            <color indexed="81"/>
            <rFont val="Tahoma"/>
            <family val="2"/>
          </rPr>
          <t xml:space="preserve">
Zone ATSI</t>
        </r>
      </text>
    </comment>
    <comment ref="A511" authorId="0">
      <text>
        <r>
          <rPr>
            <b/>
            <sz val="8"/>
            <color indexed="81"/>
            <rFont val="Tahoma"/>
            <family val="2"/>
          </rPr>
          <t>Thomas Kramer:</t>
        </r>
        <r>
          <rPr>
            <sz val="8"/>
            <color indexed="81"/>
            <rFont val="Tahoma"/>
            <family val="2"/>
          </rPr>
          <t xml:space="preserve">
Formally CIN</t>
        </r>
      </text>
    </comment>
    <comment ref="B511" authorId="0">
      <text>
        <r>
          <rPr>
            <b/>
            <sz val="8"/>
            <color indexed="81"/>
            <rFont val="Tahoma"/>
            <family val="2"/>
          </rPr>
          <t>Thomas Kramer:</t>
        </r>
        <r>
          <rPr>
            <sz val="8"/>
            <color indexed="81"/>
            <rFont val="Tahoma"/>
            <family val="2"/>
          </rPr>
          <t xml:space="preserve">
Formally CIN</t>
        </r>
      </text>
    </comment>
    <comment ref="A512" authorId="0">
      <text>
        <r>
          <rPr>
            <b/>
            <sz val="8"/>
            <color indexed="81"/>
            <rFont val="Tahoma"/>
            <family val="2"/>
          </rPr>
          <t>Thomas Kramer:</t>
        </r>
        <r>
          <rPr>
            <sz val="8"/>
            <color indexed="81"/>
            <rFont val="Tahoma"/>
            <family val="2"/>
          </rPr>
          <t xml:space="preserve">
added for 2012. CIN was split into two</t>
        </r>
      </text>
    </comment>
    <comment ref="B512" authorId="0">
      <text>
        <r>
          <rPr>
            <b/>
            <sz val="8"/>
            <color indexed="81"/>
            <rFont val="Tahoma"/>
            <family val="2"/>
          </rPr>
          <t>Thomas Kramer:</t>
        </r>
        <r>
          <rPr>
            <sz val="8"/>
            <color indexed="81"/>
            <rFont val="Tahoma"/>
            <family val="2"/>
          </rPr>
          <t xml:space="preserve">
added for 2012. CIN was split into two</t>
        </r>
      </text>
    </comment>
    <comment ref="A513" authorId="0">
      <text>
        <r>
          <rPr>
            <b/>
            <sz val="8"/>
            <color indexed="81"/>
            <rFont val="Tahoma"/>
            <family val="2"/>
          </rPr>
          <t>Thomas Kramer:</t>
        </r>
        <r>
          <rPr>
            <sz val="8"/>
            <color indexed="81"/>
            <rFont val="Tahoma"/>
            <family val="2"/>
          </rPr>
          <t xml:space="preserve">
Zone SIGE</t>
        </r>
      </text>
    </comment>
    <comment ref="A551" authorId="0">
      <text>
        <r>
          <rPr>
            <b/>
            <sz val="8"/>
            <color indexed="81"/>
            <rFont val="Tahoma"/>
            <family val="2"/>
          </rPr>
          <t>Thomas Kramer:</t>
        </r>
        <r>
          <rPr>
            <sz val="8"/>
            <color indexed="81"/>
            <rFont val="Tahoma"/>
            <family val="2"/>
          </rPr>
          <t xml:space="preserve">
Zone ATSI</t>
        </r>
      </text>
    </comment>
    <comment ref="A553" authorId="0">
      <text>
        <r>
          <rPr>
            <b/>
            <sz val="8"/>
            <color indexed="81"/>
            <rFont val="Tahoma"/>
            <family val="2"/>
          </rPr>
          <t>Thomas Kramer:</t>
        </r>
        <r>
          <rPr>
            <sz val="8"/>
            <color indexed="81"/>
            <rFont val="Tahoma"/>
            <family val="2"/>
          </rPr>
          <t xml:space="preserve">
Formally CIN</t>
        </r>
      </text>
    </comment>
    <comment ref="B553" authorId="0">
      <text>
        <r>
          <rPr>
            <b/>
            <sz val="8"/>
            <color indexed="81"/>
            <rFont val="Tahoma"/>
            <family val="2"/>
          </rPr>
          <t>Thomas Kramer:</t>
        </r>
        <r>
          <rPr>
            <sz val="8"/>
            <color indexed="81"/>
            <rFont val="Tahoma"/>
            <family val="2"/>
          </rPr>
          <t xml:space="preserve">
Formally CIN</t>
        </r>
      </text>
    </comment>
    <comment ref="A554" authorId="0">
      <text>
        <r>
          <rPr>
            <b/>
            <sz val="8"/>
            <color indexed="81"/>
            <rFont val="Tahoma"/>
            <family val="2"/>
          </rPr>
          <t>Thomas Kramer:</t>
        </r>
        <r>
          <rPr>
            <sz val="8"/>
            <color indexed="81"/>
            <rFont val="Tahoma"/>
            <family val="2"/>
          </rPr>
          <t xml:space="preserve">
added for 2012. CIN was split into two</t>
        </r>
      </text>
    </comment>
    <comment ref="B554" authorId="0">
      <text>
        <r>
          <rPr>
            <b/>
            <sz val="8"/>
            <color indexed="81"/>
            <rFont val="Tahoma"/>
            <family val="2"/>
          </rPr>
          <t>Thomas Kramer:</t>
        </r>
        <r>
          <rPr>
            <sz val="8"/>
            <color indexed="81"/>
            <rFont val="Tahoma"/>
            <family val="2"/>
          </rPr>
          <t xml:space="preserve">
added for 2012. CIN was split into two</t>
        </r>
      </text>
    </comment>
    <comment ref="A555" authorId="0">
      <text>
        <r>
          <rPr>
            <b/>
            <sz val="8"/>
            <color indexed="81"/>
            <rFont val="Tahoma"/>
            <family val="2"/>
          </rPr>
          <t>Thomas Kramer:</t>
        </r>
        <r>
          <rPr>
            <sz val="8"/>
            <color indexed="81"/>
            <rFont val="Tahoma"/>
            <family val="2"/>
          </rPr>
          <t xml:space="preserve">
Zone SIGE</t>
        </r>
      </text>
    </comment>
    <comment ref="A593" authorId="0">
      <text>
        <r>
          <rPr>
            <b/>
            <sz val="8"/>
            <color indexed="81"/>
            <rFont val="Tahoma"/>
            <family val="2"/>
          </rPr>
          <t>Thomas Kramer:</t>
        </r>
        <r>
          <rPr>
            <sz val="8"/>
            <color indexed="81"/>
            <rFont val="Tahoma"/>
            <family val="2"/>
          </rPr>
          <t xml:space="preserve">
Zone ATSI</t>
        </r>
      </text>
    </comment>
    <comment ref="A595" authorId="0">
      <text>
        <r>
          <rPr>
            <b/>
            <sz val="8"/>
            <color indexed="81"/>
            <rFont val="Tahoma"/>
            <family val="2"/>
          </rPr>
          <t>Thomas Kramer:</t>
        </r>
        <r>
          <rPr>
            <sz val="8"/>
            <color indexed="81"/>
            <rFont val="Tahoma"/>
            <family val="2"/>
          </rPr>
          <t xml:space="preserve">
Formally CIN</t>
        </r>
      </text>
    </comment>
    <comment ref="B595" authorId="0">
      <text>
        <r>
          <rPr>
            <b/>
            <sz val="8"/>
            <color indexed="81"/>
            <rFont val="Tahoma"/>
            <family val="2"/>
          </rPr>
          <t>Thomas Kramer:</t>
        </r>
        <r>
          <rPr>
            <sz val="8"/>
            <color indexed="81"/>
            <rFont val="Tahoma"/>
            <family val="2"/>
          </rPr>
          <t xml:space="preserve">
Formally CIN</t>
        </r>
      </text>
    </comment>
    <comment ref="A596" authorId="0">
      <text>
        <r>
          <rPr>
            <b/>
            <sz val="8"/>
            <color indexed="81"/>
            <rFont val="Tahoma"/>
            <family val="2"/>
          </rPr>
          <t>Thomas Kramer:</t>
        </r>
        <r>
          <rPr>
            <sz val="8"/>
            <color indexed="81"/>
            <rFont val="Tahoma"/>
            <family val="2"/>
          </rPr>
          <t xml:space="preserve">
added for 2012. CIN was split into two</t>
        </r>
      </text>
    </comment>
    <comment ref="B596" authorId="0">
      <text>
        <r>
          <rPr>
            <b/>
            <sz val="8"/>
            <color indexed="81"/>
            <rFont val="Tahoma"/>
            <family val="2"/>
          </rPr>
          <t>Thomas Kramer:</t>
        </r>
        <r>
          <rPr>
            <sz val="8"/>
            <color indexed="81"/>
            <rFont val="Tahoma"/>
            <family val="2"/>
          </rPr>
          <t xml:space="preserve">
added for 2012. CIN was split into two</t>
        </r>
      </text>
    </comment>
    <comment ref="A597" authorId="0">
      <text>
        <r>
          <rPr>
            <b/>
            <sz val="8"/>
            <color indexed="81"/>
            <rFont val="Tahoma"/>
            <family val="2"/>
          </rPr>
          <t>Thomas Kramer:</t>
        </r>
        <r>
          <rPr>
            <sz val="8"/>
            <color indexed="81"/>
            <rFont val="Tahoma"/>
            <family val="2"/>
          </rPr>
          <t xml:space="preserve">
Zone SIGE</t>
        </r>
      </text>
    </comment>
    <comment ref="A635" authorId="0">
      <text>
        <r>
          <rPr>
            <b/>
            <sz val="8"/>
            <color indexed="81"/>
            <rFont val="Tahoma"/>
            <family val="2"/>
          </rPr>
          <t>Thomas Kramer:</t>
        </r>
        <r>
          <rPr>
            <sz val="8"/>
            <color indexed="81"/>
            <rFont val="Tahoma"/>
            <family val="2"/>
          </rPr>
          <t xml:space="preserve">
Zone ATSI</t>
        </r>
      </text>
    </comment>
    <comment ref="A637" authorId="0">
      <text>
        <r>
          <rPr>
            <b/>
            <sz val="8"/>
            <color indexed="81"/>
            <rFont val="Tahoma"/>
            <family val="2"/>
          </rPr>
          <t>Thomas Kramer:</t>
        </r>
        <r>
          <rPr>
            <sz val="8"/>
            <color indexed="81"/>
            <rFont val="Tahoma"/>
            <family val="2"/>
          </rPr>
          <t xml:space="preserve">
Formally CIN</t>
        </r>
      </text>
    </comment>
    <comment ref="B637" authorId="0">
      <text>
        <r>
          <rPr>
            <b/>
            <sz val="8"/>
            <color indexed="81"/>
            <rFont val="Tahoma"/>
            <family val="2"/>
          </rPr>
          <t>Thomas Kramer:</t>
        </r>
        <r>
          <rPr>
            <sz val="8"/>
            <color indexed="81"/>
            <rFont val="Tahoma"/>
            <family val="2"/>
          </rPr>
          <t xml:space="preserve">
Formally CIN</t>
        </r>
      </text>
    </comment>
    <comment ref="A638" authorId="0">
      <text>
        <r>
          <rPr>
            <b/>
            <sz val="8"/>
            <color indexed="81"/>
            <rFont val="Tahoma"/>
            <family val="2"/>
          </rPr>
          <t>Thomas Kramer:</t>
        </r>
        <r>
          <rPr>
            <sz val="8"/>
            <color indexed="81"/>
            <rFont val="Tahoma"/>
            <family val="2"/>
          </rPr>
          <t xml:space="preserve">
added for 2012. CIN was split into two</t>
        </r>
      </text>
    </comment>
    <comment ref="B638" authorId="0">
      <text>
        <r>
          <rPr>
            <b/>
            <sz val="8"/>
            <color indexed="81"/>
            <rFont val="Tahoma"/>
            <family val="2"/>
          </rPr>
          <t>Thomas Kramer:</t>
        </r>
        <r>
          <rPr>
            <sz val="8"/>
            <color indexed="81"/>
            <rFont val="Tahoma"/>
            <family val="2"/>
          </rPr>
          <t xml:space="preserve">
added for 2012. CIN was split into two</t>
        </r>
      </text>
    </comment>
    <comment ref="A639" authorId="0">
      <text>
        <r>
          <rPr>
            <b/>
            <sz val="8"/>
            <color indexed="81"/>
            <rFont val="Tahoma"/>
            <family val="2"/>
          </rPr>
          <t>Thomas Kramer:</t>
        </r>
        <r>
          <rPr>
            <sz val="8"/>
            <color indexed="81"/>
            <rFont val="Tahoma"/>
            <family val="2"/>
          </rPr>
          <t xml:space="preserve">
Zone SIGE</t>
        </r>
      </text>
    </comment>
    <comment ref="A680" authorId="0">
      <text>
        <r>
          <rPr>
            <b/>
            <sz val="8"/>
            <color indexed="81"/>
            <rFont val="Tahoma"/>
            <family val="2"/>
          </rPr>
          <t>Thomas Kramer:</t>
        </r>
        <r>
          <rPr>
            <sz val="8"/>
            <color indexed="81"/>
            <rFont val="Tahoma"/>
            <family val="2"/>
          </rPr>
          <t xml:space="preserve">
Zone ATSI</t>
        </r>
      </text>
    </comment>
    <comment ref="A682" authorId="0">
      <text>
        <r>
          <rPr>
            <b/>
            <sz val="8"/>
            <color indexed="81"/>
            <rFont val="Tahoma"/>
            <family val="2"/>
          </rPr>
          <t>Thomas Kramer:</t>
        </r>
        <r>
          <rPr>
            <sz val="8"/>
            <color indexed="81"/>
            <rFont val="Tahoma"/>
            <family val="2"/>
          </rPr>
          <t xml:space="preserve">
Formally CIN</t>
        </r>
      </text>
    </comment>
    <comment ref="B682" authorId="0">
      <text>
        <r>
          <rPr>
            <b/>
            <sz val="8"/>
            <color indexed="81"/>
            <rFont val="Tahoma"/>
            <family val="2"/>
          </rPr>
          <t>Thomas Kramer:</t>
        </r>
        <r>
          <rPr>
            <sz val="8"/>
            <color indexed="81"/>
            <rFont val="Tahoma"/>
            <family val="2"/>
          </rPr>
          <t xml:space="preserve">
Formally CIN</t>
        </r>
      </text>
    </comment>
    <comment ref="A683" authorId="0">
      <text>
        <r>
          <rPr>
            <b/>
            <sz val="8"/>
            <color indexed="81"/>
            <rFont val="Tahoma"/>
            <family val="2"/>
          </rPr>
          <t>Thomas Kramer:</t>
        </r>
        <r>
          <rPr>
            <sz val="8"/>
            <color indexed="81"/>
            <rFont val="Tahoma"/>
            <family val="2"/>
          </rPr>
          <t xml:space="preserve">
added for 2012. CIN was split into two</t>
        </r>
      </text>
    </comment>
    <comment ref="B683" authorId="0">
      <text>
        <r>
          <rPr>
            <b/>
            <sz val="8"/>
            <color indexed="81"/>
            <rFont val="Tahoma"/>
            <family val="2"/>
          </rPr>
          <t>Thomas Kramer:</t>
        </r>
        <r>
          <rPr>
            <sz val="8"/>
            <color indexed="81"/>
            <rFont val="Tahoma"/>
            <family val="2"/>
          </rPr>
          <t xml:space="preserve">
added for 2012. CIN was split into two</t>
        </r>
      </text>
    </comment>
    <comment ref="A684" authorId="0">
      <text>
        <r>
          <rPr>
            <b/>
            <sz val="8"/>
            <color indexed="81"/>
            <rFont val="Tahoma"/>
            <family val="2"/>
          </rPr>
          <t>Thomas Kramer:</t>
        </r>
        <r>
          <rPr>
            <sz val="8"/>
            <color indexed="81"/>
            <rFont val="Tahoma"/>
            <family val="2"/>
          </rPr>
          <t xml:space="preserve">
Zone SIGE</t>
        </r>
      </text>
    </comment>
    <comment ref="A726" authorId="0">
      <text>
        <r>
          <rPr>
            <b/>
            <sz val="8"/>
            <color indexed="81"/>
            <rFont val="Tahoma"/>
            <family val="2"/>
          </rPr>
          <t>Thomas Kramer:</t>
        </r>
        <r>
          <rPr>
            <sz val="8"/>
            <color indexed="81"/>
            <rFont val="Tahoma"/>
            <family val="2"/>
          </rPr>
          <t xml:space="preserve">
Zone ATSI</t>
        </r>
      </text>
    </comment>
    <comment ref="A728" authorId="0">
      <text>
        <r>
          <rPr>
            <b/>
            <sz val="8"/>
            <color indexed="81"/>
            <rFont val="Tahoma"/>
            <family val="2"/>
          </rPr>
          <t>Thomas Kramer:</t>
        </r>
        <r>
          <rPr>
            <sz val="8"/>
            <color indexed="81"/>
            <rFont val="Tahoma"/>
            <family val="2"/>
          </rPr>
          <t xml:space="preserve">
Formally CIN</t>
        </r>
      </text>
    </comment>
    <comment ref="B728" authorId="0">
      <text>
        <r>
          <rPr>
            <b/>
            <sz val="8"/>
            <color indexed="81"/>
            <rFont val="Tahoma"/>
            <family val="2"/>
          </rPr>
          <t>Thomas Kramer:</t>
        </r>
        <r>
          <rPr>
            <sz val="8"/>
            <color indexed="81"/>
            <rFont val="Tahoma"/>
            <family val="2"/>
          </rPr>
          <t xml:space="preserve">
Formally CIN</t>
        </r>
      </text>
    </comment>
    <comment ref="A729" authorId="0">
      <text>
        <r>
          <rPr>
            <b/>
            <sz val="8"/>
            <color indexed="81"/>
            <rFont val="Tahoma"/>
            <family val="2"/>
          </rPr>
          <t>Thomas Kramer:</t>
        </r>
        <r>
          <rPr>
            <sz val="8"/>
            <color indexed="81"/>
            <rFont val="Tahoma"/>
            <family val="2"/>
          </rPr>
          <t xml:space="preserve">
added for 2012. CIN was split into two</t>
        </r>
      </text>
    </comment>
    <comment ref="B729" authorId="0">
      <text>
        <r>
          <rPr>
            <b/>
            <sz val="8"/>
            <color indexed="81"/>
            <rFont val="Tahoma"/>
            <family val="2"/>
          </rPr>
          <t>Thomas Kramer:</t>
        </r>
        <r>
          <rPr>
            <sz val="8"/>
            <color indexed="81"/>
            <rFont val="Tahoma"/>
            <family val="2"/>
          </rPr>
          <t xml:space="preserve">
added for 2012. CIN was split into two</t>
        </r>
      </text>
    </comment>
    <comment ref="A730" authorId="0">
      <text>
        <r>
          <rPr>
            <b/>
            <sz val="8"/>
            <color indexed="81"/>
            <rFont val="Tahoma"/>
            <family val="2"/>
          </rPr>
          <t>Thomas Kramer:</t>
        </r>
        <r>
          <rPr>
            <sz val="8"/>
            <color indexed="81"/>
            <rFont val="Tahoma"/>
            <family val="2"/>
          </rPr>
          <t xml:space="preserve">
Zone SIGE</t>
        </r>
      </text>
    </comment>
    <comment ref="A772" authorId="0">
      <text>
        <r>
          <rPr>
            <b/>
            <sz val="8"/>
            <color indexed="81"/>
            <rFont val="Tahoma"/>
            <family val="2"/>
          </rPr>
          <t>Thomas Kramer:</t>
        </r>
        <r>
          <rPr>
            <sz val="8"/>
            <color indexed="81"/>
            <rFont val="Tahoma"/>
            <family val="2"/>
          </rPr>
          <t xml:space="preserve">
Zone ATSI</t>
        </r>
      </text>
    </comment>
    <comment ref="A774" authorId="0">
      <text>
        <r>
          <rPr>
            <b/>
            <sz val="8"/>
            <color indexed="81"/>
            <rFont val="Tahoma"/>
            <family val="2"/>
          </rPr>
          <t>Thomas Kramer:</t>
        </r>
        <r>
          <rPr>
            <sz val="8"/>
            <color indexed="81"/>
            <rFont val="Tahoma"/>
            <family val="2"/>
          </rPr>
          <t xml:space="preserve">
added for 2012. CIN was split into two</t>
        </r>
      </text>
    </comment>
    <comment ref="B774" authorId="0">
      <text>
        <r>
          <rPr>
            <b/>
            <sz val="8"/>
            <color indexed="81"/>
            <rFont val="Tahoma"/>
            <family val="2"/>
          </rPr>
          <t>Thomas Kramer:</t>
        </r>
        <r>
          <rPr>
            <sz val="8"/>
            <color indexed="81"/>
            <rFont val="Tahoma"/>
            <family val="2"/>
          </rPr>
          <t xml:space="preserve">
Formally CIN</t>
        </r>
      </text>
    </comment>
    <comment ref="A775" authorId="0">
      <text>
        <r>
          <rPr>
            <b/>
            <sz val="8"/>
            <color indexed="81"/>
            <rFont val="Tahoma"/>
            <family val="2"/>
          </rPr>
          <t>Thomas Kramer:</t>
        </r>
        <r>
          <rPr>
            <sz val="8"/>
            <color indexed="81"/>
            <rFont val="Tahoma"/>
            <family val="2"/>
          </rPr>
          <t xml:space="preserve">
added for 2012. CIN was split into two</t>
        </r>
      </text>
    </comment>
    <comment ref="B775" authorId="0">
      <text>
        <r>
          <rPr>
            <b/>
            <sz val="8"/>
            <color indexed="81"/>
            <rFont val="Tahoma"/>
            <family val="2"/>
          </rPr>
          <t>Thomas Kramer:</t>
        </r>
        <r>
          <rPr>
            <sz val="8"/>
            <color indexed="81"/>
            <rFont val="Tahoma"/>
            <family val="2"/>
          </rPr>
          <t xml:space="preserve">
added for 2012. CIN was split into two</t>
        </r>
      </text>
    </comment>
    <comment ref="A776" authorId="0">
      <text>
        <r>
          <rPr>
            <b/>
            <sz val="8"/>
            <color indexed="81"/>
            <rFont val="Tahoma"/>
            <family val="2"/>
          </rPr>
          <t>Thomas Kramer:</t>
        </r>
        <r>
          <rPr>
            <sz val="8"/>
            <color indexed="81"/>
            <rFont val="Tahoma"/>
            <family val="2"/>
          </rPr>
          <t xml:space="preserve">
Zone SIGE</t>
        </r>
      </text>
    </comment>
    <comment ref="A818" authorId="0">
      <text>
        <r>
          <rPr>
            <b/>
            <sz val="8"/>
            <color indexed="81"/>
            <rFont val="Tahoma"/>
            <family val="2"/>
          </rPr>
          <t>Thomas Kramer:</t>
        </r>
        <r>
          <rPr>
            <sz val="8"/>
            <color indexed="81"/>
            <rFont val="Tahoma"/>
            <family val="2"/>
          </rPr>
          <t xml:space="preserve">
Zone ATSI</t>
        </r>
      </text>
    </comment>
    <comment ref="A820" authorId="0">
      <text>
        <r>
          <rPr>
            <b/>
            <sz val="8"/>
            <color indexed="81"/>
            <rFont val="Tahoma"/>
            <family val="2"/>
          </rPr>
          <t>Thomas Kramer:</t>
        </r>
        <r>
          <rPr>
            <sz val="8"/>
            <color indexed="81"/>
            <rFont val="Tahoma"/>
            <family val="2"/>
          </rPr>
          <t xml:space="preserve">
Formally CIN</t>
        </r>
      </text>
    </comment>
    <comment ref="B820" authorId="0">
      <text>
        <r>
          <rPr>
            <b/>
            <sz val="8"/>
            <color indexed="81"/>
            <rFont val="Tahoma"/>
            <family val="2"/>
          </rPr>
          <t>Thomas Kramer:</t>
        </r>
        <r>
          <rPr>
            <sz val="8"/>
            <color indexed="81"/>
            <rFont val="Tahoma"/>
            <family val="2"/>
          </rPr>
          <t xml:space="preserve">
Formally CIN</t>
        </r>
      </text>
    </comment>
    <comment ref="A821" authorId="0">
      <text>
        <r>
          <rPr>
            <b/>
            <sz val="8"/>
            <color indexed="81"/>
            <rFont val="Tahoma"/>
            <family val="2"/>
          </rPr>
          <t>Thomas Kramer:</t>
        </r>
        <r>
          <rPr>
            <sz val="8"/>
            <color indexed="81"/>
            <rFont val="Tahoma"/>
            <family val="2"/>
          </rPr>
          <t xml:space="preserve">
Formally CIN</t>
        </r>
      </text>
    </comment>
    <comment ref="B821" authorId="0">
      <text>
        <r>
          <rPr>
            <b/>
            <sz val="8"/>
            <color indexed="81"/>
            <rFont val="Tahoma"/>
            <family val="2"/>
          </rPr>
          <t>Thomas Kramer:</t>
        </r>
        <r>
          <rPr>
            <sz val="8"/>
            <color indexed="81"/>
            <rFont val="Tahoma"/>
            <family val="2"/>
          </rPr>
          <t xml:space="preserve">
added for 2012. CIN was split into two</t>
        </r>
      </text>
    </comment>
    <comment ref="A822" authorId="0">
      <text>
        <r>
          <rPr>
            <b/>
            <sz val="8"/>
            <color indexed="81"/>
            <rFont val="Tahoma"/>
            <family val="2"/>
          </rPr>
          <t>Thomas Kramer:</t>
        </r>
        <r>
          <rPr>
            <sz val="8"/>
            <color indexed="81"/>
            <rFont val="Tahoma"/>
            <family val="2"/>
          </rPr>
          <t xml:space="preserve">
added for 2012. CIN was split into two</t>
        </r>
      </text>
    </comment>
    <comment ref="B822" authorId="0">
      <text>
        <r>
          <rPr>
            <b/>
            <sz val="8"/>
            <color indexed="81"/>
            <rFont val="Tahoma"/>
            <family val="2"/>
          </rPr>
          <t>Thomas Kramer:</t>
        </r>
        <r>
          <rPr>
            <sz val="8"/>
            <color indexed="81"/>
            <rFont val="Tahoma"/>
            <family val="2"/>
          </rPr>
          <t xml:space="preserve">
added for 2012. CIN was split into two</t>
        </r>
      </text>
    </comment>
    <comment ref="A823" authorId="0">
      <text>
        <r>
          <rPr>
            <b/>
            <sz val="8"/>
            <color indexed="81"/>
            <rFont val="Tahoma"/>
            <family val="2"/>
          </rPr>
          <t>Thomas Kramer:</t>
        </r>
        <r>
          <rPr>
            <sz val="8"/>
            <color indexed="81"/>
            <rFont val="Tahoma"/>
            <family val="2"/>
          </rPr>
          <t xml:space="preserve">
Zone SIGE</t>
        </r>
      </text>
    </comment>
    <comment ref="B876" authorId="0">
      <text>
        <r>
          <rPr>
            <b/>
            <sz val="8"/>
            <color indexed="81"/>
            <rFont val="Tahoma"/>
            <family val="2"/>
          </rPr>
          <t>Thomas Kramer:</t>
        </r>
        <r>
          <rPr>
            <sz val="8"/>
            <color indexed="81"/>
            <rFont val="Tahoma"/>
            <family val="2"/>
          </rPr>
          <t xml:space="preserve">
Formally CIN</t>
        </r>
      </text>
    </comment>
    <comment ref="B877" authorId="0">
      <text>
        <r>
          <rPr>
            <b/>
            <sz val="8"/>
            <color indexed="81"/>
            <rFont val="Tahoma"/>
            <family val="2"/>
          </rPr>
          <t>Thomas Kramer:</t>
        </r>
        <r>
          <rPr>
            <sz val="8"/>
            <color indexed="81"/>
            <rFont val="Tahoma"/>
            <family val="2"/>
          </rPr>
          <t xml:space="preserve">
added for 2012. CIN was split into two</t>
        </r>
      </text>
    </comment>
  </commentList>
</comments>
</file>

<file path=xl/comments2.xml><?xml version="1.0" encoding="utf-8"?>
<comments xmlns="http://schemas.openxmlformats.org/spreadsheetml/2006/main">
  <authors>
    <author>Jeff Haselhorst</author>
    <author>Michael Gard</author>
    <author>Ron Gable</author>
  </authors>
  <commentList>
    <comment ref="B36" authorId="0">
      <text>
        <r>
          <rPr>
            <b/>
            <sz val="9"/>
            <color indexed="81"/>
            <rFont val="Tahoma"/>
            <family val="2"/>
          </rPr>
          <t>Jeff Haselhorst:</t>
        </r>
        <r>
          <rPr>
            <sz val="9"/>
            <color indexed="81"/>
            <rFont val="Tahoma"/>
            <family val="2"/>
          </rPr>
          <t xml:space="preserve">
This amount does not include the SMEPA load in the EMI TPZ.</t>
        </r>
      </text>
    </comment>
    <comment ref="B68" authorId="1">
      <text>
        <r>
          <rPr>
            <b/>
            <sz val="8"/>
            <color indexed="81"/>
            <rFont val="Tahoma"/>
            <family val="2"/>
          </rPr>
          <t>Michael Gard:</t>
        </r>
        <r>
          <rPr>
            <sz val="8"/>
            <color indexed="81"/>
            <rFont val="Tahoma"/>
            <family val="2"/>
          </rPr>
          <t xml:space="preserve">
ITCM load as reported on Attachment O less loads of other Transmission Oweners in ITCM zone.</t>
        </r>
      </text>
    </comment>
    <comment ref="B75" authorId="1">
      <text>
        <r>
          <rPr>
            <b/>
            <sz val="8"/>
            <color indexed="81"/>
            <rFont val="Tahoma"/>
            <family val="2"/>
          </rPr>
          <t>Michael Gard:</t>
        </r>
        <r>
          <rPr>
            <sz val="8"/>
            <color indexed="81"/>
            <rFont val="Tahoma"/>
            <family val="2"/>
          </rPr>
          <t xml:space="preserve">
Total will match amount reported on line 15, page 1 of 5, of the Actual ITCM Attachment O.</t>
        </r>
      </text>
    </comment>
    <comment ref="B76" authorId="1">
      <text>
        <r>
          <rPr>
            <b/>
            <sz val="8"/>
            <color indexed="81"/>
            <rFont val="Tahoma"/>
            <family val="2"/>
          </rPr>
          <t>Michael Gard:</t>
        </r>
        <r>
          <rPr>
            <sz val="8"/>
            <color indexed="81"/>
            <rFont val="Tahoma"/>
            <family val="2"/>
          </rPr>
          <t xml:space="preserve">
Includes only AC System load as reported on line 15, page 1 of 6, of the Actual Attachment O.</t>
        </r>
      </text>
    </comment>
    <comment ref="B83" authorId="2">
      <text>
        <r>
          <rPr>
            <b/>
            <sz val="9"/>
            <color indexed="81"/>
            <rFont val="Tahoma"/>
            <family val="2"/>
          </rPr>
          <t>Ron Gable:</t>
        </r>
        <r>
          <rPr>
            <sz val="9"/>
            <color indexed="81"/>
            <rFont val="Tahoma"/>
            <family val="2"/>
          </rPr>
          <t xml:space="preserve">
CPEC initially provided a 2016 load of 75,506. OTP decided to include the 2016 CPEC load on their 2016 TU as 89,940,  OTP's # is based on the loads submitted on their MISO monthly peaks report for CPEC in 2016.</t>
        </r>
      </text>
    </comment>
    <comment ref="B86" authorId="1">
      <text>
        <r>
          <rPr>
            <b/>
            <sz val="8"/>
            <color indexed="81"/>
            <rFont val="Tahoma"/>
            <family val="2"/>
          </rPr>
          <t>Michael Gard:</t>
        </r>
        <r>
          <rPr>
            <sz val="8"/>
            <color indexed="81"/>
            <rFont val="Tahoma"/>
            <family val="2"/>
          </rPr>
          <t xml:space="preserve">
NSP load as reported on line 15, page 1 of 5, of the Actual Attachment O less NWEC, Glencoe, Blue Earth and Delano; as the loads for these four Transmission Owners are included in the load NSP has reported in line 15.
</t>
        </r>
        <r>
          <rPr>
            <b/>
            <sz val="8"/>
            <color indexed="81"/>
            <rFont val="Tahoma"/>
            <family val="2"/>
          </rPr>
          <t>Beginning in 2017 SMMPA, Marshall, and GRE loads will also need to be deducted.</t>
        </r>
      </text>
    </comment>
    <comment ref="B109" authorId="0">
      <text>
        <r>
          <rPr>
            <b/>
            <sz val="9"/>
            <color indexed="81"/>
            <rFont val="Tahoma"/>
            <family val="2"/>
          </rPr>
          <t>Jeff Haselhorst:</t>
        </r>
        <r>
          <rPr>
            <sz val="9"/>
            <color indexed="81"/>
            <rFont val="Tahoma"/>
            <family val="2"/>
          </rPr>
          <t xml:space="preserve">
Total will match amount reported on line 15, page 1 of 5, of the Actual DPC Attachment O.</t>
        </r>
      </text>
    </comment>
    <comment ref="B116" authorId="0">
      <text>
        <r>
          <rPr>
            <b/>
            <sz val="9"/>
            <color indexed="81"/>
            <rFont val="Tahoma"/>
            <family val="2"/>
          </rPr>
          <t>Jeff Haselhorst:</t>
        </r>
        <r>
          <rPr>
            <sz val="9"/>
            <color indexed="81"/>
            <rFont val="Tahoma"/>
            <family val="2"/>
          </rPr>
          <t xml:space="preserve">
RPU became a historical TO in 12/14.  Their 12 CP load for all of 2014 had to be requested.  We only include the amount above the 216 MW that SMMPA inlcudes in their submission.</t>
        </r>
      </text>
    </comment>
    <comment ref="B125" authorId="0">
      <text>
        <r>
          <rPr>
            <b/>
            <sz val="9"/>
            <color indexed="81"/>
            <rFont val="Tahoma"/>
            <family val="2"/>
          </rPr>
          <t>Jeff Haselhorst:</t>
        </r>
        <r>
          <rPr>
            <sz val="9"/>
            <color indexed="81"/>
            <rFont val="Tahoma"/>
            <family val="2"/>
          </rPr>
          <t xml:space="preserve">
EATO to report all AECC load for 2014 &amp; beyond…even the non-conforming NITSA load.</t>
        </r>
      </text>
    </comment>
    <comment ref="B128" authorId="0">
      <text>
        <r>
          <rPr>
            <b/>
            <sz val="9"/>
            <color indexed="81"/>
            <rFont val="Tahoma"/>
            <family val="2"/>
          </rPr>
          <t>Jeff Haselhorst:</t>
        </r>
        <r>
          <rPr>
            <sz val="9"/>
            <color indexed="81"/>
            <rFont val="Tahoma"/>
            <family val="2"/>
          </rPr>
          <t xml:space="preserve">
Amount inlcudes CLECO load in ELL. Combined with EGSL in 11/15.</t>
        </r>
      </text>
    </comment>
    <comment ref="C147" authorId="2">
      <text>
        <r>
          <rPr>
            <b/>
            <sz val="9"/>
            <color indexed="81"/>
            <rFont val="Tahoma"/>
            <family val="2"/>
          </rPr>
          <t>Ron Gable:</t>
        </r>
        <r>
          <rPr>
            <sz val="9"/>
            <color indexed="81"/>
            <rFont val="Tahoma"/>
            <family val="2"/>
          </rPr>
          <t xml:space="preserve">
NSP load in OTP PZ</t>
        </r>
      </text>
    </comment>
  </commentList>
</comments>
</file>

<file path=xl/sharedStrings.xml><?xml version="1.0" encoding="utf-8"?>
<sst xmlns="http://schemas.openxmlformats.org/spreadsheetml/2006/main" count="3010" uniqueCount="706">
  <si>
    <t>Project ID:</t>
  </si>
  <si>
    <t>Project Name:</t>
  </si>
  <si>
    <t>G405, Colvill Generating station - Interconnection</t>
  </si>
  <si>
    <t>Voltage Class</t>
  </si>
  <si>
    <t>161 kV, 115 kV and 69 kV</t>
  </si>
  <si>
    <t xml:space="preserve">Region / Zone: </t>
  </si>
  <si>
    <t>West / NSP</t>
  </si>
  <si>
    <t>ARR</t>
  </si>
  <si>
    <t>Postage Stamp</t>
  </si>
  <si>
    <t>Sub-regional</t>
  </si>
  <si>
    <t>Allocation Total</t>
  </si>
  <si>
    <t>Allocation</t>
  </si>
  <si>
    <t>Pricing Zone</t>
  </si>
  <si>
    <t>%</t>
  </si>
  <si>
    <t>$</t>
  </si>
  <si>
    <t>FE</t>
  </si>
  <si>
    <t>HE</t>
  </si>
  <si>
    <t>VECT</t>
  </si>
  <si>
    <t>IPL</t>
  </si>
  <si>
    <t>NIPS</t>
  </si>
  <si>
    <t>METC</t>
  </si>
  <si>
    <t>ITC</t>
  </si>
  <si>
    <t>ITCM</t>
  </si>
  <si>
    <t>CWLD</t>
  </si>
  <si>
    <t>AMIL</t>
  </si>
  <si>
    <t>AMMO</t>
  </si>
  <si>
    <t>CWLP</t>
  </si>
  <si>
    <t>SIPC</t>
  </si>
  <si>
    <t>ATC</t>
  </si>
  <si>
    <t>NSP</t>
  </si>
  <si>
    <t>MP</t>
  </si>
  <si>
    <t>SMMPA</t>
  </si>
  <si>
    <t>GRE</t>
  </si>
  <si>
    <t>OTP</t>
  </si>
  <si>
    <t>MDU</t>
  </si>
  <si>
    <t>G255 - 100 MW wind generation, Brookings County, SD</t>
  </si>
  <si>
    <t>115 kV</t>
  </si>
  <si>
    <t>A</t>
  </si>
  <si>
    <t>B</t>
  </si>
  <si>
    <t>C</t>
  </si>
  <si>
    <t>E</t>
  </si>
  <si>
    <t>Revenue True-Up Adjustment</t>
  </si>
  <si>
    <t>Attachment GG</t>
  </si>
  <si>
    <t xml:space="preserve">Total </t>
  </si>
  <si>
    <t>Cost True-Up</t>
  </si>
  <si>
    <t>Revenue True-Up</t>
  </si>
  <si>
    <t>Zonal True-Up</t>
  </si>
  <si>
    <t>True-Up</t>
  </si>
  <si>
    <t>Adjustment</t>
  </si>
  <si>
    <t>Actual Revenue</t>
  </si>
  <si>
    <t>Interest</t>
  </si>
  <si>
    <t>Amount</t>
  </si>
  <si>
    <t>Over/(Under) collection</t>
  </si>
  <si>
    <t>F</t>
  </si>
  <si>
    <t>G</t>
  </si>
  <si>
    <t>Jan.</t>
  </si>
  <si>
    <t>Feb.</t>
  </si>
  <si>
    <t>Mar</t>
  </si>
  <si>
    <t>Apr</t>
  </si>
  <si>
    <t>May</t>
  </si>
  <si>
    <t>Jun</t>
  </si>
  <si>
    <t>Jul</t>
  </si>
  <si>
    <t>Aug</t>
  </si>
  <si>
    <t>Sep</t>
  </si>
  <si>
    <t>Oct</t>
  </si>
  <si>
    <t>Nov</t>
  </si>
  <si>
    <t>Dec</t>
  </si>
  <si>
    <t>12 CP</t>
  </si>
  <si>
    <t>DUK</t>
  </si>
  <si>
    <t>Michigan Joint Zone</t>
  </si>
  <si>
    <t>Michigan Jt Zone Subzone</t>
  </si>
  <si>
    <t>Total</t>
  </si>
  <si>
    <t>WVPA</t>
  </si>
  <si>
    <t>IMPA</t>
  </si>
  <si>
    <t>Joint Transmission System</t>
  </si>
  <si>
    <t>Michigan Joint Sub-Zone</t>
  </si>
  <si>
    <t xml:space="preserve">     Michigan Joint Zone</t>
  </si>
  <si>
    <t>MPPA</t>
  </si>
  <si>
    <t>Wolverine</t>
  </si>
  <si>
    <t>MSCPA</t>
  </si>
  <si>
    <t>Traverse City</t>
  </si>
  <si>
    <t>Grand Haven</t>
  </si>
  <si>
    <t>Zeeland</t>
  </si>
  <si>
    <t>Mich Joint Zone</t>
  </si>
  <si>
    <t>International</t>
  </si>
  <si>
    <t>Great River Energy</t>
  </si>
  <si>
    <t>Elk River</t>
  </si>
  <si>
    <t>Northern States</t>
  </si>
  <si>
    <t>ITC Midwest</t>
  </si>
  <si>
    <t>Mountian Lake</t>
  </si>
  <si>
    <t>Windom</t>
  </si>
  <si>
    <t>Minnesota Power</t>
  </si>
  <si>
    <t>Otter Tail</t>
  </si>
  <si>
    <t>Blue Earth</t>
  </si>
  <si>
    <t>Delano</t>
  </si>
  <si>
    <t>Projected</t>
  </si>
  <si>
    <t>Allocation %</t>
  </si>
  <si>
    <t>Revenue</t>
  </si>
  <si>
    <t xml:space="preserve">of Proj. Rev. </t>
  </si>
  <si>
    <t>of Non-Zonal</t>
  </si>
  <si>
    <t>Requirement</t>
  </si>
  <si>
    <t>Project</t>
  </si>
  <si>
    <t>Interest Calculation With Quarterly Compounding</t>
  </si>
  <si>
    <t>Principal</t>
  </si>
  <si>
    <t>Cumulative Interest</t>
  </si>
  <si>
    <t>Tipton</t>
  </si>
  <si>
    <t>Non-GFA</t>
  </si>
  <si>
    <t>Mi Joint Zone (Zone 13)</t>
  </si>
  <si>
    <t>GFA</t>
  </si>
  <si>
    <t>Mi Joint Zone Subzone (Zone 13A)</t>
  </si>
  <si>
    <t>MEC</t>
  </si>
  <si>
    <t>MPW</t>
  </si>
  <si>
    <t>Interest Calculation</t>
  </si>
  <si>
    <t>G287 - 200 MW wind generation, Nobles County, MN</t>
  </si>
  <si>
    <t>345 kV, 115 kV</t>
  </si>
  <si>
    <t>XEL1953_St Cloud - Sauk 115kV</t>
  </si>
  <si>
    <t>MI13AG</t>
  </si>
  <si>
    <t>MI13ANG</t>
  </si>
  <si>
    <t>DPC</t>
  </si>
  <si>
    <t>BREC</t>
  </si>
  <si>
    <t>MRES</t>
  </si>
  <si>
    <t>NWEC</t>
  </si>
  <si>
    <t>CFU</t>
  </si>
  <si>
    <t>Atlantic</t>
  </si>
  <si>
    <t>IPPA</t>
  </si>
  <si>
    <t>Eldridge</t>
  </si>
  <si>
    <t>Pella</t>
  </si>
  <si>
    <t>Montezuma</t>
  </si>
  <si>
    <t>Loads for Attachment GG True-Ups</t>
  </si>
  <si>
    <t>Note 6, 8, 10 and 12 Divisor</t>
  </si>
  <si>
    <t>Note 5, 7, 9 and 11 Divisor</t>
  </si>
  <si>
    <t>Boswell - Wilton 230 kV Line</t>
  </si>
  <si>
    <t>230 kV</t>
  </si>
  <si>
    <t>West / MPC, NSP, OTP, MP</t>
  </si>
  <si>
    <t>Capx_Twin Cities - Fargo 345kV project</t>
  </si>
  <si>
    <t>West / GRE/NSP/OTP/MP</t>
  </si>
  <si>
    <t>Capx_Twin Cities - La Crosse 345kV project</t>
  </si>
  <si>
    <t>G349 - 200 MW wind generation, Brookings County, SD</t>
  </si>
  <si>
    <t>1366</t>
  </si>
  <si>
    <t>1456</t>
  </si>
  <si>
    <t>1457</t>
  </si>
  <si>
    <t>1953</t>
  </si>
  <si>
    <t>279</t>
  </si>
  <si>
    <t>1024</t>
  </si>
  <si>
    <t>1458</t>
  </si>
  <si>
    <t>2765</t>
  </si>
  <si>
    <t>Ulik Wind Farm (G185)</t>
  </si>
  <si>
    <t>Att GG</t>
  </si>
  <si>
    <t>Interest on Over Collections</t>
  </si>
  <si>
    <t>Interest Rate FERC</t>
  </si>
  <si>
    <t>Over</t>
  </si>
  <si>
    <t>Under</t>
  </si>
  <si>
    <t>Revenue Booked</t>
  </si>
  <si>
    <t>Actual Revenue Booked</t>
  </si>
  <si>
    <t>Estimated</t>
  </si>
  <si>
    <t xml:space="preserve">D </t>
  </si>
  <si>
    <t>C - B</t>
  </si>
  <si>
    <t>A + D</t>
  </si>
  <si>
    <t>E +F</t>
  </si>
  <si>
    <t>Actual Book Revenue</t>
  </si>
  <si>
    <t>Cost True Up</t>
  </si>
  <si>
    <t>Load Adj Rev</t>
  </si>
  <si>
    <t>Act Booked Rev</t>
  </si>
  <si>
    <t>Act - Load Adj</t>
  </si>
  <si>
    <t>Total Adj</t>
  </si>
  <si>
    <t>Int</t>
  </si>
  <si>
    <t>Adj + Int</t>
  </si>
  <si>
    <t>Less Cost True-Up</t>
  </si>
  <si>
    <t>Less Rev True-Up</t>
  </si>
  <si>
    <t>Net Revenue after true-up</t>
  </si>
  <si>
    <t>Actaul Booked Revenue</t>
  </si>
  <si>
    <t>Load Adjusted Revenue By Zone</t>
  </si>
  <si>
    <t>Summary By Zone</t>
  </si>
  <si>
    <t>Actual</t>
  </si>
  <si>
    <t>XEL_2109_G609</t>
  </si>
  <si>
    <t>XEL_2119_G417</t>
  </si>
  <si>
    <t>ATSI = FE</t>
  </si>
  <si>
    <t>DUK = CIN</t>
  </si>
  <si>
    <t>SIGE = VECT</t>
  </si>
  <si>
    <t>Hutchinson</t>
  </si>
  <si>
    <t>GRE Total</t>
  </si>
  <si>
    <t>2109</t>
  </si>
  <si>
    <t>2119</t>
  </si>
  <si>
    <t>Interest Rate NSP Short Term</t>
  </si>
  <si>
    <t>Pleasant Valley</t>
  </si>
  <si>
    <t>Interest on Under Collections</t>
  </si>
  <si>
    <t>ATXI</t>
  </si>
  <si>
    <t>SMMPA Total</t>
  </si>
  <si>
    <t>NSP Total</t>
  </si>
  <si>
    <t>P</t>
  </si>
  <si>
    <t>DEO &amp; DEK</t>
  </si>
  <si>
    <t>B14</t>
  </si>
  <si>
    <t>B15</t>
  </si>
  <si>
    <t>B16</t>
  </si>
  <si>
    <t>B17</t>
  </si>
  <si>
    <t>B18</t>
  </si>
  <si>
    <t>B19</t>
  </si>
  <si>
    <t>B20</t>
  </si>
  <si>
    <t>B21</t>
  </si>
  <si>
    <t>B22</t>
  </si>
  <si>
    <t>B23</t>
  </si>
  <si>
    <t>B24</t>
  </si>
  <si>
    <t>B25</t>
  </si>
  <si>
    <t>B26</t>
  </si>
  <si>
    <t>B27</t>
  </si>
  <si>
    <t>B28</t>
  </si>
  <si>
    <t>B29</t>
  </si>
  <si>
    <t>B30</t>
  </si>
  <si>
    <t>N4</t>
  </si>
  <si>
    <t>N5</t>
  </si>
  <si>
    <t>N6</t>
  </si>
  <si>
    <t>N7</t>
  </si>
  <si>
    <t>N8</t>
  </si>
  <si>
    <t>N9</t>
  </si>
  <si>
    <t>N10</t>
  </si>
  <si>
    <t>N11</t>
  </si>
  <si>
    <t>N12</t>
  </si>
  <si>
    <t>N13</t>
  </si>
  <si>
    <t>N14</t>
  </si>
  <si>
    <t>N15</t>
  </si>
  <si>
    <t>N16</t>
  </si>
  <si>
    <t>N17</t>
  </si>
  <si>
    <t>N18</t>
  </si>
  <si>
    <t>N19</t>
  </si>
  <si>
    <t>N20</t>
  </si>
  <si>
    <t>N21</t>
  </si>
  <si>
    <t>N22</t>
  </si>
  <si>
    <t>N23</t>
  </si>
  <si>
    <t>N24</t>
  </si>
  <si>
    <t>N25</t>
  </si>
  <si>
    <t>N26</t>
  </si>
  <si>
    <t>N27</t>
  </si>
  <si>
    <t>N28</t>
  </si>
  <si>
    <t>N29</t>
  </si>
  <si>
    <t>N30</t>
  </si>
  <si>
    <t>B4</t>
  </si>
  <si>
    <t>B5</t>
  </si>
  <si>
    <t>B6</t>
  </si>
  <si>
    <t>B7</t>
  </si>
  <si>
    <t>B8</t>
  </si>
  <si>
    <t>B9</t>
  </si>
  <si>
    <t>B10</t>
  </si>
  <si>
    <t>B11</t>
  </si>
  <si>
    <t>B12</t>
  </si>
  <si>
    <t>B13</t>
  </si>
  <si>
    <t>Revenue Ratio</t>
  </si>
  <si>
    <t>XEL1285_Glencoe_2_WWACONIA_new115</t>
  </si>
  <si>
    <t>115Kv</t>
  </si>
  <si>
    <t>West/NSP</t>
  </si>
  <si>
    <t>DEI</t>
  </si>
  <si>
    <t xml:space="preserve">        Sch 26 Sub-Reg Rate Ad</t>
  </si>
  <si>
    <t>St Cloud Loop</t>
  </si>
  <si>
    <t>Cancelled</t>
  </si>
  <si>
    <t>Wilmarth Sub</t>
  </si>
  <si>
    <t>Worthington</t>
  </si>
  <si>
    <t>Benson</t>
  </si>
  <si>
    <t>Detroit Lakes</t>
  </si>
  <si>
    <t>CMMPA- Agency</t>
  </si>
  <si>
    <t>MMPA</t>
  </si>
  <si>
    <t>PPI</t>
  </si>
  <si>
    <t>EATO</t>
  </si>
  <si>
    <t>AECC</t>
  </si>
  <si>
    <t>ELTO</t>
  </si>
  <si>
    <t>CLEC</t>
  </si>
  <si>
    <t>ENO</t>
  </si>
  <si>
    <t>EGSL</t>
  </si>
  <si>
    <t>EMTO</t>
  </si>
  <si>
    <t>SME</t>
  </si>
  <si>
    <t>ETTO</t>
  </si>
  <si>
    <t>Sam Houston</t>
  </si>
  <si>
    <t>Tex-La</t>
  </si>
  <si>
    <t>Jasper-Newton</t>
  </si>
  <si>
    <t>Deep East Texas</t>
  </si>
  <si>
    <t>LAFA</t>
  </si>
  <si>
    <t>Jasper Newton</t>
  </si>
  <si>
    <t>286</t>
  </si>
  <si>
    <t>2178</t>
  </si>
  <si>
    <t>1285</t>
  </si>
  <si>
    <t>2307</t>
  </si>
  <si>
    <t>3104</t>
  </si>
  <si>
    <t xml:space="preserve">Data Per MISO </t>
  </si>
  <si>
    <t>Load Information per MISO</t>
  </si>
  <si>
    <t>Formula Rate calculation</t>
  </si>
  <si>
    <t xml:space="preserve">     Rate Formula Template</t>
  </si>
  <si>
    <t xml:space="preserve"> </t>
  </si>
  <si>
    <t xml:space="preserve"> Utilizing Attachment O Data</t>
  </si>
  <si>
    <t>Page 1 of 2</t>
  </si>
  <si>
    <t>Northern States Power Companies</t>
  </si>
  <si>
    <t>To be completed in conjunction with Attachment O.</t>
  </si>
  <si>
    <t>(1)</t>
  </si>
  <si>
    <t>(2)</t>
  </si>
  <si>
    <t>(3)</t>
  </si>
  <si>
    <t>(4)</t>
  </si>
  <si>
    <t>Attachment O</t>
  </si>
  <si>
    <t>Line</t>
  </si>
  <si>
    <t>Page, Line, Col.</t>
  </si>
  <si>
    <t>Transmission</t>
  </si>
  <si>
    <t>Allocator</t>
  </si>
  <si>
    <t>No.</t>
  </si>
  <si>
    <t>Gross Transmission Plant - Total</t>
  </si>
  <si>
    <t>Attach O, p 2, line 2 col 5 (Note A)</t>
  </si>
  <si>
    <t>Net Transmission Plant - Total</t>
  </si>
  <si>
    <t>Attach O, p 2, line 14 and 23b col 5 (Note B)</t>
  </si>
  <si>
    <t>O&amp;M EXPENSE</t>
  </si>
  <si>
    <t>Total O&amp;M Allocated to Transmission</t>
  </si>
  <si>
    <t>Attach O, p 3, line 8 col 5</t>
  </si>
  <si>
    <t>Annual Allocation Factor for O&amp;M</t>
  </si>
  <si>
    <t>(line 3 divided by line 1 col 3)</t>
  </si>
  <si>
    <t>GENERAL AND COMMON (G&amp;C) DEPRECIATION EXPENSE</t>
  </si>
  <si>
    <t>5</t>
  </si>
  <si>
    <t>Total G&amp;C Depreciation Expense</t>
  </si>
  <si>
    <t>Attach O, p 3, lines 10 &amp; 11, col 5 (Note H)</t>
  </si>
  <si>
    <t>6</t>
  </si>
  <si>
    <t>Annual Allocation Factor for G&amp;C Depreciation Expense</t>
  </si>
  <si>
    <t>(line 5 divided by line 1 col 3)</t>
  </si>
  <si>
    <t>TAXES OTHER THAN INCOME TAXES</t>
  </si>
  <si>
    <t>7</t>
  </si>
  <si>
    <t>Total Other Taxes</t>
  </si>
  <si>
    <t>Attach O, p 3, line 20 col 5</t>
  </si>
  <si>
    <t>8</t>
  </si>
  <si>
    <t>Annual Allocation Factor for Other Taxes</t>
  </si>
  <si>
    <t>(line 7 divided by line 1 col 3)</t>
  </si>
  <si>
    <t>9</t>
  </si>
  <si>
    <t>Annual Allocation Factor for Expense</t>
  </si>
  <si>
    <t>Sum of line 4, 6, and 8</t>
  </si>
  <si>
    <t>INCOME TAXES</t>
  </si>
  <si>
    <t>10</t>
  </si>
  <si>
    <t>Total Income Taxes</t>
  </si>
  <si>
    <t>Attach O, p 3, line 27 col 5</t>
  </si>
  <si>
    <t>11</t>
  </si>
  <si>
    <t>Annual Allocation Factor for Income Taxes</t>
  </si>
  <si>
    <t>(line 10 divided by line 2 col 3)</t>
  </si>
  <si>
    <t xml:space="preserve">RETURN </t>
  </si>
  <si>
    <t>12</t>
  </si>
  <si>
    <t>Return on Rate Base</t>
  </si>
  <si>
    <t>Attach O, p 3, line 28 col 5</t>
  </si>
  <si>
    <t>13</t>
  </si>
  <si>
    <t>Annual Allocation Factor for Return on Rate Base</t>
  </si>
  <si>
    <t>(line 12 divided by line 2 col 3)</t>
  </si>
  <si>
    <t>14</t>
  </si>
  <si>
    <t>Annual Allocation Factor for Return</t>
  </si>
  <si>
    <t>Sum of line 11 and 13</t>
  </si>
  <si>
    <t>Page 2 of 2</t>
  </si>
  <si>
    <t xml:space="preserve">                           Network Upgrade Charge Calculation By Project</t>
  </si>
  <si>
    <t>Line No.</t>
  </si>
  <si>
    <t>Project Name</t>
  </si>
  <si>
    <t>MTEP Project Number</t>
  </si>
  <si>
    <t xml:space="preserve">Project Gross Plant </t>
  </si>
  <si>
    <t>Annual Expense Charge</t>
  </si>
  <si>
    <t xml:space="preserve">Project Net Plant </t>
  </si>
  <si>
    <t>Annual Return Charge</t>
  </si>
  <si>
    <t>Project Depreciation Expense</t>
  </si>
  <si>
    <t>Annual Revenue Requirement</t>
  </si>
  <si>
    <t>True-Up Adjustment</t>
  </si>
  <si>
    <t>Network Upgrade Charge</t>
  </si>
  <si>
    <t>(Note C)</t>
  </si>
  <si>
    <t>(Col. 3 * Col. 4)</t>
  </si>
  <si>
    <t>(Note D)</t>
  </si>
  <si>
    <t>(Col. 6 * Col. 7)</t>
  </si>
  <si>
    <t>(Note E)</t>
  </si>
  <si>
    <t>(Sum Col. 5, 8 &amp; 9)</t>
  </si>
  <si>
    <t>(Note F)</t>
  </si>
  <si>
    <t>Sum Col. 10 &amp; 11
(Note G)</t>
  </si>
  <si>
    <t>1a</t>
  </si>
  <si>
    <t>Yankee (Colvill) Gen Station</t>
  </si>
  <si>
    <t>1b</t>
  </si>
  <si>
    <t>Cannon Falls</t>
  </si>
  <si>
    <t>1c</t>
  </si>
  <si>
    <t>Nobles Gen Station</t>
  </si>
  <si>
    <t>1d</t>
  </si>
  <si>
    <t>St. Cloud / Sauk River</t>
  </si>
  <si>
    <t>1e</t>
  </si>
  <si>
    <t>1f</t>
  </si>
  <si>
    <t>1g</t>
  </si>
  <si>
    <t>1h</t>
  </si>
  <si>
    <t>G349  37774-01 Upgrades for G349</t>
  </si>
  <si>
    <t>1i</t>
  </si>
  <si>
    <t>1j</t>
  </si>
  <si>
    <t>G809 Network Upgrades</t>
  </si>
  <si>
    <t>1k</t>
  </si>
  <si>
    <t>G417 Network Upgrades</t>
  </si>
  <si>
    <t>1l</t>
  </si>
  <si>
    <t>1m</t>
  </si>
  <si>
    <t>1n</t>
  </si>
  <si>
    <t>1o</t>
  </si>
  <si>
    <t>2</t>
  </si>
  <si>
    <t>Annual Totals</t>
  </si>
  <si>
    <t>Rev. Req. Adj For Attachment O</t>
  </si>
  <si>
    <t>Note</t>
  </si>
  <si>
    <t>Letter</t>
  </si>
  <si>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</si>
  <si>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t>D</t>
  </si>
  <si>
    <t>Project Net Plant is the Project Gross Plant Identified in Column 3 less the associated Accumulated Depreciation.</t>
  </si>
  <si>
    <t>Project Depreciation Expense is the actual value booked for the project and included in the Depreciation Expense in Attachment O page 3 line 12.</t>
  </si>
  <si>
    <t>True-Up Adjustment is included pursuant to a FERC approved methodology, if applicable.</t>
  </si>
  <si>
    <t>H</t>
  </si>
  <si>
    <t>The Total General and Common Depreciation Expense excludes any depreciation expense directly associated with a project and thereby included in page 2 column 9.</t>
  </si>
  <si>
    <t>Attachment MM</t>
  </si>
  <si>
    <t>(inputs from Attachment O are rounded to whole dollars)</t>
  </si>
  <si>
    <t>Transmission Accumulated Depreciation</t>
  </si>
  <si>
    <t xml:space="preserve">Attach O, p 2, line 8 col 5 </t>
  </si>
  <si>
    <t>Line 1 minus Line 1a (Note B)</t>
  </si>
  <si>
    <t>O&amp;M TRANSMISSION EXPENSE</t>
  </si>
  <si>
    <t>3a</t>
  </si>
  <si>
    <t>Transmission O&amp;M</t>
  </si>
  <si>
    <t>Attach O, p 3, line 1 col 5</t>
  </si>
  <si>
    <t>3b</t>
  </si>
  <si>
    <t>Less: LSE Expenses included in above, if any</t>
  </si>
  <si>
    <t>Attach O, p 3, line 1a col 5</t>
  </si>
  <si>
    <t>3c</t>
  </si>
  <si>
    <t>Less: Account 565 included in above, if any</t>
  </si>
  <si>
    <t>Attach O, p 3, line 2 col 5</t>
  </si>
  <si>
    <t>3d</t>
  </si>
  <si>
    <t>Adjusted Transmission O&amp;M</t>
  </si>
  <si>
    <t>Line 3a minus Line 3b minus Line 3c</t>
  </si>
  <si>
    <t>Annual Allocation Factor for Transmission O&amp;M</t>
  </si>
  <si>
    <t>(Line 3d divided by line 1a, col 3)</t>
  </si>
  <si>
    <t>OTHER O&amp;M EXPENSE</t>
  </si>
  <si>
    <t>4a</t>
  </si>
  <si>
    <t>Other O&amp;M Allocated to Transmission</t>
  </si>
  <si>
    <t>Line 3 minus Line 3d</t>
  </si>
  <si>
    <t>4b</t>
  </si>
  <si>
    <t>Annual Allocation Factor for Other O&amp;M</t>
  </si>
  <si>
    <t>Line 4a divided by Line 1, col 3</t>
  </si>
  <si>
    <t>Annual Allocation Factor for Other Expense</t>
  </si>
  <si>
    <t>Sum of line 4b, 6, and 8</t>
  </si>
  <si>
    <t>Multi-Value Project (MVP) Revenue Requirement Calculation</t>
  </si>
  <si>
    <t>(5)</t>
  </si>
  <si>
    <t>(6)</t>
  </si>
  <si>
    <t>(7)</t>
  </si>
  <si>
    <t>(8)</t>
  </si>
  <si>
    <t>(9)</t>
  </si>
  <si>
    <t>(10)</t>
  </si>
  <si>
    <t>(11)</t>
  </si>
  <si>
    <t>(12)</t>
  </si>
  <si>
    <t>(13)</t>
  </si>
  <si>
    <t>(14)</t>
  </si>
  <si>
    <t>(15)</t>
  </si>
  <si>
    <t>(16)</t>
  </si>
  <si>
    <t>Project Gross Plant</t>
  </si>
  <si>
    <t>Project Accumulated Depreciation</t>
  </si>
  <si>
    <t>Transmission O&amp;M Annual Allocation Factor</t>
  </si>
  <si>
    <t>Annual Allocation for Transmission O&amp;M Expense</t>
  </si>
  <si>
    <t>Other Expense Annual Allocation Factor</t>
  </si>
  <si>
    <t>Annual Allocation for Other Expense</t>
  </si>
  <si>
    <t>MVP Annual Adjusted Revenue Requirement</t>
  </si>
  <si>
    <t>Page 1 line 4</t>
  </si>
  <si>
    <t>(Col 4 * Col 5)</t>
  </si>
  <si>
    <t>Page 1 line 9</t>
  </si>
  <si>
    <t>(Col 3 * Col 7)</t>
  </si>
  <si>
    <t>(Col 6 + Col 8)</t>
  </si>
  <si>
    <t>(Col 3 - Col 4)</t>
  </si>
  <si>
    <t>(Page 1 line 14)</t>
  </si>
  <si>
    <t>(Col 10 * Col 11)</t>
  </si>
  <si>
    <t>(Sum Col. 9, 12 &amp; 13)</t>
  </si>
  <si>
    <t>Sum Col. 14 &amp; 15
(Note G)</t>
  </si>
  <si>
    <t>Multi-Value Projects (MVP)</t>
  </si>
  <si>
    <t>MVP Total Annual Revenue Requirements</t>
  </si>
  <si>
    <t>Gross Transmission Plant is that identified on page 2 line 2 of Attachment O and includes any sub lines 2a or 2b etc. and is inclusive of any CWIP included in rate base when authorized by FERC order less any prefunded AFUDC, if applicable. Transmission  Accumulated</t>
  </si>
  <si>
    <t>Depreciation comports with this Note A and Note B below.  References to Attachment O "Column 5" throughout this tempalte is an illustrative column designation intended to refernce the appropriate right-most column in Attachment O which position may vary by company.</t>
  </si>
  <si>
    <t>Net Transmission Plant is that identified on page 2 line 14 of Attachment O and includes any sub lines 14a or 14b etc. and is inclusive of any CWIP included in rate base when authorized by FERC order.</t>
  </si>
  <si>
    <t>Project Gross Plant is the total capital investment for the project calculated in the same method as the gross plant value in line 1 and includes CWIP in rate base when authorized by FERC order less any prefunded AFUDC, if applicable.  This value includes subsequent</t>
  </si>
  <si>
    <t>capital investments required to maintain the facilities to their original capabilities.</t>
  </si>
  <si>
    <t>Note deliberately left blank.</t>
  </si>
  <si>
    <t>True-Up Adjustment is included pursuant to a FERC approved methodology if applicable.</t>
  </si>
  <si>
    <t>The MVP Annual Revenue Requirement is the value to be used in Schedule 26-A.</t>
  </si>
  <si>
    <t>The Total General and Common Depreciation Expense excludes any depreciation expense directly associated with a project and thereby included in page 2 column 13.</t>
  </si>
  <si>
    <t>Original MM    Rev Req</t>
  </si>
  <si>
    <t>Attachment MM True-Up Adjustment - Project Basis</t>
  </si>
  <si>
    <t>To be completed after the Attachment MM using actual data is completed for the True-Up Year</t>
  </si>
  <si>
    <t xml:space="preserve">Company Name:  </t>
  </si>
  <si>
    <t>Northern States Power Company</t>
  </si>
  <si>
    <t xml:space="preserve">True-Up Year:  </t>
  </si>
  <si>
    <t xml:space="preserve">Note:  </t>
  </si>
  <si>
    <t>(a)</t>
  </si>
  <si>
    <t>(b)</t>
  </si>
  <si>
    <t>(c)</t>
  </si>
  <si>
    <t>(d)</t>
  </si>
  <si>
    <t>(e)</t>
  </si>
  <si>
    <t>(f)</t>
  </si>
  <si>
    <t>(g)</t>
  </si>
  <si>
    <t>(h)</t>
  </si>
  <si>
    <t>(i)</t>
  </si>
  <si>
    <t>(j)</t>
  </si>
  <si>
    <t>(k)</t>
  </si>
  <si>
    <t>Applicable</t>
  </si>
  <si>
    <t>MTEP</t>
  </si>
  <si>
    <t>Annual</t>
  </si>
  <si>
    <t>Revenues</t>
  </si>
  <si>
    <t>Allocated</t>
  </si>
  <si>
    <t>Rate on</t>
  </si>
  <si>
    <t>Name</t>
  </si>
  <si>
    <t>Number</t>
  </si>
  <si>
    <t>Under/(Over)</t>
  </si>
  <si>
    <t>[Col. (d), line 1</t>
  </si>
  <si>
    <t>x (Col. (e), line 2x /</t>
  </si>
  <si>
    <t>Line 5 or</t>
  </si>
  <si>
    <t>Col. (h) x Col. (i)</t>
  </si>
  <si>
    <t>Col. (g) - Col. (f)</t>
  </si>
  <si>
    <t>Line 6</t>
  </si>
  <si>
    <t>Col. (h) + Col. (j)</t>
  </si>
  <si>
    <t>2a</t>
  </si>
  <si>
    <t>Brookings</t>
  </si>
  <si>
    <t>Subtotal</t>
  </si>
  <si>
    <t>Under/(Over) Recovery</t>
  </si>
  <si>
    <t>Interest rate per month on Under Recovery (expressed to four decimal places)</t>
  </si>
  <si>
    <t>Interest rate per month on Over Recovery (expressed to four decimal places)</t>
  </si>
  <si>
    <t>1</t>
  </si>
  <si>
    <t>Amount excludes True-Up Adjustment, as reported in True-Up Year projected Attachment MM, page 2, column 15.</t>
  </si>
  <si>
    <t>Rounded to whole dollars.</t>
  </si>
  <si>
    <r>
      <t xml:space="preserve">Requirement </t>
    </r>
    <r>
      <rPr>
        <vertAlign val="superscript"/>
        <sz val="11"/>
        <color indexed="8"/>
        <rFont val="Arial"/>
        <family val="2"/>
      </rPr>
      <t>1</t>
    </r>
  </si>
  <si>
    <r>
      <t xml:space="preserve">to Projects </t>
    </r>
    <r>
      <rPr>
        <vertAlign val="superscript"/>
        <sz val="11"/>
        <color indexed="8"/>
        <rFont val="Arial"/>
        <family val="2"/>
      </rPr>
      <t>1</t>
    </r>
  </si>
  <si>
    <r>
      <t xml:space="preserve">Actual Attachment MM revenues for True-Up Year </t>
    </r>
    <r>
      <rPr>
        <vertAlign val="superscript"/>
        <sz val="11"/>
        <color indexed="8"/>
        <rFont val="Arial"/>
        <family val="2"/>
      </rPr>
      <t>1</t>
    </r>
  </si>
  <si>
    <r>
      <t>p 2 of 2, Col. 14</t>
    </r>
    <r>
      <rPr>
        <vertAlign val="superscript"/>
        <sz val="10"/>
        <color indexed="8"/>
        <rFont val="Arial"/>
        <family val="2"/>
      </rPr>
      <t>2</t>
    </r>
  </si>
  <si>
    <r>
      <t>Col. (e), line 3)]</t>
    </r>
    <r>
      <rPr>
        <vertAlign val="superscript"/>
        <sz val="10"/>
        <color indexed="8"/>
        <rFont val="Arial"/>
        <family val="2"/>
      </rPr>
      <t>2</t>
    </r>
  </si>
  <si>
    <r>
      <t xml:space="preserve">x 24 months </t>
    </r>
    <r>
      <rPr>
        <vertAlign val="superscript"/>
        <sz val="10"/>
        <color indexed="8"/>
        <rFont val="Arial"/>
        <family val="2"/>
      </rPr>
      <t>2</t>
    </r>
  </si>
  <si>
    <t>Attachment GG - Supporting Data for Network Upgrade Charge Calculation - Forward Looking Rate Transmission Owner</t>
  </si>
  <si>
    <t xml:space="preserve">Rate Year </t>
  </si>
  <si>
    <t>Reporting Company</t>
  </si>
  <si>
    <t>Reliability</t>
  </si>
  <si>
    <t>MTEP Project ID</t>
  </si>
  <si>
    <t>GIP</t>
  </si>
  <si>
    <t>Allocation Type Per Attachment FF</t>
  </si>
  <si>
    <t>Gross Plant</t>
  </si>
  <si>
    <t>Column (3)</t>
  </si>
  <si>
    <t>February</t>
  </si>
  <si>
    <t xml:space="preserve">March </t>
  </si>
  <si>
    <t>April</t>
  </si>
  <si>
    <t>June</t>
  </si>
  <si>
    <t>July</t>
  </si>
  <si>
    <t xml:space="preserve">August </t>
  </si>
  <si>
    <t>September</t>
  </si>
  <si>
    <t>October</t>
  </si>
  <si>
    <t>November</t>
  </si>
  <si>
    <t>13 Month Average</t>
  </si>
  <si>
    <t>Accumulated</t>
  </si>
  <si>
    <t>Depreciation</t>
  </si>
  <si>
    <t>Net Plant</t>
  </si>
  <si>
    <t>Column (6)</t>
  </si>
  <si>
    <t>Depreciation Expense</t>
  </si>
  <si>
    <t>Column (9)</t>
  </si>
  <si>
    <t>Project Amortization Expense</t>
  </si>
  <si>
    <t>Depreciation Expense Total</t>
  </si>
  <si>
    <t>Attachment MM - Supporting Data for Network Upgrade Charge Calculation - Forward Looking Rate Transmission Owner</t>
  </si>
  <si>
    <t>1203</t>
  </si>
  <si>
    <t>Column (4)</t>
  </si>
  <si>
    <t>Column (10)</t>
  </si>
  <si>
    <t>Column (13)</t>
  </si>
  <si>
    <t>3312</t>
  </si>
  <si>
    <t>Kohlman Lake Goose Lake</t>
  </si>
  <si>
    <t>3317</t>
  </si>
  <si>
    <t>Mn Vallley Kerkhoven</t>
  </si>
  <si>
    <t>517324.1010</t>
  </si>
  <si>
    <t>Glenco</t>
  </si>
  <si>
    <t>Ames</t>
  </si>
  <si>
    <t>Rochester</t>
  </si>
  <si>
    <t>CLECO</t>
  </si>
  <si>
    <t>Alexandria, LA</t>
  </si>
  <si>
    <t>32 CLECO</t>
  </si>
  <si>
    <t>SMEPA Total</t>
  </si>
  <si>
    <t>517246.1000</t>
  </si>
  <si>
    <t>517246.2000</t>
  </si>
  <si>
    <t>Schedule 37 Rev</t>
  </si>
  <si>
    <t>Schedule 38 Rev</t>
  </si>
  <si>
    <t>(1) Actuals Rev Req less Projected Rev Req</t>
  </si>
  <si>
    <t xml:space="preserve">(2) Actuals Rev Req less Act Rev </t>
  </si>
  <si>
    <r>
      <t xml:space="preserve">Cost True-Up </t>
    </r>
    <r>
      <rPr>
        <sz val="9"/>
        <rFont val="Times New Roman"/>
        <family val="1"/>
      </rPr>
      <t>(1)</t>
    </r>
  </si>
  <si>
    <r>
      <t xml:space="preserve">Rev True-Up </t>
    </r>
    <r>
      <rPr>
        <sz val="9"/>
        <rFont val="Times New Roman"/>
        <family val="1"/>
      </rPr>
      <t>(2)</t>
    </r>
  </si>
  <si>
    <t>Attachment MM Proof</t>
  </si>
  <si>
    <t>3775</t>
  </si>
  <si>
    <t>9523</t>
  </si>
  <si>
    <t>1p</t>
  </si>
  <si>
    <t>1r</t>
  </si>
  <si>
    <t>Courdry Osprey</t>
  </si>
  <si>
    <t>1s</t>
  </si>
  <si>
    <t>GIP 826 Crandal</t>
  </si>
  <si>
    <t>B31</t>
  </si>
  <si>
    <t>B32</t>
  </si>
  <si>
    <t>B33</t>
  </si>
  <si>
    <t>B34</t>
  </si>
  <si>
    <t>B35</t>
  </si>
  <si>
    <t>B36</t>
  </si>
  <si>
    <t>B37</t>
  </si>
  <si>
    <t>N31</t>
  </si>
  <si>
    <t>N32</t>
  </si>
  <si>
    <t>N33</t>
  </si>
  <si>
    <t>N34</t>
  </si>
  <si>
    <t>N35</t>
  </si>
  <si>
    <t>N36</t>
  </si>
  <si>
    <t>N37</t>
  </si>
  <si>
    <t>Coudry Osprey</t>
  </si>
  <si>
    <t>EMI</t>
  </si>
  <si>
    <t>ELL</t>
  </si>
  <si>
    <t>Marshall</t>
  </si>
  <si>
    <t>Willmar</t>
  </si>
  <si>
    <t>TRANSMISSION OWNERS WITH LOAD IN MULTIPLE ZONES</t>
  </si>
  <si>
    <t>CHECK FIGURE- SHOULD TIE TO ATTACH O DIVISOR</t>
  </si>
  <si>
    <t>NSP Load in OTP PZ</t>
  </si>
  <si>
    <t>NWEC Total</t>
  </si>
  <si>
    <t>CLECO Total</t>
  </si>
  <si>
    <t>NSP Companies 2016 Attachment GG Annual True-Up</t>
  </si>
  <si>
    <t>2016 Revenue recorded in SAP</t>
  </si>
  <si>
    <t>Actual 2016 Rev Req</t>
  </si>
  <si>
    <t>Based upon the updated Attachment GG using actual 2016 Attachment O costs.</t>
  </si>
  <si>
    <t>WPPI</t>
  </si>
  <si>
    <t>ENTO</t>
  </si>
  <si>
    <t>N38</t>
  </si>
  <si>
    <t>B38</t>
  </si>
  <si>
    <t>Cooperative Energy</t>
  </si>
  <si>
    <t>CPEC</t>
  </si>
  <si>
    <t>2016 Estimated Revenue Requirement</t>
  </si>
  <si>
    <t>2016 Rev Requirement Act</t>
  </si>
  <si>
    <t>2016 Est ARR</t>
  </si>
  <si>
    <t>Schedule 26</t>
  </si>
  <si>
    <r>
      <t xml:space="preserve">Load or </t>
    </r>
    <r>
      <rPr>
        <b/>
        <u/>
        <sz val="10"/>
        <rFont val="Arial"/>
        <family val="2"/>
      </rPr>
      <t>Revenue</t>
    </r>
  </si>
  <si>
    <t>January</t>
  </si>
  <si>
    <t>March</t>
  </si>
  <si>
    <t>August</t>
  </si>
  <si>
    <t>September 1 - 27</t>
  </si>
  <si>
    <t>September 28 - 30</t>
  </si>
  <si>
    <t>December</t>
  </si>
  <si>
    <t>@ 12.38% ROE</t>
  </si>
  <si>
    <t>@ 10.82% ROE</t>
  </si>
  <si>
    <t>Blended</t>
  </si>
  <si>
    <t>J</t>
  </si>
  <si>
    <t>M</t>
  </si>
  <si>
    <t>S</t>
  </si>
  <si>
    <t>O</t>
  </si>
  <si>
    <t>N</t>
  </si>
  <si>
    <t>J - 16</t>
  </si>
  <si>
    <t>J -17</t>
  </si>
  <si>
    <t>Ave</t>
  </si>
  <si>
    <t>1st Qtr 2016</t>
  </si>
  <si>
    <t>2nd Qtr 2016</t>
  </si>
  <si>
    <t>3rd Qtr 2016</t>
  </si>
  <si>
    <t>4th Qtr 2016</t>
  </si>
  <si>
    <t>1st Qtr 2017</t>
  </si>
  <si>
    <t>2nd Qtr 2017</t>
  </si>
  <si>
    <t>3rd Qtr 2017</t>
  </si>
  <si>
    <t>4th Qtr 2017</t>
  </si>
  <si>
    <t>Attachment GG - Generic Company</t>
  </si>
  <si>
    <t>For  the 12 months ended 12/31/2016</t>
  </si>
  <si>
    <t>Northern States Power Companies @ 12.38% ROE</t>
  </si>
  <si>
    <t>(Page 1 line 9)</t>
  </si>
  <si>
    <t>Projected        2016 Col 12</t>
  </si>
  <si>
    <t>Bemidji</t>
  </si>
  <si>
    <t>Twin Cities - Fargo</t>
  </si>
  <si>
    <t>Twin Cities - Rochester</t>
  </si>
  <si>
    <t>Glenco Waconia</t>
  </si>
  <si>
    <t xml:space="preserve">Minnesota Valley Kerkhoven </t>
  </si>
  <si>
    <t>Kohlman Lake</t>
  </si>
  <si>
    <t>1q</t>
  </si>
  <si>
    <t>Crandal</t>
  </si>
  <si>
    <t>Gross Transmission Plant is that identified on page 2 line 2 of Attachment O and includes any sub lines 2a or 2b etc. and is inclusive of any CWIP included in rate base when authorized by FERC order less any prefunded AFUDC, if applicable.</t>
  </si>
  <si>
    <t>Net Transmission Plant is that identified on page 2 line 14 of Attachment O and includes any sub lines 14a or 14b etc. and is inclusive of any CWIP included in rate base when authorized by FERC order less any prefunded AFUDC, if applicable.</t>
  </si>
  <si>
    <t>The Network Upgrade Charge is the value to be used in Schedules 26, 37 and 38.</t>
  </si>
  <si>
    <t>2016</t>
  </si>
  <si>
    <t>Northern States Power Companies @ 10.82% ROE</t>
  </si>
  <si>
    <t>Projected        2016 Col 16</t>
  </si>
  <si>
    <t>NSP Companies @ 10.82% ROE</t>
  </si>
  <si>
    <t>NSP Companies @ 12.38% ROE</t>
  </si>
  <si>
    <t>Schedule 26-A</t>
  </si>
  <si>
    <t>At 12.38% ROE</t>
  </si>
  <si>
    <t>At 10.82% ROE</t>
  </si>
  <si>
    <t>Weighting</t>
  </si>
  <si>
    <t>2016 MM Revenue received</t>
  </si>
  <si>
    <t>Based upon the updated Attachment MM using actual 2016 Attachment O costs.</t>
  </si>
  <si>
    <t>2016 Actual Load</t>
  </si>
  <si>
    <t>2016 Projected Load</t>
  </si>
  <si>
    <t>V1.0</t>
  </si>
  <si>
    <t>V2.0</t>
  </si>
  <si>
    <t>Original submission July 21, 2017</t>
  </si>
  <si>
    <t>Updated 2016 Att MM Projected and Actual "True-Up Adjustment" Col 15 balance to include EL14-12 True-up amount for 2014, V1.0 included original 2014 True-up balance.</t>
  </si>
  <si>
    <t>Updated 2016 Att GG Projected and Actual "True-Up Adjustment" Col 11 balances to include EL14-12 True-up amounts for 2014, V1.0 included original 2014 True-up balances.</t>
  </si>
  <si>
    <t>Updated 2016 Actual Loads to include adjusted load for OTP as provided by MISO.</t>
  </si>
  <si>
    <t>Updated calculation formula allocation factor inputs based on updated 2016 Attachment O with Actual Costs</t>
  </si>
  <si>
    <t>1366  GIP - MTEP 06</t>
  </si>
  <si>
    <t>1456  GIP - MTEP 06</t>
  </si>
  <si>
    <t>1457  GIP - MTEP 06</t>
  </si>
  <si>
    <t>1953 - MTEP 08</t>
  </si>
  <si>
    <t>279 - NSP portion - see below for OTP, MP, GRE - MTEP 06</t>
  </si>
  <si>
    <t>286 - NSP portion - MTEP 08</t>
  </si>
  <si>
    <t>1024 - MTEP 08</t>
  </si>
  <si>
    <t>1458  GIP - MTEP 06</t>
  </si>
  <si>
    <t>2765 GIP - MTEP 09</t>
  </si>
  <si>
    <t>2109   GIP - MTEP 08</t>
  </si>
  <si>
    <t>2119  GIP - MTEP 08</t>
  </si>
  <si>
    <t>2178 GIP - MTEP 09</t>
  </si>
  <si>
    <t>1285 - MTEP 08</t>
  </si>
  <si>
    <t>2307 - MTEP 09</t>
  </si>
  <si>
    <t>3104 - MTEP 10</t>
  </si>
  <si>
    <t>3312 - MTEP 11</t>
  </si>
  <si>
    <t>3317 - MTEP 11</t>
  </si>
  <si>
    <t>3775 - MTEP 12</t>
  </si>
  <si>
    <t>9523 - MTEP 15</t>
  </si>
  <si>
    <t>Per Treasury Group NSP MN &amp; NSP WI</t>
  </si>
  <si>
    <t>Updated NSP Short Term Interest Rate (based on full 19 months of actual data)</t>
  </si>
  <si>
    <t>January 2016</t>
  </si>
  <si>
    <t>January 2017</t>
  </si>
  <si>
    <t>19 Mo Average</t>
  </si>
  <si>
    <t>Rate</t>
  </si>
  <si>
    <t>V2.1</t>
  </si>
  <si>
    <t>This update lowered the calculated 2016 over collection true-up for Attachment GG (including interest) to $5,025,877 from the original calculated true-up of $5,063,366.</t>
  </si>
  <si>
    <t>This update lowered the calculated 2016 under collection true-up for Attachment MM (including interest) to $3,336,302 from the original calculated true-up of $3,952,175.</t>
  </si>
  <si>
    <t>This update lowered the calculated 2016 over collection true-up for Attachment GG (including interest) to $6,074,909 from the V2.0 update calculated true-up of $5,025,877.</t>
  </si>
  <si>
    <t>This update lowered the calculated 2016 under collection true-up for Attachment MM (including interest) to $2,636,474 from the V2.0 update calculated true-up of $3,336,302.</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</si>
</sst>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quot;$&quot;#,##0.00"/>
    <numFmt numFmtId="167" formatCode="_(* #,##0_);_(* \(#,##0\);_(* &quot;-&quot;??_);_(@_)"/>
    <numFmt numFmtId="168" formatCode="0.0000%"/>
    <numFmt numFmtId="169" formatCode="_(* #,##0.0000_);_(* \(#,##0.0000\);_(* &quot;-&quot;??_);_(@_)"/>
    <numFmt numFmtId="170" formatCode="0.000%"/>
    <numFmt numFmtId="171" formatCode="0.0000"/>
    <numFmt numFmtId="172" formatCode="_(* #,##0.00000000000000000000000000000000000_);_(* \(#,##0.00000000000000000000000000000000000\);_(* &quot;-&quot;??_);_(@_)"/>
    <numFmt numFmtId="173" formatCode="#,##0.00000"/>
    <numFmt numFmtId="174" formatCode="0_);\(0\)"/>
    <numFmt numFmtId="175" formatCode="_(* #,##0.00_);_(* \(#,##0.00\);_(* &quot;-&quot;_);_(@_)"/>
  </numFmts>
  <fonts count="65">
    <font>
      <sz val="12"/>
      <name val="Times New Roman"/>
    </font>
    <font>
      <sz val="12"/>
      <name val="Times New Roman"/>
      <family val="1"/>
    </font>
    <font>
      <sz val="10"/>
      <color indexed="8"/>
      <name val="Arial Narrow"/>
      <family val="2"/>
    </font>
    <font>
      <sz val="10"/>
      <color indexed="8"/>
      <name val="Arial"/>
      <family val="2"/>
    </font>
    <font>
      <sz val="8"/>
      <name val="Times New Roman"/>
      <family val="1"/>
    </font>
    <font>
      <b/>
      <sz val="12"/>
      <name val="Times New Roman"/>
      <family val="1"/>
    </font>
    <font>
      <sz val="12"/>
      <name val="Times New Roman"/>
      <family val="1"/>
    </font>
    <font>
      <sz val="12"/>
      <color indexed="8"/>
      <name val="Times New Roman"/>
      <family val="1"/>
    </font>
    <font>
      <b/>
      <sz val="12"/>
      <color indexed="8"/>
      <name val="Times New Roman"/>
      <family val="1"/>
    </font>
    <font>
      <sz val="12"/>
      <color indexed="12"/>
      <name val="Times New Roman"/>
      <family val="1"/>
    </font>
    <font>
      <b/>
      <sz val="8"/>
      <color indexed="81"/>
      <name val="Tahoma"/>
      <family val="2"/>
    </font>
    <font>
      <sz val="8"/>
      <color indexed="81"/>
      <name val="Tahoma"/>
      <family val="2"/>
    </font>
    <font>
      <sz val="14"/>
      <name val="Times New Roman"/>
      <family val="1"/>
    </font>
    <font>
      <u/>
      <sz val="12"/>
      <name val="Times New Roman"/>
      <family val="1"/>
    </font>
    <font>
      <sz val="12"/>
      <color indexed="30"/>
      <name val="Times New Roman"/>
      <family val="1"/>
    </font>
    <font>
      <sz val="8"/>
      <color indexed="8"/>
      <name val="Times New Roman"/>
      <family val="1"/>
    </font>
    <font>
      <sz val="9"/>
      <name val="Times New Roman"/>
      <family val="1"/>
    </font>
    <font>
      <sz val="14"/>
      <color indexed="8"/>
      <name val="Times New Roman"/>
      <family val="1"/>
    </font>
    <font>
      <b/>
      <sz val="12"/>
      <name val="Arial Narrow"/>
      <family val="2"/>
    </font>
    <font>
      <b/>
      <sz val="18"/>
      <color indexed="56"/>
      <name val="Cambria"/>
      <family val="2"/>
    </font>
    <font>
      <sz val="12"/>
      <name val="Wingdings 2"/>
      <family val="1"/>
      <charset val="2"/>
    </font>
    <font>
      <sz val="12"/>
      <name val="Arial"/>
      <family val="2"/>
    </font>
    <font>
      <b/>
      <sz val="12"/>
      <name val="Arial"/>
      <family val="2"/>
    </font>
    <font>
      <sz val="12"/>
      <color indexed="10"/>
      <name val="Arial"/>
      <family val="2"/>
    </font>
    <font>
      <sz val="12"/>
      <name val="Arial MT"/>
    </font>
    <font>
      <sz val="12"/>
      <color indexed="9"/>
      <name val="Arial MT"/>
    </font>
    <font>
      <sz val="10"/>
      <name val="Arial MT"/>
    </font>
    <font>
      <sz val="11"/>
      <name val="Arial"/>
      <family val="2"/>
    </font>
    <font>
      <sz val="10"/>
      <name val="Arial"/>
      <family val="2"/>
    </font>
    <font>
      <u/>
      <sz val="12"/>
      <name val="Arial"/>
      <family val="2"/>
    </font>
    <font>
      <sz val="11"/>
      <name val="Arial"/>
      <family val="2"/>
    </font>
    <font>
      <sz val="12"/>
      <color indexed="17"/>
      <name val="Arial"/>
      <family val="2"/>
    </font>
    <font>
      <vertAlign val="superscript"/>
      <sz val="11"/>
      <color indexed="8"/>
      <name val="Arial"/>
      <family val="2"/>
    </font>
    <font>
      <sz val="11"/>
      <color indexed="30"/>
      <name val="Arial"/>
      <family val="2"/>
    </font>
    <font>
      <b/>
      <sz val="11"/>
      <color indexed="8"/>
      <name val="Arial"/>
      <family val="2"/>
    </font>
    <font>
      <sz val="11"/>
      <color indexed="8"/>
      <name val="Arial"/>
      <family val="2"/>
    </font>
    <font>
      <vertAlign val="superscript"/>
      <sz val="10"/>
      <color indexed="8"/>
      <name val="Arial"/>
      <family val="2"/>
    </font>
    <font>
      <sz val="10"/>
      <name val="Arial Narrow"/>
      <family val="2"/>
    </font>
    <font>
      <b/>
      <sz val="14"/>
      <name val="Arial"/>
      <family val="2"/>
    </font>
    <font>
      <sz val="14"/>
      <name val="Arial"/>
      <family val="2"/>
    </font>
    <font>
      <b/>
      <sz val="10"/>
      <name val="Arial"/>
      <family val="2"/>
    </font>
    <font>
      <b/>
      <sz val="10"/>
      <color indexed="9"/>
      <name val="Arial"/>
      <family val="2"/>
    </font>
    <font>
      <b/>
      <sz val="10"/>
      <color indexed="9"/>
      <name val="Arial MT"/>
    </font>
    <font>
      <b/>
      <sz val="10"/>
      <name val="Arial MT"/>
    </font>
    <font>
      <sz val="10"/>
      <color indexed="9"/>
      <name val="Arial"/>
      <family val="2"/>
    </font>
    <font>
      <sz val="10"/>
      <color indexed="49"/>
      <name val="Arial"/>
      <family val="2"/>
    </font>
    <font>
      <b/>
      <sz val="9"/>
      <color indexed="81"/>
      <name val="Tahoma"/>
      <family val="2"/>
    </font>
    <font>
      <sz val="9"/>
      <color indexed="81"/>
      <name val="Tahoma"/>
      <family val="2"/>
    </font>
    <font>
      <sz val="12"/>
      <color rgb="FF0070C0"/>
      <name val="Times New Roman"/>
      <family val="1"/>
    </font>
    <font>
      <sz val="12"/>
      <color theme="1"/>
      <name val="Times New Roman"/>
      <family val="1"/>
    </font>
    <font>
      <b/>
      <sz val="10"/>
      <color theme="0"/>
      <name val="Arial MT"/>
    </font>
    <font>
      <sz val="12"/>
      <color theme="0" tint="-0.249977111117893"/>
      <name val="Times New Roman"/>
      <family val="1"/>
    </font>
    <font>
      <sz val="11"/>
      <color theme="0" tint="-0.249977111117893"/>
      <name val="Arial"/>
      <family val="2"/>
    </font>
    <font>
      <b/>
      <sz val="10"/>
      <color rgb="FFFF0000"/>
      <name val="Arial"/>
      <family val="2"/>
    </font>
    <font>
      <b/>
      <u/>
      <sz val="10"/>
      <color rgb="FFFF0000"/>
      <name val="Arial"/>
      <family val="2"/>
    </font>
    <font>
      <b/>
      <u/>
      <sz val="10"/>
      <name val="Arial"/>
      <family val="2"/>
    </font>
    <font>
      <b/>
      <sz val="10"/>
      <color rgb="FF0000FF"/>
      <name val="Arial"/>
      <family val="2"/>
    </font>
    <font>
      <sz val="10"/>
      <name val="Times New Roman"/>
      <family val="1"/>
    </font>
    <font>
      <b/>
      <sz val="12"/>
      <color rgb="FFFF0000"/>
      <name val="Times New Roman"/>
      <family val="1"/>
    </font>
    <font>
      <b/>
      <sz val="12"/>
      <color rgb="FF0000FF"/>
      <name val="Times New Roman"/>
      <family val="1"/>
    </font>
    <font>
      <i/>
      <sz val="12"/>
      <name val="Arial"/>
      <family val="2"/>
    </font>
    <font>
      <b/>
      <u/>
      <sz val="12"/>
      <name val="Arial"/>
      <family val="2"/>
    </font>
    <font>
      <vertAlign val="superscript"/>
      <sz val="9"/>
      <color indexed="8"/>
      <name val="Arial"/>
      <family val="2"/>
    </font>
    <font>
      <sz val="9"/>
      <color indexed="8"/>
      <name val="Arial"/>
      <family val="2"/>
    </font>
    <font>
      <sz val="12"/>
      <color rgb="FF0070C0"/>
      <name val="Arial"/>
      <family val="2"/>
    </font>
  </fonts>
  <fills count="18">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47"/>
        <bgColor indexed="64"/>
      </patternFill>
    </fill>
    <fill>
      <patternFill patternType="solid">
        <fgColor theme="0"/>
        <bgColor indexed="64"/>
      </patternFill>
    </fill>
    <fill>
      <patternFill patternType="solid">
        <fgColor rgb="FFFFFF8F"/>
        <bgColor indexed="64"/>
      </patternFill>
    </fill>
    <fill>
      <patternFill patternType="solid">
        <fgColor rgb="FFB8CCE4"/>
        <bgColor indexed="64"/>
      </patternFill>
    </fill>
    <fill>
      <patternFill patternType="solid">
        <fgColor rgb="FFCCFFFF"/>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FCCFF"/>
        <bgColor indexed="64"/>
      </patternFill>
    </fill>
    <fill>
      <patternFill patternType="solid">
        <fgColor rgb="FFFFFF00"/>
        <bgColor indexed="64"/>
      </patternFill>
    </fill>
  </fills>
  <borders count="5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22"/>
      </right>
      <top/>
      <bottom style="thin">
        <color indexed="22"/>
      </bottom>
      <diagonal/>
    </border>
    <border>
      <left/>
      <right/>
      <top/>
      <bottom style="thin">
        <color indexed="22"/>
      </bottom>
      <diagonal/>
    </border>
    <border>
      <left style="thin">
        <color indexed="64"/>
      </left>
      <right/>
      <top/>
      <bottom style="thin">
        <color indexed="22"/>
      </bottom>
      <diagonal/>
    </border>
    <border>
      <left style="thin">
        <color indexed="64"/>
      </left>
      <right style="thin">
        <color indexed="22"/>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64"/>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22"/>
      </top>
      <bottom style="thin">
        <color indexed="22"/>
      </bottom>
      <diagonal/>
    </border>
    <border>
      <left style="thin">
        <color indexed="64"/>
      </left>
      <right/>
      <top style="thin">
        <color indexed="22"/>
      </top>
      <bottom style="thin">
        <color indexed="64"/>
      </bottom>
      <diagonal/>
    </border>
    <border>
      <left style="thin">
        <color indexed="64"/>
      </left>
      <right/>
      <top style="thin">
        <color indexed="64"/>
      </top>
      <bottom style="thin">
        <color indexed="22"/>
      </bottom>
      <diagonal/>
    </border>
    <border>
      <left style="thin">
        <color indexed="64"/>
      </left>
      <right style="thin">
        <color indexed="64"/>
      </right>
      <top/>
      <bottom style="thin">
        <color indexed="22"/>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22"/>
      </right>
      <top style="thin">
        <color indexed="22"/>
      </top>
      <bottom/>
      <diagonal/>
    </border>
    <border>
      <left style="thin">
        <color indexed="64"/>
      </left>
      <right style="thin">
        <color indexed="64"/>
      </right>
      <top style="thin">
        <color indexed="64"/>
      </top>
      <bottom style="thin">
        <color indexed="22"/>
      </bottom>
      <diagonal/>
    </border>
    <border>
      <left/>
      <right/>
      <top/>
      <bottom style="medium">
        <color indexed="64"/>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style="thin">
        <color auto="1"/>
      </right>
      <top style="thin">
        <color auto="1"/>
      </top>
      <bottom style="thin">
        <color auto="1"/>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2">
    <xf numFmtId="0" fontId="0" fillId="0" borderId="0">
      <alignment vertical="top"/>
    </xf>
    <xf numFmtId="43" fontId="1" fillId="0" borderId="0" applyFont="0" applyFill="0" applyBorder="0" applyAlignment="0" applyProtection="0"/>
    <xf numFmtId="44" fontId="1" fillId="0" borderId="0" applyFont="0" applyFill="0" applyBorder="0" applyAlignment="0" applyProtection="0"/>
    <xf numFmtId="166" fontId="24" fillId="0" borderId="0" applyProtection="0"/>
    <xf numFmtId="0" fontId="2" fillId="0" borderId="0"/>
    <xf numFmtId="0" fontId="2" fillId="0" borderId="0"/>
    <xf numFmtId="0" fontId="3" fillId="0" borderId="0"/>
    <xf numFmtId="9" fontId="1" fillId="0" borderId="0" applyFont="0" applyFill="0" applyBorder="0" applyAlignment="0" applyProtection="0"/>
    <xf numFmtId="0" fontId="37" fillId="0" borderId="0">
      <alignment vertical="top"/>
    </xf>
    <xf numFmtId="0" fontId="28" fillId="0" borderId="0"/>
    <xf numFmtId="166" fontId="24" fillId="0" borderId="0" applyProtection="0"/>
    <xf numFmtId="0" fontId="1" fillId="0" borderId="0">
      <alignment vertical="top"/>
    </xf>
  </cellStyleXfs>
  <cellXfs count="706">
    <xf numFmtId="0" fontId="0" fillId="0" borderId="0" xfId="0" applyAlignment="1"/>
    <xf numFmtId="0" fontId="5" fillId="0" borderId="0" xfId="5" applyFont="1" applyBorder="1" applyAlignment="1">
      <alignment vertical="center" wrapText="1"/>
    </xf>
    <xf numFmtId="0" fontId="6" fillId="0" borderId="0" xfId="0" applyFont="1" applyAlignment="1"/>
    <xf numFmtId="0" fontId="6" fillId="0" borderId="0" xfId="0" applyFont="1" applyAlignment="1">
      <alignment horizontal="center"/>
    </xf>
    <xf numFmtId="0" fontId="6" fillId="0" borderId="0" xfId="0" applyFont="1" applyFill="1" applyBorder="1" applyAlignment="1">
      <alignment horizontal="center"/>
    </xf>
    <xf numFmtId="166" fontId="6" fillId="0" borderId="1" xfId="0" applyNumberFormat="1" applyFont="1" applyBorder="1" applyAlignment="1"/>
    <xf numFmtId="166" fontId="6" fillId="0" borderId="1" xfId="0" applyNumberFormat="1" applyFont="1" applyBorder="1" applyAlignment="1">
      <alignment horizontal="center"/>
    </xf>
    <xf numFmtId="9" fontId="5" fillId="2" borderId="2" xfId="5" applyNumberFormat="1" applyFont="1" applyFill="1" applyBorder="1" applyAlignment="1">
      <alignment horizontal="center"/>
    </xf>
    <xf numFmtId="166" fontId="6" fillId="0" borderId="3" xfId="0" applyNumberFormat="1" applyFont="1" applyBorder="1" applyAlignment="1">
      <alignment horizontal="center"/>
    </xf>
    <xf numFmtId="166" fontId="6" fillId="0" borderId="3" xfId="0" applyNumberFormat="1" applyFont="1" applyBorder="1" applyAlignment="1"/>
    <xf numFmtId="0" fontId="6" fillId="3" borderId="4" xfId="5" applyFont="1" applyFill="1" applyBorder="1" applyAlignment="1">
      <alignment vertical="top"/>
    </xf>
    <xf numFmtId="166" fontId="6" fillId="0" borderId="5" xfId="0" applyNumberFormat="1" applyFont="1" applyBorder="1" applyAlignment="1">
      <alignment horizontal="center"/>
    </xf>
    <xf numFmtId="166" fontId="6" fillId="0" borderId="5" xfId="0" applyNumberFormat="1" applyFont="1" applyFill="1" applyBorder="1" applyAlignment="1">
      <alignment horizontal="center"/>
    </xf>
    <xf numFmtId="0" fontId="5" fillId="0" borderId="6" xfId="5" applyFont="1" applyBorder="1" applyAlignment="1">
      <alignment vertical="top" wrapText="1"/>
    </xf>
    <xf numFmtId="0" fontId="5" fillId="0" borderId="7" xfId="5" applyFont="1" applyFill="1" applyBorder="1" applyAlignment="1">
      <alignment horizontal="center" vertical="top" wrapText="1"/>
    </xf>
    <xf numFmtId="0" fontId="5" fillId="0" borderId="8" xfId="5" applyFont="1" applyFill="1" applyBorder="1" applyAlignment="1">
      <alignment horizontal="center" vertical="top" wrapText="1"/>
    </xf>
    <xf numFmtId="0" fontId="5" fillId="0" borderId="0" xfId="5" applyFont="1" applyFill="1" applyBorder="1" applyAlignment="1">
      <alignment horizontal="center" vertical="top" wrapText="1"/>
    </xf>
    <xf numFmtId="166" fontId="6" fillId="0" borderId="0" xfId="0" applyNumberFormat="1" applyFont="1" applyAlignment="1"/>
    <xf numFmtId="0" fontId="7" fillId="0" borderId="9" xfId="6" applyFont="1" applyFill="1" applyBorder="1" applyAlignment="1">
      <alignment vertical="top"/>
    </xf>
    <xf numFmtId="10" fontId="9" fillId="0" borderId="10" xfId="7" applyNumberFormat="1" applyFont="1" applyBorder="1" applyAlignment="1">
      <alignment vertical="top"/>
    </xf>
    <xf numFmtId="10" fontId="9" fillId="0" borderId="11" xfId="7" applyNumberFormat="1" applyFont="1" applyBorder="1" applyAlignment="1">
      <alignment vertical="top"/>
    </xf>
    <xf numFmtId="165" fontId="6" fillId="0" borderId="0" xfId="0" applyNumberFormat="1" applyFont="1" applyAlignment="1"/>
    <xf numFmtId="165" fontId="6" fillId="0" borderId="0" xfId="2" applyNumberFormat="1" applyFont="1"/>
    <xf numFmtId="0" fontId="7" fillId="0" borderId="12" xfId="6" applyFont="1" applyFill="1" applyBorder="1" applyAlignment="1">
      <alignment vertical="top"/>
    </xf>
    <xf numFmtId="0" fontId="7" fillId="0" borderId="13" xfId="6" applyFont="1" applyFill="1" applyBorder="1" applyAlignment="1">
      <alignment vertical="top"/>
    </xf>
    <xf numFmtId="0" fontId="6" fillId="0" borderId="14" xfId="5" applyFont="1" applyFill="1" applyBorder="1" applyAlignment="1">
      <alignment vertical="top"/>
    </xf>
    <xf numFmtId="10" fontId="6" fillId="0" borderId="15" xfId="7" applyNumberFormat="1" applyFont="1" applyFill="1" applyBorder="1" applyAlignment="1">
      <alignment vertical="top"/>
    </xf>
    <xf numFmtId="10" fontId="6" fillId="0" borderId="8" xfId="7" applyNumberFormat="1" applyFont="1" applyFill="1" applyBorder="1" applyAlignment="1">
      <alignment vertical="top"/>
    </xf>
    <xf numFmtId="0" fontId="7" fillId="0" borderId="0" xfId="6" applyFont="1" applyFill="1" applyBorder="1" applyAlignment="1">
      <alignment vertical="top"/>
    </xf>
    <xf numFmtId="165" fontId="6" fillId="0" borderId="0" xfId="2" applyNumberFormat="1" applyFont="1" applyFill="1" applyBorder="1" applyAlignment="1">
      <alignment vertical="top"/>
    </xf>
    <xf numFmtId="0" fontId="6" fillId="0" borderId="0" xfId="0" applyFont="1" applyBorder="1" applyAlignment="1"/>
    <xf numFmtId="165" fontId="6" fillId="0" borderId="0" xfId="2" applyNumberFormat="1" applyFont="1" applyBorder="1"/>
    <xf numFmtId="168" fontId="6" fillId="0" borderId="0" xfId="7" applyNumberFormat="1" applyFont="1"/>
    <xf numFmtId="167" fontId="6" fillId="0" borderId="0" xfId="1" applyNumberFormat="1" applyFont="1"/>
    <xf numFmtId="167" fontId="6" fillId="0" borderId="0" xfId="0" applyNumberFormat="1" applyFont="1" applyAlignment="1"/>
    <xf numFmtId="167" fontId="6" fillId="0" borderId="6" xfId="0" applyNumberFormat="1" applyFont="1" applyBorder="1" applyAlignment="1"/>
    <xf numFmtId="0" fontId="6" fillId="0" borderId="5" xfId="0" applyFont="1" applyBorder="1" applyAlignment="1">
      <alignment horizontal="center"/>
    </xf>
    <xf numFmtId="0" fontId="6" fillId="0" borderId="1" xfId="0" applyFont="1" applyBorder="1" applyAlignment="1">
      <alignment horizontal="center"/>
    </xf>
    <xf numFmtId="0" fontId="12" fillId="0" borderId="0" xfId="0" applyFont="1" applyAlignment="1"/>
    <xf numFmtId="0" fontId="8" fillId="0" borderId="0" xfId="0" applyFont="1" applyAlignment="1"/>
    <xf numFmtId="0" fontId="7" fillId="0" borderId="0" xfId="0" applyFont="1" applyAlignment="1"/>
    <xf numFmtId="0" fontId="7" fillId="0" borderId="0" xfId="0" applyFont="1" applyAlignment="1">
      <alignment horizontal="center"/>
    </xf>
    <xf numFmtId="166" fontId="6" fillId="0" borderId="2" xfId="0" applyNumberFormat="1" applyFont="1" applyBorder="1" applyAlignment="1">
      <alignment horizontal="center"/>
    </xf>
    <xf numFmtId="166" fontId="6" fillId="0" borderId="16" xfId="0" applyNumberFormat="1" applyFont="1" applyBorder="1" applyAlignment="1">
      <alignment horizontal="center"/>
    </xf>
    <xf numFmtId="166" fontId="13" fillId="0" borderId="4" xfId="0" applyNumberFormat="1" applyFont="1" applyBorder="1" applyAlignment="1">
      <alignment horizontal="center" wrapText="1"/>
    </xf>
    <xf numFmtId="166" fontId="6" fillId="0" borderId="2" xfId="0" applyNumberFormat="1" applyFont="1" applyFill="1" applyBorder="1" applyAlignment="1">
      <alignment horizontal="right"/>
    </xf>
    <xf numFmtId="166" fontId="6" fillId="0" borderId="16" xfId="0" applyNumberFormat="1" applyFont="1" applyFill="1" applyBorder="1" applyAlignment="1">
      <alignment horizontal="right" wrapText="1"/>
    </xf>
    <xf numFmtId="166" fontId="6" fillId="0" borderId="4" xfId="0" applyNumberFormat="1" applyFont="1" applyFill="1" applyBorder="1" applyAlignment="1">
      <alignment horizontal="left"/>
    </xf>
    <xf numFmtId="166" fontId="6" fillId="0" borderId="16" xfId="0" applyNumberFormat="1" applyFont="1" applyFill="1" applyBorder="1" applyAlignment="1">
      <alignment horizontal="right"/>
    </xf>
    <xf numFmtId="166" fontId="13" fillId="0" borderId="4" xfId="0" applyNumberFormat="1" applyFont="1" applyFill="1" applyBorder="1" applyAlignment="1">
      <alignment horizontal="right" wrapText="1"/>
    </xf>
    <xf numFmtId="166" fontId="6" fillId="0" borderId="2" xfId="0" applyNumberFormat="1" applyFont="1" applyFill="1" applyBorder="1" applyAlignment="1">
      <alignment horizontal="right" wrapText="1"/>
    </xf>
    <xf numFmtId="166" fontId="6" fillId="0" borderId="16" xfId="0" applyNumberFormat="1" applyFont="1" applyBorder="1" applyAlignment="1">
      <alignment horizontal="right" wrapText="1"/>
    </xf>
    <xf numFmtId="166" fontId="6" fillId="0" borderId="2" xfId="0" applyNumberFormat="1" applyFont="1" applyBorder="1" applyAlignment="1">
      <alignment horizontal="right" wrapText="1"/>
    </xf>
    <xf numFmtId="3" fontId="6" fillId="0" borderId="16" xfId="0" applyNumberFormat="1" applyFont="1" applyBorder="1" applyAlignment="1">
      <alignment horizontal="right"/>
    </xf>
    <xf numFmtId="3" fontId="13" fillId="0" borderId="4" xfId="0" applyNumberFormat="1" applyFont="1" applyBorder="1" applyAlignment="1">
      <alignment horizontal="right"/>
    </xf>
    <xf numFmtId="3" fontId="6" fillId="0" borderId="2" xfId="0" applyNumberFormat="1" applyFont="1" applyBorder="1" applyAlignment="1">
      <alignment horizontal="right"/>
    </xf>
    <xf numFmtId="3" fontId="6" fillId="0" borderId="16" xfId="0" applyNumberFormat="1" applyFont="1" applyFill="1" applyBorder="1" applyAlignment="1">
      <alignment horizontal="right"/>
    </xf>
    <xf numFmtId="3" fontId="6" fillId="0" borderId="4" xfId="0" applyNumberFormat="1" applyFont="1" applyFill="1" applyBorder="1" applyAlignment="1">
      <alignment horizontal="right"/>
    </xf>
    <xf numFmtId="3" fontId="13" fillId="0" borderId="16" xfId="0" applyNumberFormat="1" applyFont="1" applyBorder="1" applyAlignment="1">
      <alignment horizontal="right"/>
    </xf>
    <xf numFmtId="167" fontId="6" fillId="0" borderId="0" xfId="1" applyNumberFormat="1" applyFont="1" applyBorder="1" applyAlignment="1"/>
    <xf numFmtId="0" fontId="15" fillId="0" borderId="0" xfId="0" applyFont="1" applyAlignment="1"/>
    <xf numFmtId="0" fontId="5" fillId="0" borderId="0" xfId="5" applyFont="1" applyFill="1" applyBorder="1" applyAlignment="1">
      <alignment horizontal="left" vertical="center" wrapText="1"/>
    </xf>
    <xf numFmtId="165" fontId="6" fillId="0" borderId="7" xfId="2" applyNumberFormat="1" applyFont="1" applyBorder="1"/>
    <xf numFmtId="0" fontId="6" fillId="0" borderId="0" xfId="0" applyFont="1" applyBorder="1" applyAlignment="1">
      <alignment horizontal="center"/>
    </xf>
    <xf numFmtId="168" fontId="6" fillId="0" borderId="0" xfId="0" applyNumberFormat="1" applyFont="1" applyBorder="1" applyAlignment="1"/>
    <xf numFmtId="167" fontId="6" fillId="0" borderId="0" xfId="1" applyNumberFormat="1" applyFont="1" applyBorder="1"/>
    <xf numFmtId="167" fontId="6" fillId="0" borderId="0" xfId="0" applyNumberFormat="1" applyFont="1" applyBorder="1" applyAlignment="1"/>
    <xf numFmtId="0" fontId="0" fillId="0" borderId="0" xfId="0" quotePrefix="1" applyFill="1" applyBorder="1" applyAlignment="1">
      <alignment horizontal="center"/>
    </xf>
    <xf numFmtId="0" fontId="5" fillId="2" borderId="4" xfId="5" applyFont="1" applyFill="1" applyBorder="1" applyAlignment="1">
      <alignment horizontal="center" vertical="top" wrapText="1"/>
    </xf>
    <xf numFmtId="0" fontId="5" fillId="0" borderId="18" xfId="5" applyFont="1" applyBorder="1" applyAlignment="1">
      <alignment horizontal="left" vertical="center" wrapText="1"/>
    </xf>
    <xf numFmtId="0" fontId="5" fillId="0" borderId="19" xfId="5" applyFont="1" applyBorder="1" applyAlignment="1">
      <alignment horizontal="left" vertical="center" wrapText="1"/>
    </xf>
    <xf numFmtId="10" fontId="6" fillId="0" borderId="0" xfId="7" applyNumberFormat="1" applyFont="1" applyFill="1"/>
    <xf numFmtId="0" fontId="16" fillId="0" borderId="0" xfId="0" applyFont="1" applyAlignment="1"/>
    <xf numFmtId="167" fontId="0" fillId="0" borderId="0" xfId="1" applyNumberFormat="1" applyFont="1"/>
    <xf numFmtId="0" fontId="7" fillId="0" borderId="0" xfId="5" applyFont="1" applyAlignment="1"/>
    <xf numFmtId="0" fontId="6" fillId="3" borderId="2" xfId="5" applyFont="1" applyFill="1" applyBorder="1" applyAlignment="1"/>
    <xf numFmtId="165" fontId="6" fillId="0" borderId="8" xfId="0" applyNumberFormat="1" applyFont="1" applyBorder="1" applyAlignment="1"/>
    <xf numFmtId="165" fontId="6" fillId="0" borderId="7" xfId="0" applyNumberFormat="1" applyFont="1" applyBorder="1" applyAlignment="1"/>
    <xf numFmtId="0" fontId="6" fillId="0" borderId="0" xfId="0" applyFont="1" applyFill="1" applyAlignment="1"/>
    <xf numFmtId="0" fontId="6" fillId="3" borderId="0" xfId="0" applyFont="1" applyFill="1" applyAlignment="1"/>
    <xf numFmtId="165" fontId="6" fillId="4" borderId="0" xfId="0" applyNumberFormat="1" applyFont="1" applyFill="1" applyAlignment="1"/>
    <xf numFmtId="43" fontId="6" fillId="0" borderId="0" xfId="0" applyNumberFormat="1" applyFont="1" applyFill="1" applyAlignment="1"/>
    <xf numFmtId="0" fontId="6" fillId="0" borderId="0" xfId="0" applyFont="1" applyFill="1" applyBorder="1" applyAlignment="1"/>
    <xf numFmtId="0" fontId="5" fillId="4" borderId="20" xfId="5" applyFont="1" applyFill="1" applyBorder="1" applyAlignment="1">
      <alignment horizontal="left" vertical="center" wrapText="1"/>
    </xf>
    <xf numFmtId="0" fontId="5" fillId="4" borderId="18" xfId="5" applyFont="1" applyFill="1" applyBorder="1" applyAlignment="1">
      <alignment horizontal="left" vertical="center" wrapText="1"/>
    </xf>
    <xf numFmtId="0" fontId="5" fillId="4" borderId="19" xfId="5" applyFont="1" applyFill="1" applyBorder="1" applyAlignment="1">
      <alignment horizontal="left" vertical="center" wrapText="1"/>
    </xf>
    <xf numFmtId="167" fontId="6" fillId="0" borderId="0" xfId="1" applyNumberFormat="1" applyFont="1" applyAlignment="1"/>
    <xf numFmtId="167" fontId="5" fillId="2" borderId="1" xfId="1" applyNumberFormat="1" applyFont="1" applyFill="1" applyBorder="1" applyAlignment="1">
      <alignment horizontal="center"/>
    </xf>
    <xf numFmtId="167" fontId="5" fillId="2" borderId="3" xfId="1" applyNumberFormat="1" applyFont="1" applyFill="1" applyBorder="1" applyAlignment="1">
      <alignment horizontal="center"/>
    </xf>
    <xf numFmtId="167" fontId="5" fillId="0" borderId="6" xfId="1" applyNumberFormat="1" applyFont="1" applyFill="1" applyBorder="1" applyAlignment="1">
      <alignment horizontal="center" vertical="top" wrapText="1"/>
    </xf>
    <xf numFmtId="167" fontId="6" fillId="0" borderId="6" xfId="1" applyNumberFormat="1" applyFont="1" applyBorder="1" applyAlignment="1"/>
    <xf numFmtId="167" fontId="6" fillId="0" borderId="0" xfId="1" applyNumberFormat="1" applyFont="1" applyAlignment="1">
      <alignment horizontal="right"/>
    </xf>
    <xf numFmtId="0" fontId="6" fillId="0" borderId="0" xfId="0" quotePrefix="1" applyFont="1" applyFill="1" applyBorder="1" applyAlignment="1">
      <alignment horizontal="center"/>
    </xf>
    <xf numFmtId="167" fontId="6" fillId="0" borderId="3" xfId="1" applyNumberFormat="1" applyFont="1" applyBorder="1" applyAlignment="1"/>
    <xf numFmtId="10" fontId="6" fillId="0" borderId="6" xfId="7" applyNumberFormat="1" applyFont="1" applyFill="1" applyBorder="1" applyAlignment="1">
      <alignment vertical="top"/>
    </xf>
    <xf numFmtId="10" fontId="6" fillId="0" borderId="4" xfId="7" applyNumberFormat="1" applyFont="1" applyFill="1" applyBorder="1" applyAlignment="1">
      <alignment vertical="top"/>
    </xf>
    <xf numFmtId="0" fontId="5" fillId="0" borderId="2" xfId="5" applyFont="1" applyFill="1" applyBorder="1" applyAlignment="1">
      <alignment horizontal="center" vertical="top" wrapText="1"/>
    </xf>
    <xf numFmtId="0" fontId="5" fillId="0" borderId="6" xfId="5" applyFont="1" applyFill="1" applyBorder="1" applyAlignment="1">
      <alignment horizontal="center" vertical="top" wrapText="1"/>
    </xf>
    <xf numFmtId="0" fontId="0" fillId="0" borderId="17" xfId="0" applyBorder="1" applyAlignment="1"/>
    <xf numFmtId="167" fontId="6" fillId="0" borderId="0" xfId="1" applyNumberFormat="1" applyFont="1" applyAlignment="1">
      <alignment horizontal="center"/>
    </xf>
    <xf numFmtId="167" fontId="6" fillId="0" borderId="0" xfId="1" applyNumberFormat="1" applyFont="1" applyFill="1" applyBorder="1" applyAlignment="1">
      <alignment horizontal="center"/>
    </xf>
    <xf numFmtId="167" fontId="6" fillId="0" borderId="1" xfId="1" applyNumberFormat="1" applyFont="1" applyBorder="1" applyAlignment="1">
      <alignment horizontal="center"/>
    </xf>
    <xf numFmtId="167" fontId="6" fillId="0" borderId="5" xfId="1" applyNumberFormat="1" applyFont="1" applyFill="1" applyBorder="1" applyAlignment="1">
      <alignment horizontal="center"/>
    </xf>
    <xf numFmtId="167" fontId="5" fillId="0" borderId="0" xfId="1" applyNumberFormat="1" applyFont="1" applyFill="1" applyBorder="1" applyAlignment="1">
      <alignment horizontal="center" vertical="top" wrapText="1"/>
    </xf>
    <xf numFmtId="167" fontId="6" fillId="0" borderId="7" xfId="1" applyNumberFormat="1" applyFont="1" applyBorder="1" applyAlignment="1"/>
    <xf numFmtId="167" fontId="6" fillId="3" borderId="0" xfId="1" applyNumberFormat="1" applyFont="1" applyFill="1" applyAlignment="1"/>
    <xf numFmtId="167" fontId="6" fillId="0" borderId="0" xfId="1" applyNumberFormat="1" applyFont="1" applyFill="1" applyBorder="1" applyAlignment="1"/>
    <xf numFmtId="0" fontId="6" fillId="0" borderId="16" xfId="0" applyFont="1" applyBorder="1" applyAlignment="1"/>
    <xf numFmtId="0" fontId="7" fillId="4" borderId="16" xfId="6" applyFont="1" applyFill="1" applyBorder="1" applyAlignment="1">
      <alignment vertical="top"/>
    </xf>
    <xf numFmtId="0" fontId="6" fillId="5" borderId="8" xfId="0" applyFont="1" applyFill="1" applyBorder="1" applyAlignment="1"/>
    <xf numFmtId="0" fontId="6" fillId="5" borderId="7" xfId="0" applyFont="1" applyFill="1" applyBorder="1" applyAlignment="1"/>
    <xf numFmtId="0" fontId="6" fillId="2" borderId="8" xfId="0" applyFont="1" applyFill="1" applyBorder="1" applyAlignment="1"/>
    <xf numFmtId="0" fontId="6" fillId="2" borderId="7" xfId="0" applyFont="1" applyFill="1" applyBorder="1" applyAlignment="1"/>
    <xf numFmtId="0" fontId="6" fillId="0" borderId="4" xfId="5" applyFont="1" applyFill="1" applyBorder="1" applyAlignment="1">
      <alignment vertical="top"/>
    </xf>
    <xf numFmtId="0" fontId="6" fillId="3" borderId="23" xfId="5" applyFont="1" applyFill="1" applyBorder="1" applyAlignment="1"/>
    <xf numFmtId="0" fontId="6" fillId="3" borderId="17" xfId="5" applyFont="1" applyFill="1" applyBorder="1" applyAlignment="1">
      <alignment vertical="top"/>
    </xf>
    <xf numFmtId="0" fontId="5" fillId="0" borderId="24" xfId="5" applyFont="1" applyBorder="1" applyAlignment="1">
      <alignment vertical="top" wrapText="1"/>
    </xf>
    <xf numFmtId="0" fontId="6" fillId="0" borderId="0" xfId="5" applyFont="1" applyFill="1" applyBorder="1" applyAlignment="1">
      <alignment vertical="top"/>
    </xf>
    <xf numFmtId="10" fontId="6" fillId="0" borderId="0" xfId="7" applyNumberFormat="1" applyFont="1" applyFill="1" applyBorder="1" applyAlignment="1">
      <alignment vertical="top"/>
    </xf>
    <xf numFmtId="0" fontId="6" fillId="0" borderId="0" xfId="5" applyFont="1" applyFill="1" applyBorder="1" applyAlignment="1"/>
    <xf numFmtId="9" fontId="5" fillId="0" borderId="0" xfId="5" applyNumberFormat="1" applyFont="1" applyFill="1" applyBorder="1" applyAlignment="1">
      <alignment horizontal="center"/>
    </xf>
    <xf numFmtId="0" fontId="5" fillId="0" borderId="0" xfId="5" applyFont="1" applyFill="1" applyBorder="1" applyAlignment="1">
      <alignment vertical="top" wrapText="1"/>
    </xf>
    <xf numFmtId="10" fontId="9" fillId="0" borderId="0" xfId="7" applyNumberFormat="1" applyFont="1" applyFill="1" applyBorder="1" applyAlignment="1">
      <alignment vertical="top"/>
    </xf>
    <xf numFmtId="0" fontId="17" fillId="0" borderId="0" xfId="5" applyFont="1" applyAlignment="1"/>
    <xf numFmtId="0" fontId="7" fillId="0" borderId="2" xfId="6" applyFont="1" applyFill="1" applyBorder="1" applyAlignment="1">
      <alignment vertical="top"/>
    </xf>
    <xf numFmtId="0" fontId="7" fillId="0" borderId="16" xfId="6" applyFont="1" applyFill="1" applyBorder="1" applyAlignment="1">
      <alignment vertical="top"/>
    </xf>
    <xf numFmtId="0" fontId="6" fillId="4" borderId="0" xfId="0" applyFont="1" applyFill="1" applyAlignment="1"/>
    <xf numFmtId="0" fontId="6" fillId="4" borderId="0" xfId="0" applyFont="1" applyFill="1" applyAlignment="1">
      <alignment horizontal="center"/>
    </xf>
    <xf numFmtId="166" fontId="6" fillId="4" borderId="1" xfId="0" applyNumberFormat="1" applyFont="1" applyFill="1" applyBorder="1" applyAlignment="1"/>
    <xf numFmtId="166" fontId="6" fillId="4" borderId="5" xfId="0" applyNumberFormat="1" applyFont="1" applyFill="1" applyBorder="1" applyAlignment="1">
      <alignment horizontal="center"/>
    </xf>
    <xf numFmtId="166" fontId="6" fillId="4" borderId="0" xfId="0" applyNumberFormat="1" applyFont="1" applyFill="1" applyAlignment="1"/>
    <xf numFmtId="165" fontId="6" fillId="4" borderId="7" xfId="0" applyNumberFormat="1" applyFont="1" applyFill="1" applyBorder="1" applyAlignment="1"/>
    <xf numFmtId="14" fontId="6" fillId="4" borderId="0" xfId="0" applyNumberFormat="1" applyFont="1" applyFill="1" applyAlignment="1"/>
    <xf numFmtId="14" fontId="6" fillId="4" borderId="0" xfId="0" applyNumberFormat="1" applyFont="1" applyFill="1" applyBorder="1" applyAlignment="1"/>
    <xf numFmtId="0" fontId="6" fillId="4" borderId="0" xfId="0" applyFont="1" applyFill="1" applyBorder="1" applyAlignment="1"/>
    <xf numFmtId="0" fontId="6" fillId="4" borderId="22" xfId="0" applyFont="1" applyFill="1" applyBorder="1" applyAlignment="1"/>
    <xf numFmtId="165" fontId="6" fillId="4" borderId="0" xfId="2" applyNumberFormat="1" applyFont="1" applyFill="1"/>
    <xf numFmtId="165" fontId="0" fillId="2" borderId="24" xfId="2" applyNumberFormat="1" applyFont="1" applyFill="1" applyBorder="1"/>
    <xf numFmtId="0" fontId="18" fillId="0" borderId="0" xfId="5" applyFont="1" applyBorder="1" applyAlignment="1">
      <alignment vertical="center" wrapText="1"/>
    </xf>
    <xf numFmtId="0" fontId="2" fillId="0" borderId="0" xfId="5"/>
    <xf numFmtId="0" fontId="18" fillId="0" borderId="0" xfId="5" applyFont="1" applyBorder="1" applyAlignment="1">
      <alignment horizontal="left" vertical="center" wrapText="1"/>
    </xf>
    <xf numFmtId="164" fontId="18" fillId="0" borderId="0" xfId="4" applyNumberFormat="1" applyFont="1" applyBorder="1" applyAlignment="1">
      <alignment horizontal="left" vertical="center" wrapText="1"/>
    </xf>
    <xf numFmtId="0" fontId="5" fillId="0" borderId="0" xfId="5" applyFont="1" applyBorder="1" applyAlignment="1">
      <alignment horizontal="left" vertical="center" wrapText="1"/>
    </xf>
    <xf numFmtId="0" fontId="5" fillId="0" borderId="0" xfId="4" applyNumberFormat="1" applyFont="1" applyBorder="1" applyAlignment="1">
      <alignment horizontal="left" vertical="center" wrapText="1"/>
    </xf>
    <xf numFmtId="0" fontId="5" fillId="0" borderId="0" xfId="4" applyFont="1" applyBorder="1" applyAlignment="1">
      <alignment horizontal="left" vertical="center" wrapText="1"/>
    </xf>
    <xf numFmtId="164" fontId="5" fillId="0" borderId="0" xfId="4" applyNumberFormat="1" applyFont="1" applyBorder="1" applyAlignment="1">
      <alignment horizontal="left" vertical="center" wrapText="1"/>
    </xf>
    <xf numFmtId="0" fontId="0" fillId="0" borderId="0" xfId="0" applyBorder="1" applyAlignment="1"/>
    <xf numFmtId="165" fontId="6" fillId="5" borderId="7" xfId="0" applyNumberFormat="1" applyFont="1" applyFill="1" applyBorder="1" applyAlignment="1"/>
    <xf numFmtId="0" fontId="6" fillId="5" borderId="24" xfId="0" applyFont="1" applyFill="1" applyBorder="1" applyAlignment="1"/>
    <xf numFmtId="0" fontId="6" fillId="0" borderId="6" xfId="0" applyFont="1" applyBorder="1" applyAlignment="1">
      <alignment horizontal="center"/>
    </xf>
    <xf numFmtId="0" fontId="6" fillId="4" borderId="6" xfId="0" applyFont="1" applyFill="1" applyBorder="1" applyAlignment="1">
      <alignment horizontal="center"/>
    </xf>
    <xf numFmtId="167" fontId="6" fillId="0" borderId="6" xfId="1" applyNumberFormat="1" applyFont="1" applyBorder="1" applyAlignment="1">
      <alignment horizontal="center"/>
    </xf>
    <xf numFmtId="165" fontId="6" fillId="5" borderId="24" xfId="0" applyNumberFormat="1" applyFont="1" applyFill="1" applyBorder="1" applyAlignment="1"/>
    <xf numFmtId="17" fontId="6" fillId="0" borderId="0" xfId="0" quotePrefix="1" applyNumberFormat="1" applyFont="1" applyAlignment="1"/>
    <xf numFmtId="0" fontId="6" fillId="0" borderId="0" xfId="0" quotePrefix="1" applyFont="1" applyBorder="1" applyAlignment="1"/>
    <xf numFmtId="0" fontId="6" fillId="0" borderId="0" xfId="0" quotePrefix="1" applyFont="1" applyFill="1" applyBorder="1" applyAlignment="1"/>
    <xf numFmtId="167" fontId="5" fillId="0" borderId="1" xfId="1" applyNumberFormat="1" applyFont="1" applyFill="1" applyBorder="1" applyAlignment="1">
      <alignment horizontal="center" vertical="top" wrapText="1"/>
    </xf>
    <xf numFmtId="165" fontId="6" fillId="0" borderId="8" xfId="0" applyNumberFormat="1" applyFont="1" applyFill="1" applyBorder="1" applyAlignment="1"/>
    <xf numFmtId="3" fontId="7" fillId="0" borderId="0" xfId="0" applyNumberFormat="1" applyFont="1" applyAlignment="1">
      <alignment horizontal="center"/>
    </xf>
    <xf numFmtId="167" fontId="7" fillId="0" borderId="0" xfId="1" applyNumberFormat="1" applyFont="1"/>
    <xf numFmtId="3" fontId="7" fillId="0" borderId="0" xfId="0" applyNumberFormat="1" applyFont="1" applyFill="1" applyAlignment="1">
      <alignment horizontal="center"/>
    </xf>
    <xf numFmtId="167" fontId="7" fillId="0" borderId="25" xfId="1" applyNumberFormat="1" applyFont="1" applyBorder="1"/>
    <xf numFmtId="0" fontId="7" fillId="0" borderId="0" xfId="0" applyFont="1" applyAlignment="1"/>
    <xf numFmtId="0" fontId="6" fillId="0" borderId="0" xfId="0" applyFont="1" applyAlignment="1"/>
    <xf numFmtId="167" fontId="7" fillId="0" borderId="0" xfId="0" applyNumberFormat="1" applyFont="1" applyFill="1" applyAlignment="1"/>
    <xf numFmtId="167" fontId="7" fillId="0" borderId="17" xfId="1" applyNumberFormat="1" applyFont="1" applyBorder="1"/>
    <xf numFmtId="3" fontId="7" fillId="0" borderId="2" xfId="0" applyNumberFormat="1" applyFont="1" applyBorder="1" applyAlignment="1">
      <alignment horizontal="right"/>
    </xf>
    <xf numFmtId="3" fontId="7" fillId="0" borderId="16" xfId="0" applyNumberFormat="1" applyFont="1" applyBorder="1" applyAlignment="1">
      <alignment horizontal="right"/>
    </xf>
    <xf numFmtId="165" fontId="6" fillId="5" borderId="6" xfId="2" applyNumberFormat="1" applyFont="1" applyFill="1" applyBorder="1" applyAlignment="1"/>
    <xf numFmtId="165" fontId="6" fillId="6" borderId="6" xfId="2" applyNumberFormat="1" applyFont="1" applyFill="1" applyBorder="1" applyAlignment="1"/>
    <xf numFmtId="165" fontId="6" fillId="0" borderId="0" xfId="0" applyNumberFormat="1" applyFont="1" applyFill="1" applyAlignment="1"/>
    <xf numFmtId="0" fontId="20" fillId="0" borderId="0" xfId="0" applyFont="1" applyAlignment="1"/>
    <xf numFmtId="3" fontId="13" fillId="0" borderId="4" xfId="0" applyNumberFormat="1" applyFont="1" applyFill="1" applyBorder="1" applyAlignment="1">
      <alignment horizontal="right"/>
    </xf>
    <xf numFmtId="3" fontId="13" fillId="0" borderId="16" xfId="0" applyNumberFormat="1" applyFont="1" applyFill="1" applyBorder="1" applyAlignment="1">
      <alignment horizontal="right"/>
    </xf>
    <xf numFmtId="0" fontId="6" fillId="0" borderId="0" xfId="0" applyFont="1" applyFill="1" applyAlignment="1"/>
    <xf numFmtId="165" fontId="6" fillId="2" borderId="6" xfId="2" applyNumberFormat="1" applyFont="1" applyFill="1" applyBorder="1" applyAlignment="1"/>
    <xf numFmtId="167" fontId="6" fillId="0" borderId="0" xfId="1" applyNumberFormat="1" applyFont="1" applyFill="1"/>
    <xf numFmtId="167" fontId="0" fillId="0" borderId="0" xfId="1" applyNumberFormat="1" applyFont="1" applyFill="1"/>
    <xf numFmtId="165" fontId="6" fillId="0" borderId="25" xfId="0" applyNumberFormat="1" applyFont="1" applyBorder="1" applyAlignment="1"/>
    <xf numFmtId="169" fontId="6" fillId="0" borderId="0" xfId="1" applyNumberFormat="1" applyFont="1" applyAlignment="1">
      <alignment horizontal="center"/>
    </xf>
    <xf numFmtId="0" fontId="6" fillId="0" borderId="0" xfId="0" applyFont="1" applyAlignment="1">
      <alignment horizontal="right"/>
    </xf>
    <xf numFmtId="170" fontId="6" fillId="0" borderId="0" xfId="7" applyNumberFormat="1" applyFont="1"/>
    <xf numFmtId="10" fontId="6" fillId="0" borderId="7" xfId="0" applyNumberFormat="1" applyFont="1" applyBorder="1" applyAlignment="1"/>
    <xf numFmtId="172" fontId="6" fillId="0" borderId="0" xfId="1" applyNumberFormat="1" applyFont="1"/>
    <xf numFmtId="10" fontId="6" fillId="0" borderId="0" xfId="7" applyNumberFormat="1" applyFont="1"/>
    <xf numFmtId="0" fontId="6" fillId="0" borderId="26" xfId="0" applyFont="1" applyBorder="1" applyAlignment="1"/>
    <xf numFmtId="0" fontId="6" fillId="0" borderId="22" xfId="0" applyFont="1" applyBorder="1" applyAlignment="1"/>
    <xf numFmtId="167" fontId="7" fillId="0" borderId="0" xfId="1" applyNumberFormat="1" applyFont="1" applyFill="1" applyBorder="1"/>
    <xf numFmtId="0" fontId="6" fillId="0" borderId="22" xfId="0" applyFont="1" applyFill="1" applyBorder="1" applyAlignment="1"/>
    <xf numFmtId="3" fontId="7" fillId="0" borderId="16" xfId="0" applyNumberFormat="1" applyFont="1" applyFill="1" applyBorder="1" applyAlignment="1">
      <alignment horizontal="right"/>
    </xf>
    <xf numFmtId="3" fontId="7" fillId="0" borderId="16" xfId="0" applyNumberFormat="1" applyFont="1" applyBorder="1" applyAlignment="1">
      <alignment horizontal="right"/>
    </xf>
    <xf numFmtId="0" fontId="0" fillId="0" borderId="0" xfId="0" applyFill="1" applyBorder="1" applyAlignment="1">
      <alignment horizontal="center"/>
    </xf>
    <xf numFmtId="0" fontId="0" fillId="0" borderId="0" xfId="0" applyFill="1" applyBorder="1" applyAlignment="1"/>
    <xf numFmtId="171" fontId="6" fillId="0" borderId="0" xfId="0" applyNumberFormat="1" applyFont="1" applyFill="1" applyAlignment="1"/>
    <xf numFmtId="0" fontId="7" fillId="0" borderId="28" xfId="6" applyFont="1" applyFill="1" applyBorder="1" applyAlignment="1">
      <alignment vertical="top"/>
    </xf>
    <xf numFmtId="43" fontId="6" fillId="0" borderId="3" xfId="1" applyNumberFormat="1" applyFont="1" applyFill="1" applyBorder="1" applyAlignment="1"/>
    <xf numFmtId="165" fontId="6" fillId="6" borderId="22" xfId="0" applyNumberFormat="1" applyFont="1" applyFill="1" applyBorder="1" applyAlignment="1"/>
    <xf numFmtId="167" fontId="6" fillId="4" borderId="0" xfId="1" applyNumberFormat="1" applyFont="1" applyFill="1" applyAlignment="1"/>
    <xf numFmtId="166" fontId="6" fillId="2" borderId="2" xfId="0" applyNumberFormat="1" applyFont="1" applyFill="1" applyBorder="1" applyAlignment="1">
      <alignment horizontal="center"/>
    </xf>
    <xf numFmtId="166" fontId="6" fillId="2" borderId="16" xfId="0" applyNumberFormat="1" applyFont="1" applyFill="1" applyBorder="1" applyAlignment="1">
      <alignment horizontal="center"/>
    </xf>
    <xf numFmtId="166" fontId="6" fillId="2" borderId="2" xfId="0" applyNumberFormat="1" applyFont="1" applyFill="1" applyBorder="1" applyAlignment="1">
      <alignment horizontal="right" wrapText="1"/>
    </xf>
    <xf numFmtId="166" fontId="6" fillId="2" borderId="16" xfId="0" applyNumberFormat="1" applyFont="1" applyFill="1" applyBorder="1" applyAlignment="1">
      <alignment horizontal="right" wrapText="1"/>
    </xf>
    <xf numFmtId="166" fontId="6" fillId="2" borderId="16" xfId="0" applyNumberFormat="1" applyFont="1" applyFill="1" applyBorder="1" applyAlignment="1">
      <alignment horizontal="right" wrapText="1"/>
    </xf>
    <xf numFmtId="3" fontId="6" fillId="2" borderId="16" xfId="0" applyNumberFormat="1" applyFont="1" applyFill="1" applyBorder="1" applyAlignment="1">
      <alignment horizontal="right"/>
    </xf>
    <xf numFmtId="166" fontId="6" fillId="2" borderId="16" xfId="0" applyNumberFormat="1" applyFont="1" applyFill="1" applyBorder="1" applyAlignment="1">
      <alignment horizontal="right" wrapText="1"/>
    </xf>
    <xf numFmtId="166" fontId="6" fillId="2" borderId="16" xfId="0" applyNumberFormat="1" applyFont="1" applyFill="1" applyBorder="1" applyAlignment="1">
      <alignment horizontal="right" wrapText="1"/>
    </xf>
    <xf numFmtId="3" fontId="7" fillId="2" borderId="2" xfId="0" applyNumberFormat="1" applyFont="1" applyFill="1" applyBorder="1" applyAlignment="1">
      <alignment horizontal="right"/>
    </xf>
    <xf numFmtId="3" fontId="7" fillId="2" borderId="16" xfId="0" applyNumberFormat="1" applyFont="1" applyFill="1" applyBorder="1" applyAlignment="1">
      <alignment horizontal="right"/>
    </xf>
    <xf numFmtId="3" fontId="6" fillId="2" borderId="2" xfId="0" applyNumberFormat="1" applyFont="1" applyFill="1" applyBorder="1" applyAlignment="1">
      <alignment horizontal="right"/>
    </xf>
    <xf numFmtId="3" fontId="6" fillId="2" borderId="16" xfId="0" applyNumberFormat="1" applyFont="1" applyFill="1" applyBorder="1" applyAlignment="1">
      <alignment horizontal="right"/>
    </xf>
    <xf numFmtId="167" fontId="7" fillId="0" borderId="0" xfId="0" applyNumberFormat="1" applyFont="1">
      <alignment vertical="top"/>
    </xf>
    <xf numFmtId="10" fontId="9" fillId="0" borderId="10" xfId="7" applyNumberFormat="1" applyFont="1" applyFill="1" applyBorder="1" applyAlignment="1">
      <alignment vertical="top"/>
    </xf>
    <xf numFmtId="10" fontId="6" fillId="0" borderId="21" xfId="7" applyNumberFormat="1" applyFont="1" applyFill="1" applyBorder="1" applyAlignment="1">
      <alignment vertical="top"/>
    </xf>
    <xf numFmtId="167" fontId="6" fillId="0" borderId="3" xfId="1" applyNumberFormat="1" applyFont="1" applyFill="1" applyBorder="1" applyAlignment="1"/>
    <xf numFmtId="10" fontId="9" fillId="0" borderId="11" xfId="7" applyNumberFormat="1" applyFont="1" applyFill="1" applyBorder="1" applyAlignment="1">
      <alignment vertical="top"/>
    </xf>
    <xf numFmtId="167" fontId="6" fillId="0" borderId="1" xfId="1" applyNumberFormat="1" applyFont="1" applyFill="1" applyBorder="1" applyAlignment="1"/>
    <xf numFmtId="10" fontId="6" fillId="0" borderId="29" xfId="7" applyNumberFormat="1" applyFont="1" applyFill="1" applyBorder="1" applyAlignment="1">
      <alignment vertical="top"/>
    </xf>
    <xf numFmtId="167" fontId="6" fillId="0" borderId="26" xfId="1" applyNumberFormat="1" applyFont="1" applyFill="1" applyBorder="1" applyAlignment="1"/>
    <xf numFmtId="167" fontId="6" fillId="0" borderId="22" xfId="1" applyNumberFormat="1" applyFont="1" applyFill="1" applyBorder="1" applyAlignment="1"/>
    <xf numFmtId="0" fontId="0" fillId="0" borderId="0" xfId="0" applyFill="1" applyAlignment="1"/>
    <xf numFmtId="43" fontId="6" fillId="0" borderId="1" xfId="1" applyNumberFormat="1" applyFont="1" applyFill="1" applyBorder="1" applyAlignment="1"/>
    <xf numFmtId="43" fontId="6" fillId="0" borderId="0" xfId="0" applyNumberFormat="1" applyFont="1" applyAlignment="1"/>
    <xf numFmtId="0" fontId="21" fillId="0" borderId="0" xfId="0" applyNumberFormat="1" applyFont="1" applyFill="1" applyBorder="1" applyAlignment="1" applyProtection="1">
      <protection locked="0"/>
    </xf>
    <xf numFmtId="0" fontId="21" fillId="0" borderId="0" xfId="0" applyNumberFormat="1" applyFont="1" applyFill="1" applyBorder="1" applyAlignment="1" applyProtection="1">
      <alignment horizontal="left"/>
      <protection locked="0"/>
    </xf>
    <xf numFmtId="0" fontId="21" fillId="0" borderId="0" xfId="0" applyNumberFormat="1" applyFont="1" applyFill="1" applyBorder="1" applyProtection="1">
      <alignment vertical="top"/>
      <protection locked="0"/>
    </xf>
    <xf numFmtId="0" fontId="21" fillId="0" borderId="0" xfId="0" applyNumberFormat="1" applyFont="1" applyFill="1" applyBorder="1">
      <alignment vertical="top"/>
    </xf>
    <xf numFmtId="0" fontId="21" fillId="0" borderId="0" xfId="0" applyNumberFormat="1" applyFont="1" applyFill="1" applyBorder="1" applyAlignment="1" applyProtection="1">
      <alignment horizontal="right"/>
      <protection locked="0"/>
    </xf>
    <xf numFmtId="0" fontId="0" fillId="0" borderId="0" xfId="0" applyNumberFormat="1" applyFont="1" applyFill="1" applyBorder="1">
      <alignment vertical="top"/>
    </xf>
    <xf numFmtId="3" fontId="21" fillId="0" borderId="0" xfId="0" applyNumberFormat="1" applyFont="1" applyFill="1" applyBorder="1" applyAlignment="1"/>
    <xf numFmtId="0" fontId="21" fillId="5" borderId="0" xfId="0" applyNumberFormat="1" applyFont="1" applyFill="1" applyBorder="1">
      <alignment vertical="top"/>
    </xf>
    <xf numFmtId="49" fontId="21" fillId="5" borderId="0" xfId="0" applyNumberFormat="1" applyFont="1" applyFill="1" applyBorder="1" applyAlignment="1">
      <alignment horizontal="center"/>
    </xf>
    <xf numFmtId="49" fontId="21" fillId="0" borderId="0" xfId="0" applyNumberFormat="1" applyFont="1" applyFill="1" applyBorder="1">
      <alignment vertical="top"/>
    </xf>
    <xf numFmtId="3" fontId="21" fillId="0" borderId="0" xfId="0" applyNumberFormat="1" applyFont="1" applyFill="1" applyBorder="1">
      <alignment vertical="top"/>
    </xf>
    <xf numFmtId="0" fontId="21" fillId="0" borderId="0" xfId="0" applyNumberFormat="1" applyFont="1" applyFill="1" applyBorder="1" applyAlignment="1">
      <alignment horizontal="center"/>
    </xf>
    <xf numFmtId="49" fontId="21" fillId="0" borderId="0" xfId="0" applyNumberFormat="1" applyFont="1" applyFill="1" applyBorder="1" applyAlignment="1">
      <alignment horizontal="center"/>
    </xf>
    <xf numFmtId="0" fontId="21" fillId="0" borderId="0" xfId="0" applyNumberFormat="1" applyFont="1" applyFill="1" applyBorder="1" applyAlignment="1"/>
    <xf numFmtId="3" fontId="22" fillId="0" borderId="0" xfId="0" applyNumberFormat="1" applyFont="1" applyFill="1" applyBorder="1" applyAlignment="1">
      <alignment horizontal="center"/>
    </xf>
    <xf numFmtId="0" fontId="22" fillId="0" borderId="0" xfId="0" applyFont="1" applyFill="1" applyBorder="1" applyAlignment="1">
      <alignment horizontal="center"/>
    </xf>
    <xf numFmtId="0" fontId="22" fillId="0" borderId="0" xfId="0" applyNumberFormat="1" applyFont="1" applyFill="1" applyBorder="1" applyAlignment="1" applyProtection="1">
      <alignment horizontal="center"/>
      <protection locked="0"/>
    </xf>
    <xf numFmtId="0" fontId="22" fillId="0" borderId="0" xfId="0" applyNumberFormat="1" applyFont="1" applyFill="1" applyBorder="1" applyAlignment="1"/>
    <xf numFmtId="3" fontId="21" fillId="0" borderId="0" xfId="0" applyNumberFormat="1" applyFont="1" applyFill="1" applyBorder="1" applyAlignment="1">
      <alignment horizontal="center"/>
    </xf>
    <xf numFmtId="41" fontId="21" fillId="5" borderId="0" xfId="0" applyNumberFormat="1" applyFont="1" applyFill="1" applyBorder="1" applyAlignment="1"/>
    <xf numFmtId="10" fontId="21" fillId="0" borderId="0" xfId="0" applyNumberFormat="1" applyFont="1" applyFill="1" applyBorder="1" applyAlignment="1"/>
    <xf numFmtId="10" fontId="22" fillId="0" borderId="0" xfId="0" applyNumberFormat="1" applyFont="1" applyFill="1" applyBorder="1" applyAlignment="1"/>
    <xf numFmtId="173" fontId="22" fillId="0" borderId="0" xfId="0" applyNumberFormat="1" applyFont="1" applyFill="1" applyBorder="1" applyAlignment="1"/>
    <xf numFmtId="0" fontId="21" fillId="0" borderId="0" xfId="0" applyFont="1" applyFill="1" applyBorder="1" applyAlignment="1">
      <alignment horizontal="center"/>
    </xf>
    <xf numFmtId="0" fontId="22" fillId="0" borderId="0" xfId="0" applyNumberFormat="1" applyFont="1" applyFill="1" applyBorder="1" applyAlignment="1">
      <alignment horizontal="center"/>
    </xf>
    <xf numFmtId="3" fontId="22" fillId="0" borderId="0" xfId="0" applyNumberFormat="1" applyFont="1" applyFill="1" applyBorder="1" applyAlignment="1"/>
    <xf numFmtId="10" fontId="22" fillId="0" borderId="0" xfId="7" applyNumberFormat="1" applyFont="1" applyFill="1" applyBorder="1" applyAlignment="1"/>
    <xf numFmtId="3" fontId="23" fillId="0" borderId="0" xfId="0" applyNumberFormat="1" applyFont="1" applyFill="1" applyBorder="1" applyAlignment="1"/>
    <xf numFmtId="170" fontId="21" fillId="0" borderId="0" xfId="0" applyNumberFormat="1" applyFont="1" applyFill="1" applyBorder="1" applyAlignment="1">
      <alignment horizontal="center"/>
    </xf>
    <xf numFmtId="10" fontId="21" fillId="0" borderId="0" xfId="7" applyNumberFormat="1" applyFont="1" applyFill="1" applyBorder="1" applyAlignment="1"/>
    <xf numFmtId="0" fontId="23" fillId="0" borderId="0" xfId="0" applyNumberFormat="1" applyFont="1" applyFill="1" applyBorder="1">
      <alignment vertical="top"/>
    </xf>
    <xf numFmtId="0" fontId="21" fillId="0" borderId="0" xfId="0" applyFont="1" applyFill="1" applyBorder="1" applyAlignment="1"/>
    <xf numFmtId="0" fontId="21" fillId="0" borderId="0" xfId="0" applyFont="1" applyFill="1" applyBorder="1" applyAlignment="1">
      <alignment horizontal="right"/>
    </xf>
    <xf numFmtId="174" fontId="22" fillId="0" borderId="0" xfId="0" applyNumberFormat="1" applyFont="1" applyFill="1" applyBorder="1" applyAlignment="1">
      <alignment horizontal="center"/>
    </xf>
    <xf numFmtId="0" fontId="22" fillId="0" borderId="7" xfId="0" applyNumberFormat="1" applyFont="1" applyFill="1" applyBorder="1" applyAlignment="1">
      <alignment horizontal="center" wrapText="1"/>
    </xf>
    <xf numFmtId="3" fontId="22" fillId="0" borderId="6" xfId="0" applyNumberFormat="1" applyFont="1" applyFill="1" applyBorder="1" applyAlignment="1">
      <alignment horizontal="center" wrapText="1"/>
    </xf>
    <xf numFmtId="3" fontId="22" fillId="0" borderId="7" xfId="0" applyNumberFormat="1" applyFont="1" applyFill="1" applyBorder="1" applyAlignment="1">
      <alignment horizontal="center" wrapText="1"/>
    </xf>
    <xf numFmtId="0" fontId="21" fillId="0" borderId="8" xfId="0" applyNumberFormat="1" applyFont="1" applyFill="1" applyBorder="1">
      <alignment vertical="top"/>
    </xf>
    <xf numFmtId="0" fontId="21" fillId="0" borderId="7" xfId="0" applyNumberFormat="1" applyFont="1" applyFill="1" applyBorder="1">
      <alignment vertical="top"/>
    </xf>
    <xf numFmtId="0" fontId="21" fillId="0" borderId="7" xfId="0" applyNumberFormat="1" applyFont="1" applyFill="1" applyBorder="1" applyAlignment="1">
      <alignment horizontal="center"/>
    </xf>
    <xf numFmtId="0" fontId="21" fillId="0" borderId="6" xfId="0" applyNumberFormat="1" applyFont="1" applyFill="1" applyBorder="1" applyAlignment="1">
      <alignment horizontal="center"/>
    </xf>
    <xf numFmtId="3" fontId="21" fillId="0" borderId="7" xfId="0" applyNumberFormat="1" applyFont="1" applyFill="1" applyBorder="1" applyAlignment="1">
      <alignment horizontal="center"/>
    </xf>
    <xf numFmtId="3" fontId="21" fillId="0" borderId="6" xfId="0" applyNumberFormat="1" applyFont="1" applyFill="1" applyBorder="1" applyAlignment="1">
      <alignment horizontal="center" wrapText="1"/>
    </xf>
    <xf numFmtId="6" fontId="24" fillId="0" borderId="0" xfId="0" applyNumberFormat="1" applyFont="1" applyFill="1" applyBorder="1" applyAlignment="1">
      <alignment horizontal="center" wrapText="1"/>
    </xf>
    <xf numFmtId="0" fontId="21" fillId="0" borderId="16" xfId="0" applyNumberFormat="1" applyFont="1" applyFill="1" applyBorder="1">
      <alignment vertical="top"/>
    </xf>
    <xf numFmtId="0" fontId="21" fillId="0" borderId="3" xfId="0" applyNumberFormat="1" applyFont="1" applyFill="1" applyBorder="1">
      <alignment vertical="top"/>
    </xf>
    <xf numFmtId="3" fontId="21" fillId="0" borderId="3" xfId="0" applyNumberFormat="1" applyFont="1" applyFill="1" applyBorder="1" applyAlignment="1"/>
    <xf numFmtId="167" fontId="21" fillId="0" borderId="0" xfId="1" applyNumberFormat="1" applyFont="1" applyFill="1" applyBorder="1" applyAlignment="1"/>
    <xf numFmtId="0" fontId="28" fillId="0" borderId="0" xfId="0" applyFont="1" applyFill="1" applyBorder="1" applyAlignment="1"/>
    <xf numFmtId="1" fontId="21" fillId="0" borderId="0" xfId="1" applyNumberFormat="1" applyFont="1" applyFill="1" applyBorder="1" applyAlignment="1">
      <alignment horizontal="center"/>
    </xf>
    <xf numFmtId="164" fontId="21" fillId="0" borderId="0" xfId="0" applyNumberFormat="1" applyFont="1" applyFill="1" applyBorder="1" applyAlignment="1"/>
    <xf numFmtId="0" fontId="24" fillId="0" borderId="0" xfId="0" applyFont="1" applyFill="1" applyBorder="1" applyAlignment="1"/>
    <xf numFmtId="0" fontId="21" fillId="0" borderId="30" xfId="0" applyFont="1" applyFill="1" applyBorder="1" applyAlignment="1"/>
    <xf numFmtId="167" fontId="21" fillId="5" borderId="0" xfId="1" applyNumberFormat="1" applyFont="1" applyFill="1" applyBorder="1" applyAlignment="1"/>
    <xf numFmtId="167" fontId="21" fillId="5" borderId="17" xfId="1" applyNumberFormat="1" applyFont="1" applyFill="1" applyBorder="1" applyAlignment="1"/>
    <xf numFmtId="3" fontId="29" fillId="0" borderId="0" xfId="0" applyNumberFormat="1" applyFont="1" applyFill="1" applyBorder="1" applyAlignment="1"/>
    <xf numFmtId="41" fontId="21" fillId="0" borderId="0" xfId="0" applyNumberFormat="1" applyFont="1" applyFill="1" applyBorder="1" applyAlignment="1"/>
    <xf numFmtId="0" fontId="30" fillId="0" borderId="8" xfId="0" applyNumberFormat="1" applyFont="1" applyFill="1" applyBorder="1">
      <alignment vertical="top"/>
    </xf>
    <xf numFmtId="0" fontId="30" fillId="0" borderId="7" xfId="0" applyNumberFormat="1" applyFont="1" applyFill="1" applyBorder="1">
      <alignment vertical="top"/>
    </xf>
    <xf numFmtId="0" fontId="30" fillId="0" borderId="7" xfId="0" quotePrefix="1" applyNumberFormat="1" applyFont="1" applyFill="1" applyBorder="1" applyAlignment="1">
      <alignment horizontal="center"/>
    </xf>
    <xf numFmtId="0" fontId="30" fillId="0" borderId="7" xfId="0" applyNumberFormat="1" applyFont="1" applyFill="1" applyBorder="1" applyAlignment="1">
      <alignment horizontal="center"/>
    </xf>
    <xf numFmtId="0" fontId="30" fillId="0" borderId="6" xfId="0" quotePrefix="1" applyNumberFormat="1" applyFont="1" applyFill="1" applyBorder="1" applyAlignment="1">
      <alignment horizontal="center"/>
    </xf>
    <xf numFmtId="0" fontId="30" fillId="0" borderId="6" xfId="0" applyNumberFormat="1" applyFont="1" applyFill="1" applyBorder="1" applyAlignment="1">
      <alignment horizontal="center"/>
    </xf>
    <xf numFmtId="3" fontId="30" fillId="0" borderId="7" xfId="0" applyNumberFormat="1" applyFont="1" applyFill="1" applyBorder="1" applyAlignment="1">
      <alignment horizontal="center"/>
    </xf>
    <xf numFmtId="3" fontId="30" fillId="0" borderId="6" xfId="0" applyNumberFormat="1" applyFont="1" applyFill="1" applyBorder="1" applyAlignment="1">
      <alignment horizontal="center" wrapText="1"/>
    </xf>
    <xf numFmtId="0" fontId="3" fillId="0" borderId="0" xfId="0" applyFont="1" applyFill="1" applyBorder="1" applyAlignment="1"/>
    <xf numFmtId="0" fontId="3" fillId="0" borderId="0" xfId="0" applyFont="1" applyFill="1" applyBorder="1" applyAlignment="1">
      <alignment horizontal="right"/>
    </xf>
    <xf numFmtId="0" fontId="31" fillId="0" borderId="0" xfId="0" applyNumberFormat="1" applyFont="1" applyFill="1" applyBorder="1">
      <alignment vertical="top"/>
    </xf>
    <xf numFmtId="0" fontId="31" fillId="0" borderId="0" xfId="0" applyNumberFormat="1" applyFont="1" applyFill="1" applyBorder="1" applyAlignment="1">
      <alignment horizontal="center"/>
    </xf>
    <xf numFmtId="0" fontId="3" fillId="0" borderId="0" xfId="0" applyNumberFormat="1" applyFont="1" applyFill="1" applyBorder="1" applyAlignment="1" applyProtection="1">
      <alignment horizontal="center"/>
      <protection locked="0"/>
    </xf>
    <xf numFmtId="0" fontId="21" fillId="0" borderId="0" xfId="0" applyNumberFormat="1" applyFont="1" applyFill="1" applyBorder="1" applyAlignment="1" applyProtection="1">
      <alignment horizontal="center"/>
      <protection locked="0"/>
    </xf>
    <xf numFmtId="0" fontId="29" fillId="0" borderId="0" xfId="0" applyNumberFormat="1" applyFont="1" applyFill="1" applyBorder="1" applyAlignment="1" applyProtection="1">
      <alignment horizontal="center"/>
      <protection locked="0"/>
    </xf>
    <xf numFmtId="3" fontId="3" fillId="0" borderId="0" xfId="0" applyNumberFormat="1" applyFont="1" applyFill="1" applyBorder="1" applyAlignment="1">
      <alignment horizontal="center"/>
    </xf>
    <xf numFmtId="173" fontId="21" fillId="0" borderId="0" xfId="0" applyNumberFormat="1" applyFont="1" applyFill="1" applyBorder="1" applyAlignment="1"/>
    <xf numFmtId="49" fontId="3" fillId="0" borderId="0" xfId="0" applyNumberFormat="1" applyFont="1" applyFill="1" applyBorder="1" applyAlignment="1">
      <alignment horizontal="center"/>
    </xf>
    <xf numFmtId="0" fontId="21" fillId="0" borderId="0" xfId="0" applyNumberFormat="1" applyFont="1" applyFill="1" applyBorder="1" applyAlignment="1">
      <alignment horizontal="fill"/>
    </xf>
    <xf numFmtId="0" fontId="23" fillId="0" borderId="0" xfId="0" applyFont="1" applyFill="1" applyBorder="1" applyAlignment="1"/>
    <xf numFmtId="164" fontId="3" fillId="0" borderId="0" xfId="0" applyNumberFormat="1" applyFont="1" applyFill="1" applyBorder="1" applyAlignment="1"/>
    <xf numFmtId="0" fontId="3" fillId="0" borderId="0" xfId="0" quotePrefix="1" applyNumberFormat="1" applyFont="1" applyFill="1" applyBorder="1" applyAlignment="1" applyProtection="1">
      <alignment horizontal="center"/>
      <protection locked="0"/>
    </xf>
    <xf numFmtId="174" fontId="21" fillId="0" borderId="0" xfId="0" quotePrefix="1" applyNumberFormat="1" applyFont="1" applyFill="1" applyBorder="1" applyAlignment="1">
      <alignment horizontal="center"/>
    </xf>
    <xf numFmtId="0" fontId="21" fillId="0" borderId="8" xfId="0" applyFont="1" applyFill="1" applyBorder="1" applyAlignment="1">
      <alignment horizontal="center" wrapText="1"/>
    </xf>
    <xf numFmtId="0" fontId="21" fillId="0" borderId="7" xfId="0" applyFont="1" applyFill="1" applyBorder="1" applyAlignment="1"/>
    <xf numFmtId="0" fontId="21" fillId="0" borderId="7" xfId="0" applyFont="1" applyFill="1" applyBorder="1" applyAlignment="1">
      <alignment horizontal="center" wrapText="1"/>
    </xf>
    <xf numFmtId="0" fontId="21" fillId="0" borderId="7" xfId="0" applyNumberFormat="1" applyFont="1" applyFill="1" applyBorder="1" applyAlignment="1">
      <alignment horizontal="center" wrapText="1"/>
    </xf>
    <xf numFmtId="0" fontId="21" fillId="0" borderId="24" xfId="0" applyFont="1" applyFill="1" applyBorder="1" applyAlignment="1">
      <alignment horizontal="center" wrapText="1"/>
    </xf>
    <xf numFmtId="0" fontId="21" fillId="0" borderId="6" xfId="0" applyFont="1" applyFill="1" applyBorder="1" applyAlignment="1">
      <alignment horizontal="center" wrapText="1"/>
    </xf>
    <xf numFmtId="3" fontId="21" fillId="0" borderId="7" xfId="0" applyNumberFormat="1" applyFont="1" applyFill="1" applyBorder="1" applyAlignment="1">
      <alignment horizontal="center" wrapText="1"/>
    </xf>
    <xf numFmtId="3" fontId="30" fillId="0" borderId="0" xfId="0" applyNumberFormat="1" applyFont="1" applyFill="1" applyBorder="1" applyAlignment="1"/>
    <xf numFmtId="0" fontId="30" fillId="0" borderId="0" xfId="0" applyNumberFormat="1" applyFont="1" applyFill="1" applyBorder="1">
      <alignment vertical="top"/>
    </xf>
    <xf numFmtId="0" fontId="30" fillId="0" borderId="0" xfId="0" applyNumberFormat="1" applyFont="1" applyFill="1" applyBorder="1" applyAlignment="1"/>
    <xf numFmtId="0" fontId="30" fillId="0" borderId="0" xfId="0" applyFont="1" applyFill="1" applyBorder="1" applyAlignment="1"/>
    <xf numFmtId="0" fontId="3" fillId="0" borderId="16" xfId="0" applyFont="1" applyFill="1" applyBorder="1" applyAlignment="1"/>
    <xf numFmtId="0" fontId="3" fillId="0" borderId="0" xfId="0" applyNumberFormat="1" applyFont="1" applyFill="1" applyBorder="1" applyAlignment="1">
      <alignment horizontal="center"/>
    </xf>
    <xf numFmtId="0" fontId="3" fillId="0" borderId="3" xfId="0" applyFont="1" applyFill="1" applyBorder="1" applyAlignment="1"/>
    <xf numFmtId="0" fontId="28" fillId="0" borderId="0" xfId="0" applyNumberFormat="1" applyFont="1" applyFill="1" applyBorder="1" applyAlignment="1">
      <alignment horizontal="center"/>
    </xf>
    <xf numFmtId="0" fontId="28" fillId="0" borderId="3" xfId="0" applyFont="1" applyFill="1" applyBorder="1" applyAlignment="1"/>
    <xf numFmtId="0" fontId="3" fillId="0" borderId="4" xfId="0" applyFont="1" applyFill="1" applyBorder="1" applyAlignment="1"/>
    <xf numFmtId="0" fontId="3" fillId="0" borderId="17" xfId="0" applyFont="1" applyFill="1" applyBorder="1" applyAlignment="1"/>
    <xf numFmtId="0" fontId="28" fillId="0" borderId="17" xfId="0" applyFont="1" applyFill="1" applyBorder="1" applyAlignment="1"/>
    <xf numFmtId="0" fontId="28" fillId="0" borderId="5" xfId="0" applyFont="1" applyFill="1" applyBorder="1" applyAlignment="1"/>
    <xf numFmtId="0" fontId="30" fillId="0" borderId="0" xfId="0" applyFont="1" applyFill="1" applyBorder="1" applyAlignment="1">
      <alignment horizontal="center" vertical="top"/>
    </xf>
    <xf numFmtId="0" fontId="30" fillId="0" borderId="0" xfId="0" applyFont="1" applyFill="1" applyBorder="1" applyAlignment="1">
      <alignment horizontal="left" vertical="top" wrapText="1"/>
    </xf>
    <xf numFmtId="0" fontId="30" fillId="0" borderId="0" xfId="0" applyFont="1" applyFill="1" applyBorder="1" applyAlignment="1">
      <alignment horizontal="left" vertical="top" indent="1"/>
    </xf>
    <xf numFmtId="0" fontId="30" fillId="0" borderId="0" xfId="0" applyFont="1" applyFill="1" applyBorder="1" applyAlignment="1">
      <alignment horizontal="center"/>
    </xf>
    <xf numFmtId="0" fontId="28" fillId="0" borderId="0" xfId="0" applyFont="1" applyFill="1" applyBorder="1" applyAlignment="1">
      <alignment horizontal="center"/>
    </xf>
    <xf numFmtId="49" fontId="21" fillId="0" borderId="0" xfId="0" applyNumberFormat="1" applyFont="1" applyFill="1" applyBorder="1" applyAlignment="1">
      <alignment horizontal="left"/>
    </xf>
    <xf numFmtId="0" fontId="21" fillId="0" borderId="0" xfId="0" applyNumberFormat="1" applyFont="1" applyFill="1" applyBorder="1" applyAlignment="1">
      <alignment horizontal="right"/>
    </xf>
    <xf numFmtId="165" fontId="21" fillId="0" borderId="0" xfId="2" applyNumberFormat="1" applyFont="1" applyFill="1" applyBorder="1" applyAlignment="1">
      <alignment vertical="top"/>
    </xf>
    <xf numFmtId="0" fontId="3" fillId="0" borderId="0" xfId="0" applyFont="1">
      <alignment vertical="top"/>
    </xf>
    <xf numFmtId="0" fontId="3" fillId="0" borderId="16" xfId="0" applyFont="1" applyBorder="1">
      <alignment vertical="top"/>
    </xf>
    <xf numFmtId="0" fontId="3" fillId="0" borderId="0" xfId="0" applyFont="1" applyBorder="1">
      <alignment vertical="top"/>
    </xf>
    <xf numFmtId="0" fontId="3" fillId="0" borderId="22" xfId="0" applyFont="1" applyBorder="1">
      <alignment vertical="top"/>
    </xf>
    <xf numFmtId="0" fontId="3" fillId="0" borderId="0" xfId="0" applyFont="1" applyFill="1" applyBorder="1" applyAlignment="1">
      <alignment horizontal="center"/>
    </xf>
    <xf numFmtId="0" fontId="3" fillId="0" borderId="4" xfId="0" applyFont="1" applyBorder="1">
      <alignment vertical="top"/>
    </xf>
    <xf numFmtId="0" fontId="3" fillId="0" borderId="17" xfId="0" applyFont="1" applyBorder="1">
      <alignment vertical="top"/>
    </xf>
    <xf numFmtId="0" fontId="3" fillId="0" borderId="17" xfId="0" applyFont="1" applyFill="1" applyBorder="1" applyAlignment="1">
      <alignment horizontal="center"/>
    </xf>
    <xf numFmtId="0" fontId="3" fillId="0" borderId="27" xfId="0" applyFont="1" applyFill="1" applyBorder="1" applyAlignment="1">
      <alignment horizontal="center"/>
    </xf>
    <xf numFmtId="0" fontId="34" fillId="0" borderId="0" xfId="0" applyFont="1">
      <alignment vertical="top"/>
    </xf>
    <xf numFmtId="0" fontId="35" fillId="0" borderId="0" xfId="0" applyFont="1">
      <alignment vertical="top"/>
    </xf>
    <xf numFmtId="0" fontId="35" fillId="0" borderId="0" xfId="0" applyFont="1" applyAlignment="1">
      <alignment horizontal="right"/>
    </xf>
    <xf numFmtId="0" fontId="35" fillId="5" borderId="0" xfId="0" applyFont="1" applyFill="1">
      <alignment vertical="top"/>
    </xf>
    <xf numFmtId="0" fontId="35" fillId="0" borderId="0" xfId="0" applyFont="1" applyAlignment="1">
      <alignment horizontal="center"/>
    </xf>
    <xf numFmtId="0" fontId="35" fillId="0" borderId="2" xfId="0" applyFont="1" applyBorder="1">
      <alignment vertical="top"/>
    </xf>
    <xf numFmtId="0" fontId="35" fillId="0" borderId="23" xfId="0" applyFont="1" applyBorder="1">
      <alignment vertical="top"/>
    </xf>
    <xf numFmtId="0" fontId="35" fillId="0" borderId="23" xfId="0" applyFont="1" applyBorder="1" applyAlignment="1">
      <alignment horizontal="center"/>
    </xf>
    <xf numFmtId="0" fontId="35" fillId="0" borderId="26" xfId="0" applyFont="1" applyBorder="1">
      <alignment vertical="top"/>
    </xf>
    <xf numFmtId="0" fontId="35" fillId="0" borderId="16" xfId="0" applyFont="1" applyBorder="1">
      <alignment vertical="top"/>
    </xf>
    <xf numFmtId="0" fontId="35" fillId="0" borderId="0" xfId="0" applyFont="1" applyBorder="1">
      <alignment vertical="top"/>
    </xf>
    <xf numFmtId="0" fontId="35" fillId="0" borderId="0" xfId="0" applyFont="1" applyBorder="1" applyAlignment="1">
      <alignment horizontal="center"/>
    </xf>
    <xf numFmtId="0" fontId="35" fillId="0" borderId="22" xfId="0" applyFont="1" applyBorder="1">
      <alignment vertical="top"/>
    </xf>
    <xf numFmtId="0" fontId="35" fillId="0" borderId="22" xfId="0" applyFont="1" applyBorder="1" applyAlignment="1">
      <alignment horizontal="center"/>
    </xf>
    <xf numFmtId="0" fontId="35" fillId="0" borderId="16" xfId="0" applyFont="1" applyBorder="1" applyAlignment="1">
      <alignment horizontal="center"/>
    </xf>
    <xf numFmtId="0" fontId="35" fillId="0" borderId="4" xfId="0" applyFont="1" applyBorder="1" applyAlignment="1">
      <alignment horizontal="center"/>
    </xf>
    <xf numFmtId="0" fontId="35" fillId="0" borderId="17" xfId="0" applyFont="1" applyBorder="1" applyAlignment="1">
      <alignment horizontal="center"/>
    </xf>
    <xf numFmtId="0" fontId="35" fillId="0" borderId="27" xfId="0" applyFont="1" applyBorder="1" applyAlignment="1">
      <alignment horizontal="center"/>
    </xf>
    <xf numFmtId="0" fontId="35" fillId="0" borderId="17" xfId="0" applyFont="1" applyBorder="1">
      <alignment vertical="top"/>
    </xf>
    <xf numFmtId="0" fontId="35" fillId="0" borderId="16" xfId="0" applyFont="1" applyBorder="1" applyAlignment="1">
      <alignment horizontal="center" vertical="center"/>
    </xf>
    <xf numFmtId="167" fontId="30" fillId="0" borderId="0" xfId="1" applyNumberFormat="1" applyFont="1" applyBorder="1"/>
    <xf numFmtId="167" fontId="35" fillId="0" borderId="0" xfId="0" applyNumberFormat="1" applyFont="1" applyBorder="1">
      <alignment vertical="top"/>
    </xf>
    <xf numFmtId="10" fontId="30" fillId="0" borderId="0" xfId="7" applyNumberFormat="1" applyFont="1" applyBorder="1"/>
    <xf numFmtId="167" fontId="35" fillId="0" borderId="22" xfId="0" applyNumberFormat="1" applyFont="1" applyBorder="1">
      <alignment vertical="top"/>
    </xf>
    <xf numFmtId="0" fontId="35" fillId="0" borderId="27" xfId="0" applyFont="1" applyBorder="1">
      <alignment vertical="top"/>
    </xf>
    <xf numFmtId="165" fontId="30" fillId="0" borderId="0" xfId="2" applyNumberFormat="1" applyFont="1"/>
    <xf numFmtId="0" fontId="35" fillId="0" borderId="16" xfId="0" applyFont="1" applyFill="1" applyBorder="1" applyAlignment="1">
      <alignment horizontal="center"/>
    </xf>
    <xf numFmtId="0" fontId="35" fillId="0" borderId="0" xfId="0" applyFont="1" applyFill="1" applyBorder="1">
      <alignment vertical="top"/>
    </xf>
    <xf numFmtId="167" fontId="30" fillId="0" borderId="0" xfId="1" applyNumberFormat="1" applyFont="1" applyFill="1" applyBorder="1"/>
    <xf numFmtId="167" fontId="33" fillId="0" borderId="0" xfId="1" applyNumberFormat="1" applyFont="1" applyFill="1" applyBorder="1"/>
    <xf numFmtId="167" fontId="35" fillId="0" borderId="0" xfId="0" applyNumberFormat="1" applyFont="1" applyFill="1" applyBorder="1">
      <alignment vertical="top"/>
    </xf>
    <xf numFmtId="10" fontId="30" fillId="0" borderId="0" xfId="7" applyNumberFormat="1" applyFont="1" applyFill="1" applyBorder="1"/>
    <xf numFmtId="167" fontId="35" fillId="0" borderId="22" xfId="0" applyNumberFormat="1" applyFont="1" applyFill="1" applyBorder="1">
      <alignment vertical="top"/>
    </xf>
    <xf numFmtId="165" fontId="30" fillId="5" borderId="0" xfId="2" applyNumberFormat="1" applyFont="1" applyFill="1" applyBorder="1"/>
    <xf numFmtId="167" fontId="30" fillId="5" borderId="0" xfId="1" applyNumberFormat="1" applyFont="1" applyFill="1" applyBorder="1"/>
    <xf numFmtId="0" fontId="35" fillId="0" borderId="0" xfId="0" applyFont="1" applyFill="1">
      <alignment vertical="top"/>
    </xf>
    <xf numFmtId="0" fontId="35" fillId="0" borderId="16" xfId="0" applyFont="1" applyFill="1" applyBorder="1" applyAlignment="1"/>
    <xf numFmtId="0" fontId="35" fillId="0" borderId="0" xfId="0" applyFont="1" applyFill="1" applyBorder="1" applyAlignment="1"/>
    <xf numFmtId="165" fontId="27" fillId="5" borderId="0" xfId="2" applyNumberFormat="1" applyFont="1" applyFill="1" applyBorder="1" applyAlignment="1"/>
    <xf numFmtId="10" fontId="27" fillId="0" borderId="0" xfId="7" applyNumberFormat="1" applyFont="1" applyFill="1" applyBorder="1" applyAlignment="1"/>
    <xf numFmtId="164" fontId="35" fillId="0" borderId="3" xfId="0" applyNumberFormat="1" applyFont="1" applyFill="1" applyBorder="1" applyAlignment="1"/>
    <xf numFmtId="0" fontId="27" fillId="0" borderId="0" xfId="0" applyFont="1" applyFill="1" applyBorder="1" applyAlignment="1"/>
    <xf numFmtId="0" fontId="27" fillId="0" borderId="0" xfId="0" applyNumberFormat="1" applyFont="1" applyFill="1" applyBorder="1" applyAlignment="1"/>
    <xf numFmtId="0" fontId="27" fillId="0" borderId="0" xfId="0" applyNumberFormat="1" applyFont="1" applyFill="1" applyBorder="1">
      <alignment vertical="top"/>
    </xf>
    <xf numFmtId="0" fontId="27" fillId="0" borderId="16" xfId="0" applyNumberFormat="1" applyFont="1" applyFill="1" applyBorder="1">
      <alignment vertical="top"/>
    </xf>
    <xf numFmtId="0" fontId="27" fillId="0" borderId="3" xfId="0" applyNumberFormat="1" applyFont="1" applyFill="1" applyBorder="1">
      <alignment vertical="top"/>
    </xf>
    <xf numFmtId="3" fontId="27" fillId="0" borderId="0" xfId="0" applyNumberFormat="1" applyFont="1" applyFill="1" applyBorder="1" applyAlignment="1"/>
    <xf numFmtId="3" fontId="27" fillId="0" borderId="3" xfId="0" applyNumberFormat="1" applyFont="1" applyFill="1" applyBorder="1" applyAlignment="1"/>
    <xf numFmtId="166" fontId="27" fillId="0" borderId="0" xfId="3" applyFont="1" applyFill="1" applyBorder="1" applyAlignment="1"/>
    <xf numFmtId="0" fontId="35" fillId="0" borderId="0" xfId="0" applyNumberFormat="1" applyFont="1" applyFill="1" applyBorder="1" applyAlignment="1">
      <alignment horizontal="center"/>
    </xf>
    <xf numFmtId="165" fontId="27" fillId="0" borderId="0" xfId="2" applyNumberFormat="1" applyFont="1" applyFill="1" applyBorder="1" applyAlignment="1"/>
    <xf numFmtId="164" fontId="35" fillId="0" borderId="0" xfId="0" applyNumberFormat="1" applyFont="1" applyFill="1" applyBorder="1" applyAlignment="1"/>
    <xf numFmtId="165" fontId="27" fillId="0" borderId="3" xfId="2" applyNumberFormat="1" applyFont="1" applyFill="1" applyBorder="1" applyAlignment="1"/>
    <xf numFmtId="167" fontId="6" fillId="3" borderId="0" xfId="0" applyNumberFormat="1" applyFont="1" applyFill="1" applyAlignment="1"/>
    <xf numFmtId="0" fontId="38" fillId="0" borderId="0" xfId="8" applyFont="1">
      <alignment vertical="top"/>
    </xf>
    <xf numFmtId="0" fontId="39" fillId="0" borderId="0" xfId="0" applyFont="1">
      <alignment vertical="top"/>
    </xf>
    <xf numFmtId="0" fontId="40" fillId="0" borderId="0" xfId="8" applyFont="1">
      <alignment vertical="top"/>
    </xf>
    <xf numFmtId="0" fontId="40" fillId="0" borderId="0" xfId="5" applyFont="1" applyFill="1" applyBorder="1" applyAlignment="1">
      <alignment vertical="top"/>
    </xf>
    <xf numFmtId="0" fontId="28" fillId="5" borderId="17" xfId="0" quotePrefix="1" applyFont="1" applyFill="1" applyBorder="1" applyAlignment="1">
      <alignment horizontal="center"/>
    </xf>
    <xf numFmtId="0" fontId="28" fillId="0" borderId="0" xfId="8" applyFont="1">
      <alignment vertical="top"/>
    </xf>
    <xf numFmtId="49" fontId="28" fillId="0" borderId="17" xfId="0" applyNumberFormat="1" applyFont="1" applyFill="1" applyBorder="1" applyAlignment="1">
      <alignment horizontal="center"/>
    </xf>
    <xf numFmtId="0" fontId="3" fillId="0" borderId="0" xfId="0" applyFont="1" applyFill="1">
      <alignment vertical="top"/>
    </xf>
    <xf numFmtId="0" fontId="28" fillId="0" borderId="0" xfId="0" applyFont="1">
      <alignment vertical="top"/>
    </xf>
    <xf numFmtId="0" fontId="37" fillId="0" borderId="0" xfId="8">
      <alignment vertical="top"/>
    </xf>
    <xf numFmtId="0" fontId="41" fillId="7" borderId="0" xfId="9" applyFont="1" applyFill="1" applyAlignment="1"/>
    <xf numFmtId="164" fontId="42" fillId="7" borderId="0" xfId="10" quotePrefix="1" applyNumberFormat="1" applyFont="1" applyFill="1" applyAlignment="1">
      <alignment horizontal="center" wrapText="1"/>
    </xf>
    <xf numFmtId="164" fontId="26" fillId="0" borderId="0" xfId="10" applyNumberFormat="1" applyFont="1" applyFill="1" applyAlignment="1">
      <alignment horizontal="center" wrapText="1"/>
    </xf>
    <xf numFmtId="164" fontId="42" fillId="7" borderId="0" xfId="10" applyNumberFormat="1" applyFont="1" applyFill="1" applyAlignment="1">
      <alignment horizontal="center" wrapText="1"/>
    </xf>
    <xf numFmtId="0" fontId="40" fillId="4" borderId="1" xfId="8" applyFont="1" applyFill="1" applyBorder="1">
      <alignment vertical="top"/>
    </xf>
    <xf numFmtId="0" fontId="28" fillId="0" borderId="1" xfId="9" quotePrefix="1" applyFont="1" applyFill="1" applyBorder="1" applyAlignment="1">
      <alignment horizontal="left"/>
    </xf>
    <xf numFmtId="164" fontId="28" fillId="8" borderId="1" xfId="2" applyNumberFormat="1" applyFont="1" applyFill="1" applyBorder="1" applyAlignment="1">
      <alignment horizontal="right" vertical="top"/>
    </xf>
    <xf numFmtId="164" fontId="28" fillId="0" borderId="1" xfId="2" applyNumberFormat="1" applyFont="1" applyBorder="1" applyAlignment="1">
      <alignment horizontal="right" vertical="top"/>
    </xf>
    <xf numFmtId="0" fontId="40" fillId="4" borderId="3" xfId="8" applyFont="1" applyFill="1" applyBorder="1">
      <alignment vertical="top"/>
    </xf>
    <xf numFmtId="0" fontId="28" fillId="0" borderId="3" xfId="9" quotePrefix="1" applyFont="1" applyFill="1" applyBorder="1" applyAlignment="1">
      <alignment horizontal="left"/>
    </xf>
    <xf numFmtId="164" fontId="28" fillId="8" borderId="3" xfId="8" applyNumberFormat="1" applyFont="1" applyFill="1" applyBorder="1" applyAlignment="1">
      <alignment horizontal="right" vertical="top"/>
    </xf>
    <xf numFmtId="164" fontId="28" fillId="0" borderId="3" xfId="8" applyNumberFormat="1" applyFont="1" applyBorder="1" applyAlignment="1">
      <alignment horizontal="right" vertical="top"/>
    </xf>
    <xf numFmtId="0" fontId="28" fillId="0" borderId="3" xfId="9" applyFont="1" applyFill="1" applyBorder="1"/>
    <xf numFmtId="0" fontId="40" fillId="4" borderId="5" xfId="8" applyFont="1" applyFill="1" applyBorder="1">
      <alignment vertical="top"/>
    </xf>
    <xf numFmtId="0" fontId="28" fillId="0" borderId="5" xfId="9" applyFont="1" applyFill="1" applyBorder="1"/>
    <xf numFmtId="0" fontId="40" fillId="4" borderId="0" xfId="8" applyFont="1" applyFill="1">
      <alignment vertical="top"/>
    </xf>
    <xf numFmtId="0" fontId="40" fillId="0" borderId="0" xfId="9" applyFont="1" applyAlignment="1">
      <alignment horizontal="right"/>
    </xf>
    <xf numFmtId="164" fontId="28" fillId="8" borderId="6" xfId="8" applyNumberFormat="1" applyFont="1" applyFill="1" applyBorder="1" applyAlignment="1">
      <alignment horizontal="right" vertical="top"/>
    </xf>
    <xf numFmtId="164" fontId="28" fillId="0" borderId="6" xfId="8" applyNumberFormat="1" applyFont="1" applyBorder="1" applyAlignment="1">
      <alignment horizontal="right" vertical="top"/>
    </xf>
    <xf numFmtId="164" fontId="28" fillId="0" borderId="0" xfId="8" applyNumberFormat="1" applyFont="1" applyFill="1" applyBorder="1" applyAlignment="1">
      <alignment horizontal="right" vertical="top"/>
    </xf>
    <xf numFmtId="0" fontId="28" fillId="0" borderId="3" xfId="9" applyFont="1" applyBorder="1"/>
    <xf numFmtId="0" fontId="40" fillId="0" borderId="0" xfId="8" applyFont="1" applyFill="1">
      <alignment vertical="top"/>
    </xf>
    <xf numFmtId="0" fontId="40" fillId="0" borderId="0" xfId="9" applyFont="1" applyFill="1" applyAlignment="1">
      <alignment horizontal="right"/>
    </xf>
    <xf numFmtId="0" fontId="28" fillId="4" borderId="0" xfId="9" applyFont="1" applyFill="1" applyAlignment="1">
      <alignment horizontal="right"/>
    </xf>
    <xf numFmtId="164" fontId="28" fillId="4" borderId="0" xfId="9" applyNumberFormat="1" applyFont="1" applyFill="1" applyBorder="1" applyAlignment="1">
      <alignment horizontal="right"/>
    </xf>
    <xf numFmtId="0" fontId="28" fillId="4" borderId="0" xfId="9" applyFont="1" applyFill="1"/>
    <xf numFmtId="164" fontId="28" fillId="4" borderId="0" xfId="9" applyNumberFormat="1" applyFont="1" applyFill="1" applyAlignment="1">
      <alignment horizontal="right"/>
    </xf>
    <xf numFmtId="0" fontId="28" fillId="0" borderId="1" xfId="9" quotePrefix="1" applyFont="1" applyBorder="1" applyAlignment="1">
      <alignment horizontal="left"/>
    </xf>
    <xf numFmtId="0" fontId="28" fillId="0" borderId="3" xfId="9" quotePrefix="1" applyFont="1" applyBorder="1" applyAlignment="1">
      <alignment horizontal="left"/>
    </xf>
    <xf numFmtId="0" fontId="28" fillId="0" borderId="5" xfId="9" applyFont="1" applyBorder="1"/>
    <xf numFmtId="164" fontId="28" fillId="4" borderId="0" xfId="8" applyNumberFormat="1" applyFont="1" applyFill="1" applyBorder="1" applyAlignment="1">
      <alignment horizontal="right" vertical="top"/>
    </xf>
    <xf numFmtId="0" fontId="3" fillId="4" borderId="0" xfId="0" applyFont="1" applyFill="1">
      <alignment vertical="top"/>
    </xf>
    <xf numFmtId="0" fontId="40" fillId="0" borderId="1" xfId="0" applyFont="1" applyBorder="1">
      <alignment vertical="top"/>
    </xf>
    <xf numFmtId="0" fontId="28" fillId="0" borderId="1" xfId="8" applyFont="1" applyBorder="1">
      <alignment vertical="top"/>
    </xf>
    <xf numFmtId="164" fontId="28" fillId="8" borderId="1" xfId="8" applyNumberFormat="1" applyFont="1" applyFill="1" applyBorder="1" applyAlignment="1">
      <alignment horizontal="right" vertical="top"/>
    </xf>
    <xf numFmtId="0" fontId="28" fillId="0" borderId="5" xfId="8" applyFont="1" applyBorder="1">
      <alignment vertical="top"/>
    </xf>
    <xf numFmtId="0" fontId="26" fillId="0" borderId="0" xfId="0" applyFont="1">
      <alignment vertical="top"/>
    </xf>
    <xf numFmtId="0" fontId="40" fillId="0" borderId="17" xfId="5" applyFont="1" applyFill="1" applyBorder="1" applyAlignment="1">
      <alignment vertical="top"/>
    </xf>
    <xf numFmtId="0" fontId="25" fillId="4" borderId="0" xfId="0" applyFont="1" applyFill="1" applyBorder="1">
      <alignment vertical="top"/>
    </xf>
    <xf numFmtId="164" fontId="42" fillId="4" borderId="0" xfId="10" applyNumberFormat="1" applyFont="1" applyFill="1" applyBorder="1" applyAlignment="1">
      <alignment horizontal="center" wrapText="1"/>
    </xf>
    <xf numFmtId="164" fontId="43" fillId="7" borderId="0" xfId="10" applyNumberFormat="1" applyFont="1" applyFill="1" applyAlignment="1">
      <alignment horizontal="center" wrapText="1"/>
    </xf>
    <xf numFmtId="166" fontId="44" fillId="4" borderId="0" xfId="2" applyNumberFormat="1" applyFont="1" applyFill="1" applyBorder="1" applyAlignment="1">
      <alignment horizontal="right" vertical="top"/>
    </xf>
    <xf numFmtId="166" fontId="45" fillId="0" borderId="23" xfId="2" applyNumberFormat="1" applyFont="1" applyBorder="1" applyAlignment="1">
      <alignment horizontal="right" vertical="top"/>
    </xf>
    <xf numFmtId="166" fontId="45" fillId="8" borderId="2" xfId="2" applyNumberFormat="1" applyFont="1" applyFill="1" applyBorder="1" applyAlignment="1">
      <alignment horizontal="right" vertical="top"/>
    </xf>
    <xf numFmtId="164" fontId="28" fillId="8" borderId="3" xfId="2" applyNumberFormat="1" applyFont="1" applyFill="1" applyBorder="1" applyAlignment="1">
      <alignment horizontal="right" vertical="top"/>
    </xf>
    <xf numFmtId="2" fontId="44" fillId="4" borderId="0" xfId="8" applyNumberFormat="1" applyFont="1" applyFill="1" applyBorder="1" applyAlignment="1">
      <alignment horizontal="right" vertical="top"/>
    </xf>
    <xf numFmtId="2" fontId="45" fillId="0" borderId="0" xfId="8" applyNumberFormat="1" applyFont="1" applyBorder="1" applyAlignment="1">
      <alignment horizontal="right" vertical="top"/>
    </xf>
    <xf numFmtId="2" fontId="45" fillId="8" borderId="16" xfId="8" applyNumberFormat="1" applyFont="1" applyFill="1" applyBorder="1" applyAlignment="1">
      <alignment horizontal="right" vertical="top"/>
    </xf>
    <xf numFmtId="164" fontId="28" fillId="8" borderId="5" xfId="2" applyNumberFormat="1" applyFont="1" applyFill="1" applyBorder="1" applyAlignment="1">
      <alignment horizontal="right" vertical="top"/>
    </xf>
    <xf numFmtId="166" fontId="44" fillId="4" borderId="0" xfId="8" applyNumberFormat="1" applyFont="1" applyFill="1" applyBorder="1" applyAlignment="1">
      <alignment horizontal="right" vertical="top"/>
    </xf>
    <xf numFmtId="166" fontId="28" fillId="0" borderId="7" xfId="8" applyNumberFormat="1" applyFont="1" applyBorder="1" applyAlignment="1">
      <alignment horizontal="right" vertical="top"/>
    </xf>
    <xf numFmtId="166" fontId="28" fillId="8" borderId="8" xfId="8" applyNumberFormat="1" applyFont="1" applyFill="1" applyBorder="1" applyAlignment="1">
      <alignment horizontal="right" vertical="top"/>
    </xf>
    <xf numFmtId="0" fontId="28" fillId="0" borderId="0" xfId="8" applyFont="1" applyFill="1" applyBorder="1" applyAlignment="1">
      <alignment horizontal="right" vertical="top"/>
    </xf>
    <xf numFmtId="0" fontId="44" fillId="4" borderId="0" xfId="8" applyFont="1" applyFill="1" applyBorder="1" applyAlignment="1">
      <alignment horizontal="right" vertical="top"/>
    </xf>
    <xf numFmtId="0" fontId="28" fillId="0" borderId="0" xfId="8" applyFont="1" applyBorder="1" applyAlignment="1">
      <alignment horizontal="right" vertical="top"/>
    </xf>
    <xf numFmtId="0" fontId="28" fillId="8" borderId="0" xfId="8" applyFont="1" applyFill="1" applyBorder="1" applyAlignment="1">
      <alignment horizontal="right" vertical="top"/>
    </xf>
    <xf numFmtId="37" fontId="28" fillId="0" borderId="0" xfId="9" applyNumberFormat="1" applyFont="1" applyFill="1" applyBorder="1" applyAlignment="1">
      <alignment horizontal="right"/>
    </xf>
    <xf numFmtId="37" fontId="44" fillId="4" borderId="0" xfId="9" applyNumberFormat="1" applyFont="1" applyFill="1" applyBorder="1" applyAlignment="1">
      <alignment horizontal="right"/>
    </xf>
    <xf numFmtId="37" fontId="28" fillId="4" borderId="0" xfId="9" applyNumberFormat="1" applyFont="1" applyFill="1" applyBorder="1" applyAlignment="1">
      <alignment horizontal="right"/>
    </xf>
    <xf numFmtId="0" fontId="28" fillId="0" borderId="0" xfId="9" applyFont="1" applyFill="1" applyAlignment="1">
      <alignment horizontal="right"/>
    </xf>
    <xf numFmtId="0" fontId="44" fillId="4" borderId="0" xfId="9" applyFont="1" applyFill="1" applyBorder="1" applyAlignment="1">
      <alignment horizontal="right"/>
    </xf>
    <xf numFmtId="166" fontId="28" fillId="0" borderId="23" xfId="2" applyNumberFormat="1" applyFont="1" applyBorder="1" applyAlignment="1">
      <alignment horizontal="right" vertical="top"/>
    </xf>
    <xf numFmtId="166" fontId="28" fillId="8" borderId="2" xfId="2" applyNumberFormat="1" applyFont="1" applyFill="1" applyBorder="1" applyAlignment="1">
      <alignment horizontal="right" vertical="top"/>
    </xf>
    <xf numFmtId="2" fontId="28" fillId="0" borderId="0" xfId="8" applyNumberFormat="1" applyFont="1" applyBorder="1" applyAlignment="1">
      <alignment horizontal="right" vertical="top"/>
    </xf>
    <xf numFmtId="2" fontId="28" fillId="8" borderId="16" xfId="8" applyNumberFormat="1" applyFont="1" applyFill="1" applyBorder="1" applyAlignment="1">
      <alignment horizontal="right" vertical="top"/>
    </xf>
    <xf numFmtId="0" fontId="28" fillId="4" borderId="0" xfId="8" applyFont="1" applyFill="1" applyBorder="1" applyAlignment="1">
      <alignment horizontal="right" vertical="top"/>
    </xf>
    <xf numFmtId="0" fontId="3" fillId="0" borderId="0" xfId="0" applyFont="1" applyFill="1" applyAlignment="1">
      <alignment horizontal="right"/>
    </xf>
    <xf numFmtId="0" fontId="25" fillId="4" borderId="0" xfId="0" applyFont="1" applyFill="1" applyBorder="1" applyAlignment="1">
      <alignment horizontal="right"/>
    </xf>
    <xf numFmtId="0" fontId="3" fillId="4" borderId="0" xfId="0" applyFont="1" applyFill="1" applyAlignment="1">
      <alignment horizontal="right"/>
    </xf>
    <xf numFmtId="166" fontId="45" fillId="0" borderId="23" xfId="8" applyNumberFormat="1" applyFont="1" applyBorder="1" applyAlignment="1">
      <alignment horizontal="right" vertical="top"/>
    </xf>
    <xf numFmtId="166" fontId="45" fillId="8" borderId="23" xfId="8" applyNumberFormat="1" applyFont="1" applyFill="1" applyBorder="1" applyAlignment="1">
      <alignment horizontal="right" vertical="top"/>
    </xf>
    <xf numFmtId="166" fontId="45" fillId="0" borderId="26" xfId="8" applyNumberFormat="1" applyFont="1" applyBorder="1" applyAlignment="1">
      <alignment horizontal="right" vertical="top"/>
    </xf>
    <xf numFmtId="1" fontId="28" fillId="8" borderId="3" xfId="8" applyNumberFormat="1" applyFont="1" applyFill="1" applyBorder="1" applyAlignment="1">
      <alignment horizontal="right" vertical="top"/>
    </xf>
    <xf numFmtId="2" fontId="45" fillId="0" borderId="17" xfId="8" applyNumberFormat="1" applyFont="1" applyBorder="1" applyAlignment="1">
      <alignment horizontal="right" vertical="top"/>
    </xf>
    <xf numFmtId="2" fontId="45" fillId="8" borderId="17" xfId="8" applyNumberFormat="1" applyFont="1" applyFill="1" applyBorder="1" applyAlignment="1">
      <alignment horizontal="right" vertical="top"/>
    </xf>
    <xf numFmtId="2" fontId="45" fillId="0" borderId="22" xfId="8" applyNumberFormat="1" applyFont="1" applyBorder="1" applyAlignment="1">
      <alignment horizontal="right" vertical="top"/>
    </xf>
    <xf numFmtId="167" fontId="1" fillId="0" borderId="0" xfId="1" applyNumberFormat="1" applyFont="1" applyFill="1" applyAlignment="1">
      <alignment horizontal="right"/>
    </xf>
    <xf numFmtId="167" fontId="1" fillId="0" borderId="0" xfId="1" applyNumberFormat="1" applyFont="1" applyAlignment="1">
      <alignment horizontal="right"/>
    </xf>
    <xf numFmtId="0" fontId="1" fillId="4" borderId="0" xfId="0" applyFont="1" applyFill="1" applyAlignment="1"/>
    <xf numFmtId="10" fontId="6" fillId="0" borderId="7" xfId="7" applyNumberFormat="1" applyFont="1" applyFill="1" applyBorder="1" applyAlignment="1">
      <alignment vertical="top"/>
    </xf>
    <xf numFmtId="0" fontId="6" fillId="0" borderId="6" xfId="5" applyFont="1" applyFill="1" applyBorder="1" applyAlignment="1">
      <alignment vertical="top"/>
    </xf>
    <xf numFmtId="0" fontId="1" fillId="2" borderId="7" xfId="0" quotePrefix="1" applyFont="1" applyFill="1" applyBorder="1" applyAlignment="1">
      <alignment horizontal="center"/>
    </xf>
    <xf numFmtId="165" fontId="6" fillId="10" borderId="7" xfId="0" applyNumberFormat="1" applyFont="1" applyFill="1" applyBorder="1" applyAlignment="1"/>
    <xf numFmtId="0" fontId="1" fillId="0" borderId="0" xfId="0" applyFont="1" applyAlignment="1"/>
    <xf numFmtId="0" fontId="1" fillId="0" borderId="6" xfId="0" applyFont="1" applyBorder="1" applyAlignment="1">
      <alignment horizontal="center"/>
    </xf>
    <xf numFmtId="3" fontId="1" fillId="0" borderId="16" xfId="0" applyNumberFormat="1" applyFont="1" applyBorder="1" applyAlignment="1">
      <alignment horizontal="right"/>
    </xf>
    <xf numFmtId="167" fontId="7" fillId="9" borderId="0" xfId="1" applyNumberFormat="1" applyFont="1" applyFill="1"/>
    <xf numFmtId="3" fontId="1" fillId="2" borderId="16" xfId="0" applyNumberFormat="1" applyFont="1" applyFill="1" applyBorder="1" applyAlignment="1">
      <alignment horizontal="right"/>
    </xf>
    <xf numFmtId="167" fontId="0" fillId="0" borderId="0" xfId="0" applyNumberFormat="1" applyAlignment="1"/>
    <xf numFmtId="0" fontId="0" fillId="0" borderId="0" xfId="0" applyAlignment="1">
      <alignment horizontal="right"/>
    </xf>
    <xf numFmtId="0" fontId="0" fillId="0" borderId="0" xfId="0" applyFill="1" applyBorder="1" applyAlignment="1">
      <alignment horizontal="right"/>
    </xf>
    <xf numFmtId="167" fontId="48" fillId="0" borderId="0" xfId="1" applyNumberFormat="1" applyFont="1"/>
    <xf numFmtId="167" fontId="1" fillId="11" borderId="17" xfId="1" applyNumberFormat="1" applyFont="1" applyFill="1" applyBorder="1" applyAlignment="1"/>
    <xf numFmtId="167" fontId="48" fillId="0" borderId="0" xfId="1" applyNumberFormat="1" applyFont="1" applyFill="1"/>
    <xf numFmtId="167" fontId="49" fillId="0" borderId="0" xfId="1" applyNumberFormat="1" applyFont="1" applyFill="1"/>
    <xf numFmtId="167" fontId="1" fillId="11" borderId="7" xfId="1" applyNumberFormat="1" applyFont="1" applyFill="1" applyBorder="1"/>
    <xf numFmtId="167" fontId="48" fillId="0" borderId="0" xfId="1" applyNumberFormat="1" applyFont="1" applyFill="1" applyBorder="1"/>
    <xf numFmtId="167" fontId="1" fillId="0" borderId="0" xfId="1" applyNumberFormat="1" applyFont="1" applyBorder="1" applyAlignment="1"/>
    <xf numFmtId="167" fontId="49" fillId="0" borderId="0" xfId="1" applyNumberFormat="1" applyFont="1"/>
    <xf numFmtId="167" fontId="1" fillId="0" borderId="0" xfId="1" applyNumberFormat="1" applyFont="1"/>
    <xf numFmtId="167" fontId="1" fillId="0" borderId="0" xfId="1" applyNumberFormat="1" applyFont="1" applyFill="1"/>
    <xf numFmtId="3" fontId="7" fillId="9" borderId="0" xfId="0" applyNumberFormat="1" applyFont="1" applyFill="1" applyAlignment="1">
      <alignment horizontal="center"/>
    </xf>
    <xf numFmtId="167" fontId="35" fillId="0" borderId="0" xfId="0" applyNumberFormat="1" applyFont="1">
      <alignment vertical="top"/>
    </xf>
    <xf numFmtId="167" fontId="6" fillId="0" borderId="1" xfId="1" applyNumberFormat="1" applyFont="1" applyBorder="1" applyAlignment="1"/>
    <xf numFmtId="167" fontId="6" fillId="0" borderId="5" xfId="1" applyNumberFormat="1" applyFont="1" applyBorder="1" applyAlignment="1"/>
    <xf numFmtId="165" fontId="6" fillId="4" borderId="25" xfId="2" applyNumberFormat="1" applyFont="1" applyFill="1" applyBorder="1" applyAlignment="1"/>
    <xf numFmtId="167" fontId="27" fillId="5" borderId="0" xfId="1" applyNumberFormat="1" applyFont="1" applyFill="1" applyBorder="1"/>
    <xf numFmtId="165" fontId="6" fillId="12" borderId="7" xfId="2" applyNumberFormat="1" applyFont="1" applyFill="1" applyBorder="1" applyAlignment="1"/>
    <xf numFmtId="165" fontId="30" fillId="0" borderId="0" xfId="0" applyNumberFormat="1" applyFont="1" applyFill="1" applyBorder="1">
      <alignment vertical="top"/>
    </xf>
    <xf numFmtId="0" fontId="16" fillId="0" borderId="0" xfId="0" quotePrefix="1" applyFont="1" applyAlignment="1"/>
    <xf numFmtId="5" fontId="21" fillId="0" borderId="0" xfId="0" applyNumberFormat="1" applyFont="1" applyFill="1" applyBorder="1" applyAlignment="1"/>
    <xf numFmtId="165" fontId="6" fillId="0" borderId="6" xfId="0" applyNumberFormat="1" applyFont="1" applyFill="1" applyBorder="1" applyAlignment="1"/>
    <xf numFmtId="10" fontId="6" fillId="0" borderId="3" xfId="7" applyNumberFormat="1" applyFont="1" applyFill="1" applyBorder="1" applyAlignment="1">
      <alignment vertical="top"/>
    </xf>
    <xf numFmtId="0" fontId="6" fillId="0" borderId="0" xfId="0" applyFont="1" applyAlignment="1">
      <alignment horizontal="center" wrapText="1"/>
    </xf>
    <xf numFmtId="3" fontId="1" fillId="0" borderId="16" xfId="0" applyNumberFormat="1" applyFont="1" applyFill="1" applyBorder="1" applyAlignment="1">
      <alignment horizontal="right"/>
    </xf>
    <xf numFmtId="167" fontId="7" fillId="0" borderId="0" xfId="1" applyNumberFormat="1" applyFont="1" applyAlignment="1">
      <alignment vertical="top"/>
    </xf>
    <xf numFmtId="167" fontId="7" fillId="0" borderId="0" xfId="1" applyNumberFormat="1" applyFont="1" applyAlignment="1"/>
    <xf numFmtId="3" fontId="7" fillId="0" borderId="0" xfId="0" applyNumberFormat="1" applyFont="1">
      <alignment vertical="top"/>
    </xf>
    <xf numFmtId="3" fontId="7" fillId="0" borderId="0" xfId="0" applyNumberFormat="1" applyFont="1" applyAlignment="1"/>
    <xf numFmtId="166" fontId="1" fillId="0" borderId="16" xfId="0" applyNumberFormat="1" applyFont="1" applyFill="1" applyBorder="1" applyAlignment="1">
      <alignment horizontal="right" wrapText="1"/>
    </xf>
    <xf numFmtId="3" fontId="28" fillId="11" borderId="41" xfId="0" applyNumberFormat="1" applyFont="1" applyFill="1" applyBorder="1" applyAlignment="1">
      <alignment horizontal="center" vertical="center" wrapText="1"/>
    </xf>
    <xf numFmtId="0" fontId="0" fillId="0" borderId="8" xfId="0" applyBorder="1" applyAlignment="1">
      <alignment horizontal="right"/>
    </xf>
    <xf numFmtId="167" fontId="0" fillId="0" borderId="6" xfId="0" applyNumberFormat="1" applyBorder="1" applyAlignment="1"/>
    <xf numFmtId="3" fontId="28" fillId="11" borderId="6" xfId="0" applyNumberFormat="1" applyFont="1" applyFill="1" applyBorder="1" applyAlignment="1">
      <alignment horizontal="center" wrapText="1"/>
    </xf>
    <xf numFmtId="3" fontId="28" fillId="11" borderId="41" xfId="0" applyNumberFormat="1" applyFont="1" applyFill="1" applyBorder="1" applyAlignment="1">
      <alignment horizontal="center" wrapText="1"/>
    </xf>
    <xf numFmtId="165" fontId="51" fillId="0" borderId="0" xfId="0" applyNumberFormat="1" applyFont="1" applyAlignment="1"/>
    <xf numFmtId="165" fontId="51" fillId="4" borderId="0" xfId="0" applyNumberFormat="1" applyFont="1" applyFill="1" applyAlignment="1"/>
    <xf numFmtId="0" fontId="51" fillId="4" borderId="0" xfId="0" applyFont="1" applyFill="1" applyAlignment="1"/>
    <xf numFmtId="165" fontId="6" fillId="9" borderId="0" xfId="0" applyNumberFormat="1" applyFont="1" applyFill="1" applyAlignment="1"/>
    <xf numFmtId="165" fontId="6" fillId="9" borderId="7" xfId="0" applyNumberFormat="1" applyFont="1" applyFill="1" applyBorder="1" applyAlignment="1"/>
    <xf numFmtId="167" fontId="6" fillId="9" borderId="0" xfId="1" applyNumberFormat="1" applyFont="1" applyFill="1" applyAlignment="1"/>
    <xf numFmtId="0" fontId="52" fillId="0" borderId="0" xfId="0" applyFont="1">
      <alignment vertical="top"/>
    </xf>
    <xf numFmtId="167" fontId="52" fillId="0" borderId="0" xfId="0" applyNumberFormat="1" applyFont="1">
      <alignment vertical="top"/>
    </xf>
    <xf numFmtId="10" fontId="27" fillId="9" borderId="0" xfId="7" applyNumberFormat="1" applyFont="1" applyFill="1"/>
    <xf numFmtId="10" fontId="33" fillId="9" borderId="0" xfId="7" applyNumberFormat="1" applyFont="1" applyFill="1"/>
    <xf numFmtId="10" fontId="6" fillId="9" borderId="0" xfId="7" applyNumberFormat="1" applyFont="1" applyFill="1"/>
    <xf numFmtId="10" fontId="6" fillId="13" borderId="21" xfId="7" applyNumberFormat="1" applyFont="1" applyFill="1" applyBorder="1" applyAlignment="1">
      <alignment vertical="top"/>
    </xf>
    <xf numFmtId="10" fontId="1" fillId="13" borderId="21" xfId="7" applyNumberFormat="1" applyFont="1" applyFill="1" applyBorder="1" applyAlignment="1">
      <alignment vertical="top"/>
    </xf>
    <xf numFmtId="0" fontId="5" fillId="0" borderId="20" xfId="5" applyFont="1" applyBorder="1" applyAlignment="1">
      <alignment horizontal="left" vertical="center" wrapText="1"/>
    </xf>
    <xf numFmtId="167" fontId="14" fillId="14" borderId="0" xfId="1" applyNumberFormat="1" applyFont="1" applyFill="1"/>
    <xf numFmtId="167" fontId="14" fillId="14" borderId="17" xfId="1" applyNumberFormat="1" applyFont="1" applyFill="1" applyBorder="1"/>
    <xf numFmtId="167" fontId="14" fillId="14" borderId="23" xfId="1" applyNumberFormat="1" applyFont="1" applyFill="1" applyBorder="1" applyAlignment="1"/>
    <xf numFmtId="167" fontId="7" fillId="14" borderId="17" xfId="1" applyNumberFormat="1" applyFont="1" applyFill="1" applyBorder="1"/>
    <xf numFmtId="167" fontId="7" fillId="14" borderId="17" xfId="1" applyNumberFormat="1" applyFont="1" applyFill="1" applyBorder="1" applyAlignment="1"/>
    <xf numFmtId="167" fontId="14" fillId="14" borderId="0" xfId="1" applyNumberFormat="1" applyFont="1" applyFill="1" applyBorder="1" applyAlignment="1"/>
    <xf numFmtId="167" fontId="14" fillId="14" borderId="17" xfId="1" applyNumberFormat="1" applyFont="1" applyFill="1" applyBorder="1" applyAlignment="1"/>
    <xf numFmtId="166" fontId="1" fillId="0" borderId="16" xfId="0" applyNumberFormat="1" applyFont="1" applyBorder="1" applyAlignment="1">
      <alignment horizontal="right" wrapText="1"/>
    </xf>
    <xf numFmtId="167" fontId="14" fillId="14" borderId="0" xfId="1" applyNumberFormat="1" applyFont="1" applyFill="1" applyBorder="1"/>
    <xf numFmtId="167" fontId="7" fillId="14" borderId="0" xfId="1" applyNumberFormat="1" applyFont="1" applyFill="1"/>
    <xf numFmtId="167" fontId="48" fillId="14" borderId="0" xfId="1" applyNumberFormat="1" applyFont="1" applyFill="1"/>
    <xf numFmtId="167" fontId="48" fillId="14" borderId="17" xfId="1" applyNumberFormat="1" applyFont="1" applyFill="1" applyBorder="1"/>
    <xf numFmtId="167" fontId="49" fillId="14" borderId="17" xfId="1" applyNumberFormat="1" applyFont="1" applyFill="1" applyBorder="1"/>
    <xf numFmtId="167" fontId="49" fillId="14" borderId="0" xfId="1" applyNumberFormat="1" applyFont="1" applyFill="1"/>
    <xf numFmtId="167" fontId="48" fillId="14" borderId="0" xfId="1" applyNumberFormat="1" applyFont="1" applyFill="1" applyBorder="1" applyAlignment="1"/>
    <xf numFmtId="167" fontId="48" fillId="14" borderId="0" xfId="1" applyNumberFormat="1" applyFont="1" applyFill="1" applyBorder="1"/>
    <xf numFmtId="3" fontId="21" fillId="0" borderId="16" xfId="0" applyNumberFormat="1" applyFont="1" applyFill="1" applyBorder="1" applyAlignment="1">
      <alignment horizontal="right"/>
    </xf>
    <xf numFmtId="167" fontId="0" fillId="0" borderId="0" xfId="0" applyNumberFormat="1" applyFill="1" applyAlignment="1"/>
    <xf numFmtId="167" fontId="0" fillId="0" borderId="6" xfId="0" applyNumberFormat="1" applyFill="1" applyBorder="1" applyAlignment="1"/>
    <xf numFmtId="0" fontId="21" fillId="0" borderId="0" xfId="0" applyFont="1" applyFill="1" applyBorder="1" applyAlignment="1">
      <alignment horizontal="right"/>
    </xf>
    <xf numFmtId="0" fontId="30" fillId="0" borderId="0" xfId="0" applyFont="1" applyFill="1" applyBorder="1" applyAlignment="1">
      <alignment horizontal="left" vertical="top" wrapText="1"/>
    </xf>
    <xf numFmtId="165" fontId="6" fillId="12" borderId="7" xfId="0" applyNumberFormat="1" applyFont="1" applyFill="1" applyBorder="1" applyAlignment="1"/>
    <xf numFmtId="0" fontId="54" fillId="0" borderId="0" xfId="0" applyFont="1" applyBorder="1" applyAlignment="1">
      <alignment horizontal="center"/>
    </xf>
    <xf numFmtId="167" fontId="56" fillId="15" borderId="0" xfId="1" applyNumberFormat="1" applyFont="1" applyFill="1" applyBorder="1"/>
    <xf numFmtId="167" fontId="28" fillId="0" borderId="0" xfId="1" applyNumberFormat="1" applyFont="1" applyFill="1" applyBorder="1"/>
    <xf numFmtId="167" fontId="28" fillId="0" borderId="30" xfId="0" applyNumberFormat="1" applyFont="1" applyBorder="1" applyAlignment="1"/>
    <xf numFmtId="0" fontId="1" fillId="0" borderId="0" xfId="0" applyFont="1" applyFill="1" applyBorder="1" applyAlignment="1">
      <alignment horizontal="center"/>
    </xf>
    <xf numFmtId="165" fontId="1" fillId="0" borderId="0" xfId="2" quotePrefix="1" applyNumberFormat="1" applyFont="1" applyFill="1" applyBorder="1" applyAlignment="1">
      <alignment horizontal="center" vertical="top"/>
    </xf>
    <xf numFmtId="167" fontId="1" fillId="0" borderId="0" xfId="1" quotePrefix="1" applyNumberFormat="1" applyFont="1" applyFill="1" applyBorder="1" applyAlignment="1">
      <alignment horizontal="center"/>
    </xf>
    <xf numFmtId="165" fontId="1" fillId="5" borderId="6" xfId="2" applyNumberFormat="1" applyFont="1" applyFill="1" applyBorder="1" applyAlignment="1"/>
    <xf numFmtId="165" fontId="1" fillId="6" borderId="6" xfId="2" applyNumberFormat="1" applyFont="1" applyFill="1" applyBorder="1" applyAlignment="1"/>
    <xf numFmtId="165" fontId="1" fillId="12" borderId="6" xfId="2" applyNumberFormat="1" applyFont="1" applyFill="1" applyBorder="1" applyAlignment="1"/>
    <xf numFmtId="0" fontId="57" fillId="0" borderId="0" xfId="0" applyFont="1" applyAlignment="1"/>
    <xf numFmtId="0" fontId="57" fillId="4" borderId="0" xfId="0" applyFont="1" applyFill="1" applyAlignment="1"/>
    <xf numFmtId="0" fontId="58" fillId="0" borderId="0" xfId="0" applyFont="1" applyBorder="1" applyAlignment="1">
      <alignment horizontal="center"/>
    </xf>
    <xf numFmtId="0" fontId="1" fillId="0" borderId="0" xfId="0" applyFont="1" applyBorder="1" applyAlignment="1">
      <alignment horizontal="center"/>
    </xf>
    <xf numFmtId="0" fontId="1" fillId="0" borderId="0" xfId="0" applyFont="1" applyBorder="1" applyAlignment="1"/>
    <xf numFmtId="167" fontId="59" fillId="15" borderId="0" xfId="1" applyNumberFormat="1" applyFont="1" applyFill="1" applyBorder="1"/>
    <xf numFmtId="10" fontId="1" fillId="0" borderId="0" xfId="7" applyNumberFormat="1" applyFont="1" applyBorder="1" applyAlignment="1"/>
    <xf numFmtId="167" fontId="1" fillId="0" borderId="0" xfId="1" applyNumberFormat="1" applyFont="1" applyFill="1" applyBorder="1"/>
    <xf numFmtId="167" fontId="59" fillId="15" borderId="0" xfId="1" applyNumberFormat="1" applyFont="1" applyFill="1" applyBorder="1" applyAlignment="1"/>
    <xf numFmtId="171" fontId="57" fillId="0" borderId="0" xfId="0" applyNumberFormat="1" applyFont="1" applyAlignment="1"/>
    <xf numFmtId="169" fontId="57" fillId="0" borderId="0" xfId="1" applyNumberFormat="1" applyFont="1" applyAlignment="1"/>
    <xf numFmtId="0" fontId="58" fillId="0" borderId="30" xfId="0" applyFont="1" applyBorder="1" applyAlignment="1">
      <alignment horizontal="center"/>
    </xf>
    <xf numFmtId="10" fontId="1" fillId="16" borderId="0" xfId="7" applyNumberFormat="1" applyFont="1" applyFill="1" applyBorder="1" applyAlignment="1">
      <alignment horizontal="center"/>
    </xf>
    <xf numFmtId="10" fontId="1" fillId="0" borderId="0" xfId="7" applyNumberFormat="1" applyFont="1" applyBorder="1" applyAlignment="1">
      <alignment horizontal="center"/>
    </xf>
    <xf numFmtId="167" fontId="1" fillId="0" borderId="42" xfId="0" applyNumberFormat="1" applyFont="1" applyBorder="1" applyAlignment="1"/>
    <xf numFmtId="10" fontId="1" fillId="0" borderId="42" xfId="7" applyNumberFormat="1" applyFont="1" applyBorder="1" applyAlignment="1">
      <alignment horizontal="center"/>
    </xf>
    <xf numFmtId="0" fontId="60" fillId="0" borderId="0" xfId="0" applyFont="1" applyFill="1" applyBorder="1" applyAlignment="1"/>
    <xf numFmtId="0" fontId="61" fillId="0" borderId="0" xfId="0" applyNumberFormat="1" applyFont="1" applyFill="1" applyBorder="1" applyAlignment="1" applyProtection="1">
      <alignment horizontal="center"/>
      <protection locked="0"/>
    </xf>
    <xf numFmtId="49" fontId="22" fillId="0" borderId="0" xfId="0" applyNumberFormat="1" applyFont="1" applyFill="1" applyBorder="1" applyAlignment="1">
      <alignment horizontal="center"/>
    </xf>
    <xf numFmtId="0" fontId="22" fillId="0" borderId="0" xfId="0" applyFont="1" applyFill="1" applyBorder="1" applyAlignment="1"/>
    <xf numFmtId="0" fontId="22" fillId="0" borderId="8" xfId="0" applyFont="1" applyFill="1" applyBorder="1" applyAlignment="1">
      <alignment horizontal="center" wrapText="1"/>
    </xf>
    <xf numFmtId="0" fontId="22" fillId="0" borderId="7" xfId="0" applyFont="1" applyFill="1" applyBorder="1" applyAlignment="1"/>
    <xf numFmtId="0" fontId="22" fillId="0" borderId="7" xfId="0" applyFont="1" applyFill="1" applyBorder="1" applyAlignment="1">
      <alignment horizontal="center" wrapText="1"/>
    </xf>
    <xf numFmtId="0" fontId="22" fillId="0" borderId="6" xfId="0" applyFont="1" applyFill="1" applyBorder="1" applyAlignment="1">
      <alignment horizontal="center" wrapText="1"/>
    </xf>
    <xf numFmtId="0" fontId="21" fillId="0" borderId="16" xfId="0" applyFont="1" applyFill="1" applyBorder="1" applyAlignment="1"/>
    <xf numFmtId="165" fontId="21" fillId="0" borderId="0" xfId="2" applyNumberFormat="1" applyFont="1" applyFill="1" applyBorder="1" applyAlignment="1"/>
    <xf numFmtId="165" fontId="21" fillId="0" borderId="3" xfId="2" applyNumberFormat="1" applyFont="1" applyFill="1" applyBorder="1" applyAlignment="1"/>
    <xf numFmtId="0" fontId="21" fillId="0" borderId="0" xfId="0" quotePrefix="1" applyFont="1" applyFill="1" applyBorder="1" applyAlignment="1"/>
    <xf numFmtId="0" fontId="21" fillId="0" borderId="4" xfId="0" applyFont="1" applyFill="1" applyBorder="1" applyAlignment="1"/>
    <xf numFmtId="0" fontId="21" fillId="0" borderId="17" xfId="0" applyFont="1" applyFill="1" applyBorder="1" applyAlignment="1"/>
    <xf numFmtId="164" fontId="21" fillId="0" borderId="7" xfId="0" applyNumberFormat="1" applyFont="1" applyFill="1" applyBorder="1" applyAlignment="1"/>
    <xf numFmtId="165" fontId="28" fillId="0" borderId="0" xfId="0" applyNumberFormat="1" applyFont="1" applyFill="1" applyBorder="1" applyAlignment="1"/>
    <xf numFmtId="164" fontId="28" fillId="0" borderId="0" xfId="0" applyNumberFormat="1" applyFont="1" applyFill="1" applyBorder="1" applyAlignment="1"/>
    <xf numFmtId="0" fontId="21" fillId="0" borderId="0" xfId="0" applyFont="1" applyFill="1" applyBorder="1" applyAlignment="1">
      <alignment horizontal="center" vertical="top"/>
    </xf>
    <xf numFmtId="167" fontId="28" fillId="0" borderId="0" xfId="1" applyNumberFormat="1" applyFont="1" applyAlignment="1">
      <alignment vertical="top"/>
    </xf>
    <xf numFmtId="167" fontId="3" fillId="0" borderId="0" xfId="1" applyNumberFormat="1" applyFont="1" applyAlignment="1">
      <alignment vertical="top"/>
    </xf>
    <xf numFmtId="164" fontId="50" fillId="7" borderId="0" xfId="10" applyNumberFormat="1" applyFont="1" applyFill="1" applyAlignment="1">
      <alignment horizontal="center" wrapText="1"/>
    </xf>
    <xf numFmtId="164" fontId="28" fillId="8" borderId="5" xfId="8" applyNumberFormat="1" applyFont="1" applyFill="1" applyBorder="1" applyAlignment="1">
      <alignment horizontal="right" vertical="top"/>
    </xf>
    <xf numFmtId="164" fontId="28" fillId="0" borderId="5" xfId="8" applyNumberFormat="1" applyFont="1" applyBorder="1" applyAlignment="1">
      <alignment horizontal="right" vertical="top"/>
    </xf>
    <xf numFmtId="164" fontId="3" fillId="4" borderId="0" xfId="0" applyNumberFormat="1" applyFont="1" applyFill="1" applyAlignment="1">
      <alignment horizontal="right"/>
    </xf>
    <xf numFmtId="164" fontId="28" fillId="0" borderId="1" xfId="8" applyNumberFormat="1" applyFont="1" applyBorder="1" applyAlignment="1">
      <alignment horizontal="right" vertical="top"/>
    </xf>
    <xf numFmtId="164" fontId="26" fillId="0" borderId="0" xfId="0" applyNumberFormat="1" applyFont="1">
      <alignment vertical="top"/>
    </xf>
    <xf numFmtId="164" fontId="3" fillId="0" borderId="0" xfId="0" applyNumberFormat="1" applyFont="1">
      <alignment vertical="top"/>
    </xf>
    <xf numFmtId="175" fontId="21" fillId="0" borderId="0" xfId="0" applyNumberFormat="1" applyFont="1" applyFill="1" applyBorder="1" applyAlignment="1"/>
    <xf numFmtId="165" fontId="27" fillId="9" borderId="0" xfId="2" applyNumberFormat="1" applyFont="1" applyFill="1" applyBorder="1" applyAlignment="1"/>
    <xf numFmtId="0" fontId="28" fillId="0" borderId="43" xfId="0" applyFont="1" applyBorder="1" applyAlignment="1"/>
    <xf numFmtId="10" fontId="28" fillId="0" borderId="43" xfId="7" applyNumberFormat="1" applyFont="1" applyBorder="1" applyAlignment="1"/>
    <xf numFmtId="10" fontId="28" fillId="16" borderId="43" xfId="7" applyNumberFormat="1" applyFont="1" applyFill="1" applyBorder="1" applyAlignment="1"/>
    <xf numFmtId="10" fontId="28" fillId="0" borderId="44" xfId="7" applyNumberFormat="1" applyFont="1" applyBorder="1" applyAlignment="1"/>
    <xf numFmtId="0" fontId="35" fillId="0" borderId="0" xfId="0" applyFont="1" applyAlignment="1">
      <alignment horizontal="right" vertical="top"/>
    </xf>
    <xf numFmtId="0" fontId="35" fillId="0" borderId="45" xfId="0" applyFont="1" applyBorder="1">
      <alignment vertical="top"/>
    </xf>
    <xf numFmtId="0" fontId="35" fillId="0" borderId="46" xfId="0" applyFont="1" applyBorder="1">
      <alignment vertical="top"/>
    </xf>
    <xf numFmtId="0" fontId="53" fillId="0" borderId="46" xfId="0" applyFont="1" applyBorder="1" applyAlignment="1">
      <alignment horizontal="center"/>
    </xf>
    <xf numFmtId="0" fontId="28" fillId="0" borderId="47" xfId="0" applyFont="1" applyBorder="1" applyAlignment="1"/>
    <xf numFmtId="0" fontId="35" fillId="0" borderId="48" xfId="0" applyFont="1" applyBorder="1">
      <alignment vertical="top"/>
    </xf>
    <xf numFmtId="0" fontId="35" fillId="0" borderId="0" xfId="0" applyFont="1" applyBorder="1" applyAlignment="1">
      <alignment horizontal="right" vertical="top"/>
    </xf>
    <xf numFmtId="0" fontId="35" fillId="0" borderId="49" xfId="0" applyFont="1" applyBorder="1">
      <alignment vertical="top"/>
    </xf>
    <xf numFmtId="0" fontId="35" fillId="0" borderId="30" xfId="0" applyFont="1" applyBorder="1">
      <alignment vertical="top"/>
    </xf>
    <xf numFmtId="0" fontId="35" fillId="0" borderId="23" xfId="0" applyFont="1" applyBorder="1" applyAlignment="1">
      <alignment horizontal="center" vertical="center"/>
    </xf>
    <xf numFmtId="0" fontId="35" fillId="0" borderId="0" xfId="0" applyFont="1" applyBorder="1" applyAlignment="1">
      <alignment horizontal="center" vertical="center"/>
    </xf>
    <xf numFmtId="0" fontId="35" fillId="0" borderId="0" xfId="0" applyFont="1" applyAlignment="1">
      <alignment horizontal="center" vertical="top"/>
    </xf>
    <xf numFmtId="167" fontId="35" fillId="0" borderId="0" xfId="1" applyNumberFormat="1" applyFont="1" applyAlignment="1">
      <alignment vertical="top"/>
    </xf>
    <xf numFmtId="10" fontId="35" fillId="0" borderId="0" xfId="0" applyNumberFormat="1" applyFont="1">
      <alignment vertical="top"/>
    </xf>
    <xf numFmtId="167" fontId="35" fillId="0" borderId="23" xfId="0" applyNumberFormat="1" applyFont="1" applyBorder="1">
      <alignment vertical="top"/>
    </xf>
    <xf numFmtId="165" fontId="35" fillId="0" borderId="0" xfId="0" applyNumberFormat="1" applyFont="1">
      <alignment vertical="top"/>
    </xf>
    <xf numFmtId="0" fontId="62" fillId="0" borderId="0" xfId="0" quotePrefix="1" applyFont="1" applyAlignment="1">
      <alignment horizontal="center"/>
    </xf>
    <xf numFmtId="0" fontId="63" fillId="0" borderId="0" xfId="0" applyFont="1">
      <alignment vertical="top"/>
    </xf>
    <xf numFmtId="43" fontId="0" fillId="0" borderId="0" xfId="0" applyNumberFormat="1" applyFill="1" applyBorder="1" applyAlignment="1"/>
    <xf numFmtId="165" fontId="21" fillId="17" borderId="0" xfId="2" applyNumberFormat="1" applyFont="1" applyFill="1" applyBorder="1" applyAlignment="1"/>
    <xf numFmtId="167" fontId="64" fillId="17" borderId="0" xfId="1" applyNumberFormat="1" applyFont="1" applyFill="1"/>
    <xf numFmtId="167" fontId="6" fillId="0" borderId="0" xfId="1" applyNumberFormat="1" applyFont="1" applyFill="1" applyAlignment="1"/>
    <xf numFmtId="43" fontId="6" fillId="0" borderId="0" xfId="1" applyFont="1" applyFill="1" applyAlignment="1"/>
    <xf numFmtId="37" fontId="6" fillId="0" borderId="0" xfId="1" applyNumberFormat="1" applyFont="1" applyAlignment="1"/>
    <xf numFmtId="0" fontId="1" fillId="0" borderId="0" xfId="0" quotePrefix="1" applyFont="1" applyFill="1" applyBorder="1" applyAlignment="1">
      <alignment horizontal="center"/>
    </xf>
    <xf numFmtId="0" fontId="1" fillId="0" borderId="0" xfId="0" applyFont="1" applyAlignment="1">
      <alignment wrapText="1"/>
    </xf>
    <xf numFmtId="0" fontId="0" fillId="0" borderId="0" xfId="0" applyAlignment="1">
      <alignment wrapText="1"/>
    </xf>
    <xf numFmtId="0" fontId="1" fillId="0" borderId="0" xfId="0" applyFont="1" applyAlignment="1">
      <alignment vertical="top"/>
    </xf>
    <xf numFmtId="14" fontId="0" fillId="0" borderId="0" xfId="0" applyNumberFormat="1" applyAlignment="1">
      <alignment horizontal="left" vertical="top"/>
    </xf>
    <xf numFmtId="43" fontId="6" fillId="0" borderId="1" xfId="1" applyNumberFormat="1" applyFont="1" applyBorder="1" applyAlignment="1"/>
    <xf numFmtId="43" fontId="6" fillId="0" borderId="3" xfId="1" applyNumberFormat="1" applyFont="1" applyBorder="1" applyAlignment="1"/>
    <xf numFmtId="44" fontId="6" fillId="0" borderId="8" xfId="2" applyNumberFormat="1" applyFont="1" applyFill="1" applyBorder="1" applyAlignment="1"/>
    <xf numFmtId="44" fontId="6" fillId="0" borderId="0" xfId="2" applyNumberFormat="1" applyFont="1" applyFill="1" applyAlignment="1"/>
    <xf numFmtId="44" fontId="6" fillId="0" borderId="7" xfId="0" applyNumberFormat="1" applyFont="1" applyBorder="1" applyAlignment="1"/>
    <xf numFmtId="44" fontId="6" fillId="4" borderId="7" xfId="0" applyNumberFormat="1" applyFont="1" applyFill="1" applyBorder="1" applyAlignment="1"/>
    <xf numFmtId="43" fontId="6" fillId="0" borderId="0" xfId="1" applyNumberFormat="1" applyFont="1" applyAlignment="1"/>
    <xf numFmtId="0" fontId="1" fillId="0" borderId="0" xfId="0" quotePrefix="1" applyFont="1" applyAlignment="1"/>
    <xf numFmtId="0" fontId="1" fillId="0" borderId="0" xfId="0" applyFont="1" applyAlignment="1">
      <alignment horizontal="center"/>
    </xf>
    <xf numFmtId="10" fontId="6" fillId="9" borderId="23" xfId="7" applyNumberFormat="1" applyFont="1" applyFill="1" applyBorder="1"/>
    <xf numFmtId="166" fontId="6" fillId="0" borderId="8" xfId="0" applyNumberFormat="1" applyFont="1" applyBorder="1" applyAlignment="1">
      <alignment horizontal="center"/>
    </xf>
    <xf numFmtId="0" fontId="0" fillId="0" borderId="7" xfId="0" applyBorder="1" applyAlignment="1">
      <alignment horizontal="center"/>
    </xf>
    <xf numFmtId="0" fontId="0" fillId="0" borderId="24" xfId="0" applyBorder="1" applyAlignment="1">
      <alignment horizontal="center"/>
    </xf>
    <xf numFmtId="0" fontId="5" fillId="0" borderId="12" xfId="5" applyFont="1" applyBorder="1" applyAlignment="1">
      <alignment horizontal="left" vertical="center" wrapText="1"/>
    </xf>
    <xf numFmtId="0" fontId="5" fillId="0" borderId="32" xfId="5" applyFont="1" applyBorder="1" applyAlignment="1">
      <alignment horizontal="left" vertical="center" wrapText="1"/>
    </xf>
    <xf numFmtId="0" fontId="5" fillId="0" borderId="18" xfId="4" applyNumberFormat="1" applyFont="1" applyBorder="1" applyAlignment="1">
      <alignment horizontal="left" vertical="center" wrapText="1"/>
    </xf>
    <xf numFmtId="0" fontId="5" fillId="0" borderId="33" xfId="4" applyNumberFormat="1" applyFont="1" applyBorder="1" applyAlignment="1">
      <alignment horizontal="left" vertical="center" wrapText="1"/>
    </xf>
    <xf numFmtId="0" fontId="5" fillId="0" borderId="34" xfId="4" applyNumberFormat="1" applyFont="1" applyBorder="1" applyAlignment="1">
      <alignment horizontal="left" vertical="center" wrapText="1"/>
    </xf>
    <xf numFmtId="0" fontId="5" fillId="0" borderId="18" xfId="4" applyFont="1" applyBorder="1" applyAlignment="1">
      <alignment horizontal="left" vertical="center" wrapText="1"/>
    </xf>
    <xf numFmtId="0" fontId="5" fillId="0" borderId="33" xfId="4" applyFont="1" applyBorder="1" applyAlignment="1">
      <alignment horizontal="left" vertical="center" wrapText="1"/>
    </xf>
    <xf numFmtId="0" fontId="5" fillId="0" borderId="34" xfId="4" applyFont="1" applyBorder="1" applyAlignment="1">
      <alignment horizontal="left" vertical="center" wrapText="1"/>
    </xf>
    <xf numFmtId="0" fontId="5" fillId="0" borderId="13" xfId="5" applyFont="1" applyBorder="1" applyAlignment="1">
      <alignment horizontal="left" vertical="center" wrapText="1"/>
    </xf>
    <xf numFmtId="0" fontId="5" fillId="0" borderId="35" xfId="5" applyFont="1" applyBorder="1" applyAlignment="1">
      <alignment horizontal="left" vertical="center" wrapText="1"/>
    </xf>
    <xf numFmtId="164" fontId="5" fillId="0" borderId="19" xfId="4" applyNumberFormat="1" applyFont="1" applyBorder="1" applyAlignment="1">
      <alignment horizontal="left" vertical="center" wrapText="1"/>
    </xf>
    <xf numFmtId="164" fontId="5" fillId="0" borderId="36" xfId="4" applyNumberFormat="1" applyFont="1" applyBorder="1" applyAlignment="1">
      <alignment horizontal="left" vertical="center" wrapText="1"/>
    </xf>
    <xf numFmtId="164" fontId="5" fillId="0" borderId="37" xfId="4" applyNumberFormat="1" applyFont="1" applyBorder="1" applyAlignment="1">
      <alignment horizontal="left" vertical="center" wrapText="1"/>
    </xf>
    <xf numFmtId="0" fontId="5" fillId="0" borderId="38" xfId="5" applyFont="1" applyBorder="1" applyAlignment="1">
      <alignment horizontal="left" vertical="center" wrapText="1"/>
    </xf>
    <xf numFmtId="0" fontId="5" fillId="0" borderId="31" xfId="5" applyFont="1" applyBorder="1" applyAlignment="1">
      <alignment horizontal="left" vertical="center" wrapText="1"/>
    </xf>
    <xf numFmtId="0" fontId="5" fillId="9" borderId="20" xfId="5" applyFont="1" applyFill="1" applyBorder="1" applyAlignment="1">
      <alignment horizontal="left" vertical="center" wrapText="1"/>
    </xf>
    <xf numFmtId="0" fontId="5" fillId="9" borderId="39" xfId="5" applyFont="1" applyFill="1" applyBorder="1" applyAlignment="1">
      <alignment horizontal="left" vertical="center" wrapText="1"/>
    </xf>
    <xf numFmtId="0" fontId="5" fillId="9" borderId="40" xfId="5" applyFont="1" applyFill="1" applyBorder="1" applyAlignment="1">
      <alignment horizontal="left" vertical="center" wrapText="1"/>
    </xf>
    <xf numFmtId="0" fontId="5" fillId="4" borderId="32" xfId="4" applyNumberFormat="1" applyFont="1" applyFill="1"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5" fillId="4" borderId="32" xfId="4" applyFont="1" applyFill="1"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164" fontId="5" fillId="4" borderId="35" xfId="4" applyNumberFormat="1" applyFont="1" applyFill="1"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5" fillId="9" borderId="31" xfId="5" applyFont="1" applyFill="1" applyBorder="1" applyAlignment="1">
      <alignment horizontal="left" vertical="center" wrapText="1"/>
    </xf>
    <xf numFmtId="0" fontId="0" fillId="9" borderId="39" xfId="0" applyFill="1" applyBorder="1" applyAlignment="1">
      <alignment horizontal="left" vertical="center" wrapText="1"/>
    </xf>
    <xf numFmtId="0" fontId="0" fillId="9" borderId="40" xfId="0" applyFill="1" applyBorder="1" applyAlignment="1">
      <alignment horizontal="left" vertical="center" wrapText="1"/>
    </xf>
    <xf numFmtId="0" fontId="5" fillId="0" borderId="32" xfId="4" applyNumberFormat="1" applyFont="1" applyBorder="1" applyAlignment="1">
      <alignment horizontal="left" vertical="center" wrapText="1"/>
    </xf>
    <xf numFmtId="0" fontId="5" fillId="0" borderId="32" xfId="4" applyFont="1" applyBorder="1" applyAlignment="1">
      <alignment horizontal="left" vertical="center" wrapText="1"/>
    </xf>
    <xf numFmtId="164" fontId="5" fillId="0" borderId="35" xfId="4" applyNumberFormat="1" applyFont="1" applyBorder="1" applyAlignment="1">
      <alignment horizontal="left" vertical="center" wrapText="1"/>
    </xf>
    <xf numFmtId="164" fontId="5" fillId="0" borderId="35" xfId="5" applyNumberFormat="1" applyFont="1" applyBorder="1" applyAlignment="1">
      <alignment horizontal="left" vertical="center" wrapText="1"/>
    </xf>
    <xf numFmtId="0" fontId="21" fillId="0" borderId="0" xfId="0" applyFont="1" applyFill="1" applyBorder="1" applyAlignment="1">
      <alignment horizontal="left"/>
    </xf>
    <xf numFmtId="0" fontId="21" fillId="0" borderId="0" xfId="0" applyFont="1" applyFill="1" applyBorder="1" applyAlignment="1">
      <alignment horizontal="left" vertical="top" wrapText="1"/>
    </xf>
    <xf numFmtId="0" fontId="21" fillId="0" borderId="0" xfId="0" applyFont="1" applyFill="1" applyBorder="1" applyAlignment="1">
      <alignment horizontal="left" wrapText="1"/>
    </xf>
    <xf numFmtId="0" fontId="35" fillId="0" borderId="0" xfId="0" applyFont="1" applyBorder="1" applyAlignment="1">
      <alignment horizontal="center" wrapText="1"/>
    </xf>
    <xf numFmtId="0" fontId="30" fillId="0" borderId="0" xfId="0" applyFont="1" applyFill="1" applyBorder="1" applyAlignment="1">
      <alignment horizontal="left" vertical="top" wrapText="1"/>
    </xf>
    <xf numFmtId="0" fontId="27" fillId="0" borderId="0" xfId="0" applyFont="1" applyFill="1" applyBorder="1" applyAlignment="1">
      <alignment horizontal="left" vertical="top" wrapText="1"/>
    </xf>
    <xf numFmtId="14" fontId="0" fillId="0" borderId="0" xfId="0" applyNumberFormat="1" applyAlignment="1">
      <alignment horizontal="center" vertical="top"/>
    </xf>
  </cellXfs>
  <cellStyles count="12">
    <cellStyle name="Comma" xfId="1" builtinId="3"/>
    <cellStyle name="Currency" xfId="2" builtinId="4"/>
    <cellStyle name="Normal" xfId="0" builtinId="0"/>
    <cellStyle name="Normal 2" xfId="11"/>
    <cellStyle name="Normal_Attachment GG (2)" xfId="10"/>
    <cellStyle name="Normal_Attachment GG Blank Template 8 26 09 (3)" xfId="3"/>
    <cellStyle name="Normal_East_Central_West Project_costsharing_0207 with Summary_June07_Rev3" xfId="4"/>
    <cellStyle name="Normal_Schedule O Info for Mike" xfId="9"/>
    <cellStyle name="Normal_Sheet1" xfId="5"/>
    <cellStyle name="Normal_Sheet1_Capx_pricingzone_051201" xfId="6"/>
    <cellStyle name="Normal_Sheet3" xfId="8"/>
    <cellStyle name="Percent" xfId="7" builtinId="5"/>
  </cellStyles>
  <dxfs count="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92FF5B"/>
      <color rgb="FFBFFF9F"/>
      <color rgb="FF00FFFF"/>
      <color rgb="FF66FF99"/>
      <color rgb="FFCCFFFF"/>
      <color rgb="FFFFFF8F"/>
      <color rgb="FFFF99FF"/>
      <color rgb="FF99FF66"/>
      <color rgb="FFB3FBB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77258</xdr:colOff>
      <xdr:row>874</xdr:row>
      <xdr:rowOff>176742</xdr:rowOff>
    </xdr:from>
    <xdr:to>
      <xdr:col>10</xdr:col>
      <xdr:colOff>311224</xdr:colOff>
      <xdr:row>888</xdr:row>
      <xdr:rowOff>75306</xdr:rowOff>
    </xdr:to>
    <xdr:grpSp>
      <xdr:nvGrpSpPr>
        <xdr:cNvPr id="9" name="Group 8"/>
        <xdr:cNvGrpSpPr/>
      </xdr:nvGrpSpPr>
      <xdr:grpSpPr>
        <a:xfrm>
          <a:off x="9518914" y="181925648"/>
          <a:ext cx="1424591" cy="2744158"/>
          <a:chOff x="960120" y="3749040"/>
          <a:chExt cx="1233033" cy="2578475"/>
        </a:xfrm>
      </xdr:grpSpPr>
      <xdr:cxnSp macro="">
        <xdr:nvCxnSpPr>
          <xdr:cNvPr id="10" name="Straight Connector 9"/>
          <xdr:cNvCxnSpPr/>
        </xdr:nvCxnSpPr>
        <xdr:spPr>
          <a:xfrm>
            <a:off x="1652016" y="3767195"/>
            <a:ext cx="15240" cy="2560320"/>
          </a:xfrm>
          <a:prstGeom prst="line">
            <a:avLst/>
          </a:prstGeom>
          <a:ln w="12700"/>
        </xdr:spPr>
        <xdr:style>
          <a:lnRef idx="2">
            <a:schemeClr val="accent1"/>
          </a:lnRef>
          <a:fillRef idx="0">
            <a:schemeClr val="accent1"/>
          </a:fillRef>
          <a:effectRef idx="1">
            <a:schemeClr val="accent1"/>
          </a:effectRef>
          <a:fontRef idx="minor">
            <a:schemeClr val="tx1"/>
          </a:fontRef>
        </xdr:style>
      </xdr:cxnSp>
      <xdr:cxnSp macro="">
        <xdr:nvCxnSpPr>
          <xdr:cNvPr id="11" name="Straight Connector 10"/>
          <xdr:cNvCxnSpPr/>
        </xdr:nvCxnSpPr>
        <xdr:spPr>
          <a:xfrm>
            <a:off x="1637099" y="3749040"/>
            <a:ext cx="548640" cy="2915"/>
          </a:xfrm>
          <a:prstGeom prst="line">
            <a:avLst/>
          </a:prstGeom>
          <a:ln w="12700"/>
        </xdr:spPr>
        <xdr:style>
          <a:lnRef idx="2">
            <a:schemeClr val="accent1"/>
          </a:lnRef>
          <a:fillRef idx="0">
            <a:schemeClr val="accent1"/>
          </a:fillRef>
          <a:effectRef idx="1">
            <a:schemeClr val="accent1"/>
          </a:effectRef>
          <a:fontRef idx="minor">
            <a:schemeClr val="tx1"/>
          </a:fontRef>
        </xdr:style>
      </xdr:cxnSp>
      <xdr:cxnSp macro="">
        <xdr:nvCxnSpPr>
          <xdr:cNvPr id="12" name="Straight Connector 11"/>
          <xdr:cNvCxnSpPr/>
        </xdr:nvCxnSpPr>
        <xdr:spPr>
          <a:xfrm rot="-180000" flipH="1" flipV="1">
            <a:off x="1644513" y="5499780"/>
            <a:ext cx="548640" cy="25776"/>
          </a:xfrm>
          <a:prstGeom prst="line">
            <a:avLst/>
          </a:prstGeom>
          <a:ln w="12700"/>
        </xdr:spPr>
        <xdr:style>
          <a:lnRef idx="2">
            <a:schemeClr val="accent1"/>
          </a:lnRef>
          <a:fillRef idx="0">
            <a:schemeClr val="accent1"/>
          </a:fillRef>
          <a:effectRef idx="1">
            <a:schemeClr val="accent1"/>
          </a:effectRef>
          <a:fontRef idx="minor">
            <a:schemeClr val="tx1"/>
          </a:fontRef>
        </xdr:style>
      </xdr:cxnSp>
      <xdr:cxnSp macro="">
        <xdr:nvCxnSpPr>
          <xdr:cNvPr id="13" name="Straight Connector 12"/>
          <xdr:cNvCxnSpPr/>
        </xdr:nvCxnSpPr>
        <xdr:spPr>
          <a:xfrm>
            <a:off x="1644396" y="6312275"/>
            <a:ext cx="548640" cy="7620"/>
          </a:xfrm>
          <a:prstGeom prst="line">
            <a:avLst/>
          </a:prstGeom>
          <a:ln w="12700"/>
        </xdr:spPr>
        <xdr:style>
          <a:lnRef idx="2">
            <a:schemeClr val="accent1"/>
          </a:lnRef>
          <a:fillRef idx="0">
            <a:schemeClr val="accent1"/>
          </a:fillRef>
          <a:effectRef idx="1">
            <a:schemeClr val="accent1"/>
          </a:effectRef>
          <a:fontRef idx="minor">
            <a:schemeClr val="tx1"/>
          </a:fontRef>
        </xdr:style>
      </xdr:cxnSp>
      <xdr:sp macro="" textlink="">
        <xdr:nvSpPr>
          <xdr:cNvPr id="14" name="Rectangle 13"/>
          <xdr:cNvSpPr/>
        </xdr:nvSpPr>
        <xdr:spPr>
          <a:xfrm>
            <a:off x="962406" y="4491095"/>
            <a:ext cx="754380" cy="274320"/>
          </a:xfrm>
          <a:prstGeom prst="rect">
            <a:avLst/>
          </a:prstGeom>
          <a:ln w="9525">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en-US" sz="1200" b="1"/>
              <a:t>12.38%</a:t>
            </a:r>
          </a:p>
        </xdr:txBody>
      </xdr:sp>
      <xdr:sp macro="" textlink="">
        <xdr:nvSpPr>
          <xdr:cNvPr id="15" name="Rectangle 14"/>
          <xdr:cNvSpPr/>
        </xdr:nvSpPr>
        <xdr:spPr>
          <a:xfrm>
            <a:off x="960120" y="5756015"/>
            <a:ext cx="758952" cy="274320"/>
          </a:xfrm>
          <a:prstGeom prst="rect">
            <a:avLst/>
          </a:prstGeom>
          <a:ln w="9525">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en-US" sz="1200" b="1"/>
              <a:t>10.82%</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58</xdr:row>
      <xdr:rowOff>0</xdr:rowOff>
    </xdr:from>
    <xdr:to>
      <xdr:col>18</xdr:col>
      <xdr:colOff>612221</xdr:colOff>
      <xdr:row>98</xdr:row>
      <xdr:rowOff>63955</xdr:rowOff>
    </xdr:to>
    <xdr:pic>
      <xdr:nvPicPr>
        <xdr:cNvPr id="4" name="Picture 3"/>
        <xdr:cNvPicPr>
          <a:picLocks noChangeAspect="1"/>
        </xdr:cNvPicPr>
      </xdr:nvPicPr>
      <xdr:blipFill rotWithShape="1">
        <a:blip xmlns:r="http://schemas.openxmlformats.org/officeDocument/2006/relationships" r:embed="rId1"/>
        <a:srcRect b="4274"/>
        <a:stretch/>
      </xdr:blipFill>
      <xdr:spPr>
        <a:xfrm>
          <a:off x="0" y="11692618"/>
          <a:ext cx="13491382" cy="7956097"/>
        </a:xfrm>
        <a:prstGeom prst="rect">
          <a:avLst/>
        </a:prstGeom>
      </xdr:spPr>
    </xdr:pic>
    <xdr:clientData/>
  </xdr:twoCellAnchor>
  <xdr:twoCellAnchor editAs="oneCell">
    <xdr:from>
      <xdr:col>0</xdr:col>
      <xdr:colOff>0</xdr:colOff>
      <xdr:row>98</xdr:row>
      <xdr:rowOff>35112</xdr:rowOff>
    </xdr:from>
    <xdr:to>
      <xdr:col>18</xdr:col>
      <xdr:colOff>612321</xdr:colOff>
      <xdr:row>102</xdr:row>
      <xdr:rowOff>190378</xdr:rowOff>
    </xdr:to>
    <xdr:pic>
      <xdr:nvPicPr>
        <xdr:cNvPr id="5" name="Picture 4"/>
        <xdr:cNvPicPr>
          <a:picLocks noChangeAspect="1"/>
        </xdr:cNvPicPr>
      </xdr:nvPicPr>
      <xdr:blipFill rotWithShape="1">
        <a:blip xmlns:r="http://schemas.openxmlformats.org/officeDocument/2006/relationships" r:embed="rId2"/>
        <a:srcRect t="20002" b="68663"/>
        <a:stretch/>
      </xdr:blipFill>
      <xdr:spPr>
        <a:xfrm>
          <a:off x="0" y="19636201"/>
          <a:ext cx="13491482" cy="9444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228600</xdr:colOff>
      <xdr:row>37</xdr:row>
      <xdr:rowOff>57149</xdr:rowOff>
    </xdr:from>
    <xdr:to>
      <xdr:col>2</xdr:col>
      <xdr:colOff>1461633</xdr:colOff>
      <xdr:row>50</xdr:row>
      <xdr:rowOff>27679</xdr:rowOff>
    </xdr:to>
    <xdr:grpSp>
      <xdr:nvGrpSpPr>
        <xdr:cNvPr id="9" name="Group 8"/>
        <xdr:cNvGrpSpPr/>
      </xdr:nvGrpSpPr>
      <xdr:grpSpPr>
        <a:xfrm>
          <a:off x="704850" y="6924674"/>
          <a:ext cx="1233033" cy="2323205"/>
          <a:chOff x="960120" y="3749040"/>
          <a:chExt cx="1233033" cy="2578475"/>
        </a:xfrm>
      </xdr:grpSpPr>
      <xdr:cxnSp macro="">
        <xdr:nvCxnSpPr>
          <xdr:cNvPr id="10" name="Straight Connector 9"/>
          <xdr:cNvCxnSpPr/>
        </xdr:nvCxnSpPr>
        <xdr:spPr>
          <a:xfrm>
            <a:off x="1652016" y="3767195"/>
            <a:ext cx="15240" cy="2560320"/>
          </a:xfrm>
          <a:prstGeom prst="line">
            <a:avLst/>
          </a:prstGeom>
          <a:noFill/>
          <a:ln w="12700" cap="flat" cmpd="sng" algn="ctr">
            <a:solidFill>
              <a:srgbClr val="4F81BD"/>
            </a:solidFill>
            <a:prstDash val="solid"/>
          </a:ln>
          <a:effectLst>
            <a:outerShdw blurRad="40000" dist="20000" dir="5400000" rotWithShape="0">
              <a:srgbClr val="000000">
                <a:alpha val="38000"/>
              </a:srgbClr>
            </a:outerShdw>
          </a:effectLst>
        </xdr:spPr>
      </xdr:cxnSp>
      <xdr:cxnSp macro="">
        <xdr:nvCxnSpPr>
          <xdr:cNvPr id="11" name="Straight Connector 10"/>
          <xdr:cNvCxnSpPr/>
        </xdr:nvCxnSpPr>
        <xdr:spPr>
          <a:xfrm>
            <a:off x="1637099" y="3749040"/>
            <a:ext cx="548640" cy="2915"/>
          </a:xfrm>
          <a:prstGeom prst="line">
            <a:avLst/>
          </a:prstGeom>
          <a:noFill/>
          <a:ln w="12700" cap="flat" cmpd="sng" algn="ctr">
            <a:solidFill>
              <a:srgbClr val="4F81BD"/>
            </a:solidFill>
            <a:prstDash val="solid"/>
          </a:ln>
          <a:effectLst>
            <a:outerShdw blurRad="40000" dist="20000" dir="5400000" rotWithShape="0">
              <a:srgbClr val="000000">
                <a:alpha val="38000"/>
              </a:srgbClr>
            </a:outerShdw>
          </a:effectLst>
        </xdr:spPr>
      </xdr:cxnSp>
      <xdr:cxnSp macro="">
        <xdr:nvCxnSpPr>
          <xdr:cNvPr id="12" name="Straight Connector 11"/>
          <xdr:cNvCxnSpPr/>
        </xdr:nvCxnSpPr>
        <xdr:spPr>
          <a:xfrm rot="-180000" flipH="1" flipV="1">
            <a:off x="1644513" y="5499780"/>
            <a:ext cx="548640" cy="25776"/>
          </a:xfrm>
          <a:prstGeom prst="line">
            <a:avLst/>
          </a:prstGeom>
          <a:noFill/>
          <a:ln w="12700" cap="flat" cmpd="sng" algn="ctr">
            <a:solidFill>
              <a:srgbClr val="4F81BD"/>
            </a:solidFill>
            <a:prstDash val="solid"/>
          </a:ln>
          <a:effectLst>
            <a:outerShdw blurRad="40000" dist="20000" dir="5400000" rotWithShape="0">
              <a:srgbClr val="000000">
                <a:alpha val="38000"/>
              </a:srgbClr>
            </a:outerShdw>
          </a:effectLst>
        </xdr:spPr>
      </xdr:cxnSp>
      <xdr:cxnSp macro="">
        <xdr:nvCxnSpPr>
          <xdr:cNvPr id="13" name="Straight Connector 12"/>
          <xdr:cNvCxnSpPr/>
        </xdr:nvCxnSpPr>
        <xdr:spPr>
          <a:xfrm>
            <a:off x="1644396" y="6312275"/>
            <a:ext cx="548640" cy="7620"/>
          </a:xfrm>
          <a:prstGeom prst="line">
            <a:avLst/>
          </a:prstGeom>
          <a:noFill/>
          <a:ln w="12700" cap="flat" cmpd="sng" algn="ctr">
            <a:solidFill>
              <a:srgbClr val="4F81BD"/>
            </a:solidFill>
            <a:prstDash val="solid"/>
          </a:ln>
          <a:effectLst>
            <a:outerShdw blurRad="40000" dist="20000" dir="5400000" rotWithShape="0">
              <a:srgbClr val="000000">
                <a:alpha val="38000"/>
              </a:srgbClr>
            </a:outerShdw>
          </a:effectLst>
        </xdr:spPr>
      </xdr:cxnSp>
      <xdr:sp macro="" textlink="">
        <xdr:nvSpPr>
          <xdr:cNvPr id="14" name="Rectangle 13"/>
          <xdr:cNvSpPr/>
        </xdr:nvSpPr>
        <xdr:spPr>
          <a:xfrm>
            <a:off x="962406" y="4491095"/>
            <a:ext cx="754380" cy="274320"/>
          </a:xfrm>
          <a:prstGeom prst="rect">
            <a:avLst/>
          </a:prstGeom>
          <a:solidFill>
            <a:sysClr val="window" lastClr="FFFFFF"/>
          </a:solidFill>
          <a:ln w="9525" cap="flat" cmpd="sng" algn="ctr">
            <a:solidFill>
              <a:srgbClr val="0000FF"/>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Text" lastClr="000000"/>
                </a:solidFill>
                <a:effectLst/>
                <a:uLnTx/>
                <a:uFillTx/>
                <a:latin typeface="Calibri"/>
                <a:ea typeface="+mn-ea"/>
                <a:cs typeface="+mn-cs"/>
              </a:rPr>
              <a:t>12.38%</a:t>
            </a:r>
          </a:p>
        </xdr:txBody>
      </xdr:sp>
      <xdr:sp macro="" textlink="">
        <xdr:nvSpPr>
          <xdr:cNvPr id="15" name="Rectangle 14"/>
          <xdr:cNvSpPr/>
        </xdr:nvSpPr>
        <xdr:spPr>
          <a:xfrm>
            <a:off x="960120" y="5756015"/>
            <a:ext cx="758952" cy="274320"/>
          </a:xfrm>
          <a:prstGeom prst="rect">
            <a:avLst/>
          </a:prstGeom>
          <a:solidFill>
            <a:sysClr val="window" lastClr="FFFFFF"/>
          </a:solidFill>
          <a:ln w="9525" cap="flat" cmpd="sng" algn="ctr">
            <a:solidFill>
              <a:srgbClr val="0000FF"/>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Text" lastClr="000000"/>
                </a:solidFill>
                <a:effectLst/>
                <a:uLnTx/>
                <a:uFillTx/>
                <a:latin typeface="Calibri"/>
                <a:ea typeface="+mn-ea"/>
                <a:cs typeface="+mn-cs"/>
              </a:rPr>
              <a:t>10.82%</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FF5B"/>
    <pageSetUpPr fitToPage="1"/>
  </sheetPr>
  <dimension ref="A2:C28"/>
  <sheetViews>
    <sheetView showGridLines="0" workbookViewId="0">
      <selection activeCell="E21" sqref="E21"/>
    </sheetView>
  </sheetViews>
  <sheetFormatPr defaultRowHeight="15.75"/>
  <cols>
    <col min="1" max="1" width="5.875" customWidth="1"/>
    <col min="2" max="2" width="10.875" customWidth="1"/>
    <col min="3" max="3" width="87.375" customWidth="1"/>
  </cols>
  <sheetData>
    <row r="2" spans="1:3">
      <c r="A2" s="486" t="s">
        <v>669</v>
      </c>
      <c r="C2" s="486" t="s">
        <v>671</v>
      </c>
    </row>
    <row r="4" spans="1:3" ht="31.5">
      <c r="A4" s="650" t="s">
        <v>670</v>
      </c>
      <c r="B4" s="705">
        <v>42977</v>
      </c>
      <c r="C4" s="648" t="s">
        <v>673</v>
      </c>
    </row>
    <row r="5" spans="1:3" ht="31.5">
      <c r="C5" s="648" t="s">
        <v>672</v>
      </c>
    </row>
    <row r="7" spans="1:3" ht="31.5">
      <c r="C7" s="648" t="s">
        <v>702</v>
      </c>
    </row>
    <row r="8" spans="1:3" ht="31.5">
      <c r="C8" s="648" t="s">
        <v>703</v>
      </c>
    </row>
    <row r="11" spans="1:3">
      <c r="A11" s="486" t="s">
        <v>701</v>
      </c>
      <c r="B11" s="651">
        <v>43060</v>
      </c>
      <c r="C11" s="648" t="s">
        <v>674</v>
      </c>
    </row>
    <row r="12" spans="1:3">
      <c r="C12" s="648" t="s">
        <v>675</v>
      </c>
    </row>
    <row r="13" spans="1:3">
      <c r="C13" s="648" t="s">
        <v>696</v>
      </c>
    </row>
    <row r="15" spans="1:3" ht="31.5">
      <c r="C15" s="648" t="s">
        <v>704</v>
      </c>
    </row>
    <row r="16" spans="1:3">
      <c r="C16" s="649"/>
    </row>
    <row r="17" spans="3:3" ht="31.5">
      <c r="C17" s="648" t="s">
        <v>705</v>
      </c>
    </row>
    <row r="19" spans="3:3">
      <c r="C19" s="649"/>
    </row>
    <row r="23" spans="3:3">
      <c r="C23" s="649"/>
    </row>
    <row r="24" spans="3:3">
      <c r="C24" s="649"/>
    </row>
    <row r="25" spans="3:3">
      <c r="C25" s="649"/>
    </row>
    <row r="26" spans="3:3">
      <c r="C26" s="649"/>
    </row>
    <row r="27" spans="3:3">
      <c r="C27" s="649"/>
    </row>
    <row r="28" spans="3:3">
      <c r="C28" s="649"/>
    </row>
  </sheetData>
  <pageMargins left="0.7" right="0.7" top="0.75" bottom="0.75" header="0.3" footer="0.3"/>
  <pageSetup scale="8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V82"/>
  <sheetViews>
    <sheetView showGridLines="0" workbookViewId="0">
      <selection activeCell="T23" sqref="T23"/>
    </sheetView>
  </sheetViews>
  <sheetFormatPr defaultRowHeight="12.75"/>
  <cols>
    <col min="1" max="1" width="18" style="330" customWidth="1"/>
    <col min="2" max="2" width="28.75" style="330" customWidth="1"/>
    <col min="3" max="20" width="12.125" style="330" customWidth="1"/>
    <col min="21" max="21" width="8" style="330" hidden="1" customWidth="1"/>
    <col min="22" max="22" width="12.25" style="330" bestFit="1" customWidth="1"/>
    <col min="23" max="16384" width="9" style="330"/>
  </cols>
  <sheetData>
    <row r="1" spans="1:21" s="394" customFormat="1" ht="18">
      <c r="A1" s="393" t="s">
        <v>516</v>
      </c>
    </row>
    <row r="2" spans="1:21">
      <c r="A2" s="395"/>
    </row>
    <row r="3" spans="1:21">
      <c r="A3" s="396" t="s">
        <v>517</v>
      </c>
      <c r="B3" s="397" t="s">
        <v>656</v>
      </c>
      <c r="C3" s="398"/>
      <c r="D3" s="398"/>
      <c r="E3" s="398"/>
    </row>
    <row r="4" spans="1:21">
      <c r="A4" s="395"/>
      <c r="B4" s="398"/>
      <c r="C4" s="398"/>
      <c r="D4" s="398"/>
      <c r="E4" s="398"/>
      <c r="F4" s="401"/>
      <c r="G4" s="401"/>
      <c r="H4" s="401"/>
      <c r="I4" s="401"/>
      <c r="J4" s="401"/>
    </row>
    <row r="5" spans="1:21">
      <c r="A5" s="396" t="s">
        <v>518</v>
      </c>
      <c r="B5" s="399" t="s">
        <v>287</v>
      </c>
      <c r="C5" s="608"/>
      <c r="D5" s="608"/>
      <c r="E5" s="608"/>
      <c r="F5" s="401"/>
      <c r="G5" s="608"/>
      <c r="H5" s="608"/>
      <c r="I5" s="608"/>
      <c r="J5" s="608"/>
      <c r="K5" s="609"/>
      <c r="L5" s="609"/>
      <c r="M5" s="609"/>
      <c r="N5" s="609"/>
      <c r="O5" s="609"/>
      <c r="P5" s="609"/>
      <c r="Q5" s="609"/>
      <c r="R5" s="609"/>
      <c r="S5" s="609"/>
      <c r="T5" s="609"/>
    </row>
    <row r="6" spans="1:21">
      <c r="A6" s="395"/>
      <c r="B6" s="398"/>
      <c r="C6" s="608"/>
      <c r="D6" s="608"/>
      <c r="E6" s="608"/>
      <c r="F6" s="401"/>
      <c r="G6" s="608"/>
      <c r="H6" s="608"/>
      <c r="I6" s="608"/>
      <c r="J6" s="608"/>
      <c r="K6" s="608"/>
      <c r="L6" s="608"/>
      <c r="M6" s="608"/>
      <c r="N6" s="608"/>
      <c r="O6" s="608"/>
      <c r="P6" s="608"/>
      <c r="Q6" s="608"/>
      <c r="R6" s="608"/>
      <c r="S6" s="608"/>
      <c r="T6" s="608"/>
      <c r="U6" s="401" t="s">
        <v>519</v>
      </c>
    </row>
    <row r="7" spans="1:21">
      <c r="A7" s="402"/>
      <c r="B7" s="403" t="s">
        <v>520</v>
      </c>
      <c r="C7" s="404" t="s">
        <v>138</v>
      </c>
      <c r="D7" s="404" t="s">
        <v>139</v>
      </c>
      <c r="E7" s="404" t="s">
        <v>140</v>
      </c>
      <c r="F7" s="404" t="s">
        <v>141</v>
      </c>
      <c r="G7" s="404" t="s">
        <v>142</v>
      </c>
      <c r="H7" s="404" t="s">
        <v>275</v>
      </c>
      <c r="I7" s="404" t="s">
        <v>143</v>
      </c>
      <c r="J7" s="404" t="s">
        <v>144</v>
      </c>
      <c r="K7" s="404" t="s">
        <v>145</v>
      </c>
      <c r="L7" s="404" t="s">
        <v>181</v>
      </c>
      <c r="M7" s="404" t="s">
        <v>182</v>
      </c>
      <c r="N7" s="404" t="s">
        <v>276</v>
      </c>
      <c r="O7" s="404" t="s">
        <v>277</v>
      </c>
      <c r="P7" s="404" t="s">
        <v>279</v>
      </c>
      <c r="Q7" s="404" t="s">
        <v>548</v>
      </c>
      <c r="R7" s="404" t="s">
        <v>550</v>
      </c>
      <c r="S7" s="404" t="s">
        <v>569</v>
      </c>
      <c r="T7" s="404" t="s">
        <v>570</v>
      </c>
      <c r="U7" s="405" t="s">
        <v>521</v>
      </c>
    </row>
    <row r="8" spans="1:21">
      <c r="A8" s="402"/>
      <c r="B8" s="403" t="s">
        <v>12</v>
      </c>
      <c r="C8" s="406" t="s">
        <v>29</v>
      </c>
      <c r="D8" s="406" t="s">
        <v>29</v>
      </c>
      <c r="E8" s="406" t="s">
        <v>29</v>
      </c>
      <c r="F8" s="406" t="s">
        <v>29</v>
      </c>
      <c r="G8" s="406" t="s">
        <v>29</v>
      </c>
      <c r="H8" s="406" t="s">
        <v>29</v>
      </c>
      <c r="I8" s="406" t="s">
        <v>29</v>
      </c>
      <c r="J8" s="406" t="s">
        <v>29</v>
      </c>
      <c r="K8" s="406" t="s">
        <v>29</v>
      </c>
      <c r="L8" s="406" t="s">
        <v>29</v>
      </c>
      <c r="M8" s="406" t="s">
        <v>29</v>
      </c>
      <c r="N8" s="406" t="s">
        <v>29</v>
      </c>
      <c r="O8" s="406" t="s">
        <v>29</v>
      </c>
      <c r="P8" s="406" t="s">
        <v>29</v>
      </c>
      <c r="Q8" s="406" t="s">
        <v>29</v>
      </c>
      <c r="R8" s="406" t="s">
        <v>29</v>
      </c>
      <c r="S8" s="406" t="s">
        <v>29</v>
      </c>
      <c r="T8" s="406" t="s">
        <v>29</v>
      </c>
    </row>
    <row r="9" spans="1:21" ht="15" customHeight="1">
      <c r="A9" s="402"/>
      <c r="B9" s="403" t="s">
        <v>522</v>
      </c>
      <c r="C9" s="610" t="s">
        <v>521</v>
      </c>
      <c r="D9" s="610" t="s">
        <v>521</v>
      </c>
      <c r="E9" s="610" t="s">
        <v>521</v>
      </c>
      <c r="F9" s="610" t="s">
        <v>519</v>
      </c>
      <c r="G9" s="610" t="s">
        <v>519</v>
      </c>
      <c r="H9" s="610" t="s">
        <v>519</v>
      </c>
      <c r="I9" s="610" t="s">
        <v>519</v>
      </c>
      <c r="J9" s="610" t="s">
        <v>521</v>
      </c>
      <c r="K9" s="610" t="s">
        <v>521</v>
      </c>
      <c r="L9" s="610" t="s">
        <v>521</v>
      </c>
      <c r="M9" s="610" t="s">
        <v>521</v>
      </c>
      <c r="N9" s="610" t="s">
        <v>521</v>
      </c>
      <c r="O9" s="610" t="s">
        <v>519</v>
      </c>
      <c r="P9" s="610" t="s">
        <v>521</v>
      </c>
      <c r="Q9" s="610" t="s">
        <v>519</v>
      </c>
      <c r="R9" s="610" t="s">
        <v>519</v>
      </c>
      <c r="S9" s="610" t="s">
        <v>519</v>
      </c>
      <c r="T9" s="610" t="s">
        <v>521</v>
      </c>
    </row>
    <row r="10" spans="1:21">
      <c r="A10" s="407" t="s">
        <v>523</v>
      </c>
      <c r="B10" s="408" t="str">
        <f xml:space="preserve"> "December " &amp; B3-1</f>
        <v>December 2015</v>
      </c>
      <c r="C10" s="409">
        <v>7072818.7000000002</v>
      </c>
      <c r="D10" s="410">
        <v>3487897.51</v>
      </c>
      <c r="E10" s="409">
        <v>4462295.25</v>
      </c>
      <c r="F10" s="410">
        <v>7706681.2699999996</v>
      </c>
      <c r="G10" s="409">
        <v>30467969.233377013</v>
      </c>
      <c r="H10" s="410">
        <v>206656840.48466384</v>
      </c>
      <c r="I10" s="409">
        <v>216493078.71329457</v>
      </c>
      <c r="J10" s="410">
        <v>468201.81000000006</v>
      </c>
      <c r="K10" s="409">
        <v>127736.33000000002</v>
      </c>
      <c r="L10" s="410">
        <v>47486.629999999976</v>
      </c>
      <c r="M10" s="409">
        <v>230828.44</v>
      </c>
      <c r="N10" s="410">
        <v>4271587.1000000006</v>
      </c>
      <c r="O10" s="409">
        <v>22200964.091914997</v>
      </c>
      <c r="P10" s="410">
        <v>309681</v>
      </c>
      <c r="Q10" s="409">
        <v>15310378.91</v>
      </c>
      <c r="R10" s="410">
        <v>18711271.990000002</v>
      </c>
      <c r="S10" s="409">
        <v>37116159.920000002</v>
      </c>
      <c r="T10" s="410">
        <v>672602.52000000048</v>
      </c>
    </row>
    <row r="11" spans="1:21">
      <c r="A11" s="411" t="s">
        <v>524</v>
      </c>
      <c r="B11" s="412" t="str">
        <f xml:space="preserve"> "January " &amp; B3</f>
        <v>January 2016</v>
      </c>
      <c r="C11" s="413">
        <v>7072818.7000000002</v>
      </c>
      <c r="D11" s="414">
        <v>3487897.51</v>
      </c>
      <c r="E11" s="413">
        <v>4462295.25</v>
      </c>
      <c r="F11" s="414">
        <v>7706681.2699999996</v>
      </c>
      <c r="G11" s="413">
        <v>30467969.233377013</v>
      </c>
      <c r="H11" s="414">
        <v>205808468.57197127</v>
      </c>
      <c r="I11" s="413">
        <v>216776232.734139</v>
      </c>
      <c r="J11" s="414">
        <v>468201.81000000006</v>
      </c>
      <c r="K11" s="413">
        <v>127736.33000000002</v>
      </c>
      <c r="L11" s="414">
        <v>47486.629999999976</v>
      </c>
      <c r="M11" s="413">
        <v>230828.44</v>
      </c>
      <c r="N11" s="414">
        <v>4271587.1000000006</v>
      </c>
      <c r="O11" s="413">
        <v>22200964.091914997</v>
      </c>
      <c r="P11" s="414">
        <v>309681</v>
      </c>
      <c r="Q11" s="413">
        <v>15310378.91</v>
      </c>
      <c r="R11" s="414">
        <v>18711271.990000002</v>
      </c>
      <c r="S11" s="413">
        <v>37116159.920000002</v>
      </c>
      <c r="T11" s="414">
        <v>672602.52000000048</v>
      </c>
    </row>
    <row r="12" spans="1:21">
      <c r="A12" s="411"/>
      <c r="B12" s="415" t="s">
        <v>525</v>
      </c>
      <c r="C12" s="413">
        <v>7072818.7000000002</v>
      </c>
      <c r="D12" s="414">
        <v>3487897.51</v>
      </c>
      <c r="E12" s="413">
        <v>4462295.25</v>
      </c>
      <c r="F12" s="414">
        <v>7706681.2699999996</v>
      </c>
      <c r="G12" s="413">
        <v>30467969.233377013</v>
      </c>
      <c r="H12" s="414">
        <v>205964389.00197119</v>
      </c>
      <c r="I12" s="413">
        <v>216475003.79413906</v>
      </c>
      <c r="J12" s="414">
        <v>468201.81000000006</v>
      </c>
      <c r="K12" s="413">
        <v>127736.33000000002</v>
      </c>
      <c r="L12" s="414">
        <v>47486.629999999976</v>
      </c>
      <c r="M12" s="413">
        <v>230828.44</v>
      </c>
      <c r="N12" s="414">
        <v>4271587.1000000006</v>
      </c>
      <c r="O12" s="413">
        <v>22200964.091914997</v>
      </c>
      <c r="P12" s="414">
        <v>309681</v>
      </c>
      <c r="Q12" s="413">
        <v>15310378.91</v>
      </c>
      <c r="R12" s="414">
        <v>18711271.990000002</v>
      </c>
      <c r="S12" s="413">
        <v>37116159.920000002</v>
      </c>
      <c r="T12" s="414">
        <v>672602.52000000048</v>
      </c>
    </row>
    <row r="13" spans="1:21">
      <c r="A13" s="411"/>
      <c r="B13" s="415" t="s">
        <v>526</v>
      </c>
      <c r="C13" s="413">
        <v>7072818.7000000002</v>
      </c>
      <c r="D13" s="414">
        <v>3487897.51</v>
      </c>
      <c r="E13" s="413">
        <v>4462295.25</v>
      </c>
      <c r="F13" s="414">
        <v>7706681.2699999996</v>
      </c>
      <c r="G13" s="413">
        <v>30467969.233377013</v>
      </c>
      <c r="H13" s="414">
        <v>206607427.11197117</v>
      </c>
      <c r="I13" s="413">
        <v>217737795.87413907</v>
      </c>
      <c r="J13" s="414">
        <v>468201.81000000006</v>
      </c>
      <c r="K13" s="413">
        <v>127736.33000000002</v>
      </c>
      <c r="L13" s="414">
        <v>47486.629999999976</v>
      </c>
      <c r="M13" s="413">
        <v>230828.44</v>
      </c>
      <c r="N13" s="414">
        <v>4271587.1000000006</v>
      </c>
      <c r="O13" s="413">
        <v>22200964.091914997</v>
      </c>
      <c r="P13" s="414">
        <v>309681</v>
      </c>
      <c r="Q13" s="413">
        <v>15310378.91</v>
      </c>
      <c r="R13" s="414">
        <v>18711271.990000002</v>
      </c>
      <c r="S13" s="413">
        <v>37116159.920000002</v>
      </c>
      <c r="T13" s="414">
        <v>672602.52000000048</v>
      </c>
    </row>
    <row r="14" spans="1:21">
      <c r="A14" s="411"/>
      <c r="B14" s="415" t="s">
        <v>527</v>
      </c>
      <c r="C14" s="413">
        <v>7072818.7000000002</v>
      </c>
      <c r="D14" s="414">
        <v>3487897.51</v>
      </c>
      <c r="E14" s="413">
        <v>4462295.25</v>
      </c>
      <c r="F14" s="414">
        <v>7706681.2699999996</v>
      </c>
      <c r="G14" s="413">
        <v>30467969.233377013</v>
      </c>
      <c r="H14" s="414">
        <v>206929335.4819712</v>
      </c>
      <c r="I14" s="413">
        <v>218236887.71413907</v>
      </c>
      <c r="J14" s="414">
        <v>468201.81000000006</v>
      </c>
      <c r="K14" s="413">
        <v>127736.33000000002</v>
      </c>
      <c r="L14" s="414">
        <v>47486.629999999976</v>
      </c>
      <c r="M14" s="413">
        <v>230828.44</v>
      </c>
      <c r="N14" s="414">
        <v>4271587.1000000006</v>
      </c>
      <c r="O14" s="413">
        <v>22200964.091914997</v>
      </c>
      <c r="P14" s="414">
        <v>309681</v>
      </c>
      <c r="Q14" s="413">
        <v>15310378.91</v>
      </c>
      <c r="R14" s="414">
        <v>18711271.990000002</v>
      </c>
      <c r="S14" s="413">
        <v>37116159.920000002</v>
      </c>
      <c r="T14" s="414">
        <v>672602.52000000048</v>
      </c>
    </row>
    <row r="15" spans="1:21">
      <c r="A15" s="411"/>
      <c r="B15" s="415" t="s">
        <v>59</v>
      </c>
      <c r="C15" s="413">
        <v>7072818.7000000002</v>
      </c>
      <c r="D15" s="414">
        <v>3487897.51</v>
      </c>
      <c r="E15" s="413">
        <v>4462295.25</v>
      </c>
      <c r="F15" s="414">
        <v>7706681.2699999996</v>
      </c>
      <c r="G15" s="413">
        <v>30467969.233377013</v>
      </c>
      <c r="H15" s="414">
        <v>206924753.63197121</v>
      </c>
      <c r="I15" s="413">
        <v>218322704.76078174</v>
      </c>
      <c r="J15" s="414">
        <v>468201.81000000006</v>
      </c>
      <c r="K15" s="413">
        <v>127736.33000000002</v>
      </c>
      <c r="L15" s="414">
        <v>47486.629999999976</v>
      </c>
      <c r="M15" s="413">
        <v>230828.44</v>
      </c>
      <c r="N15" s="414">
        <v>4271587.1000000006</v>
      </c>
      <c r="O15" s="413">
        <v>22200964.091914997</v>
      </c>
      <c r="P15" s="414">
        <v>309681</v>
      </c>
      <c r="Q15" s="413">
        <v>15310378.91</v>
      </c>
      <c r="R15" s="414">
        <v>18711271.990000002</v>
      </c>
      <c r="S15" s="413">
        <v>37116159.920000002</v>
      </c>
      <c r="T15" s="414">
        <v>672602.52000000048</v>
      </c>
    </row>
    <row r="16" spans="1:21">
      <c r="A16" s="411"/>
      <c r="B16" s="415" t="s">
        <v>528</v>
      </c>
      <c r="C16" s="413">
        <v>7072818.7000000002</v>
      </c>
      <c r="D16" s="414">
        <v>3487897.51</v>
      </c>
      <c r="E16" s="413">
        <v>4462295.25</v>
      </c>
      <c r="F16" s="414">
        <v>7706681.2699999996</v>
      </c>
      <c r="G16" s="413">
        <v>30467969.233377013</v>
      </c>
      <c r="H16" s="414">
        <v>207087141.69197121</v>
      </c>
      <c r="I16" s="413">
        <v>220392802.55121514</v>
      </c>
      <c r="J16" s="414">
        <v>468201.81000000006</v>
      </c>
      <c r="K16" s="413">
        <v>127736.33000000002</v>
      </c>
      <c r="L16" s="414">
        <v>47486.629999999976</v>
      </c>
      <c r="M16" s="413">
        <v>230828.44</v>
      </c>
      <c r="N16" s="414">
        <v>4271587.1000000006</v>
      </c>
      <c r="O16" s="413">
        <v>22200964.091914997</v>
      </c>
      <c r="P16" s="414">
        <v>309681</v>
      </c>
      <c r="Q16" s="413">
        <v>15310378.91</v>
      </c>
      <c r="R16" s="414">
        <v>18711271.990000002</v>
      </c>
      <c r="S16" s="413">
        <v>37116159.920000002</v>
      </c>
      <c r="T16" s="414">
        <v>672602.52000000048</v>
      </c>
    </row>
    <row r="17" spans="1:20">
      <c r="A17" s="411"/>
      <c r="B17" s="415" t="s">
        <v>529</v>
      </c>
      <c r="C17" s="413">
        <v>7072818.7000000002</v>
      </c>
      <c r="D17" s="414">
        <v>3487897.51</v>
      </c>
      <c r="E17" s="413">
        <v>4462295.25</v>
      </c>
      <c r="F17" s="414">
        <v>7706681.2699999996</v>
      </c>
      <c r="G17" s="413">
        <v>30467969.233377013</v>
      </c>
      <c r="H17" s="414">
        <v>207113237.67197123</v>
      </c>
      <c r="I17" s="413">
        <v>220934681.80323273</v>
      </c>
      <c r="J17" s="414">
        <v>468201.81000000006</v>
      </c>
      <c r="K17" s="413">
        <v>127736.33000000002</v>
      </c>
      <c r="L17" s="414">
        <v>47486.629999999976</v>
      </c>
      <c r="M17" s="413">
        <v>230828.44</v>
      </c>
      <c r="N17" s="414">
        <v>4271587.1000000006</v>
      </c>
      <c r="O17" s="413">
        <v>22200964.091914997</v>
      </c>
      <c r="P17" s="414">
        <v>309681</v>
      </c>
      <c r="Q17" s="413">
        <v>15310378.91</v>
      </c>
      <c r="R17" s="414">
        <v>18711271.990000002</v>
      </c>
      <c r="S17" s="413">
        <v>37116159.920000002</v>
      </c>
      <c r="T17" s="414">
        <v>672602.52000000048</v>
      </c>
    </row>
    <row r="18" spans="1:20">
      <c r="A18" s="411"/>
      <c r="B18" s="415" t="s">
        <v>530</v>
      </c>
      <c r="C18" s="413">
        <v>7072818.7000000002</v>
      </c>
      <c r="D18" s="414">
        <v>3487897.51</v>
      </c>
      <c r="E18" s="413">
        <v>4462295.25</v>
      </c>
      <c r="F18" s="414">
        <v>7706681.2699999996</v>
      </c>
      <c r="G18" s="413">
        <v>30467969.233377013</v>
      </c>
      <c r="H18" s="414">
        <v>207113580.93197122</v>
      </c>
      <c r="I18" s="413">
        <v>220841952.25719067</v>
      </c>
      <c r="J18" s="414">
        <v>468201.81000000006</v>
      </c>
      <c r="K18" s="413">
        <v>127736.33000000002</v>
      </c>
      <c r="L18" s="414">
        <v>47486.629999999976</v>
      </c>
      <c r="M18" s="413">
        <v>230828.44</v>
      </c>
      <c r="N18" s="414">
        <v>4271587.1000000006</v>
      </c>
      <c r="O18" s="413">
        <v>22200964.091914997</v>
      </c>
      <c r="P18" s="414">
        <v>309681</v>
      </c>
      <c r="Q18" s="413">
        <v>15310378.91</v>
      </c>
      <c r="R18" s="414">
        <v>18711271.990000002</v>
      </c>
      <c r="S18" s="413">
        <v>37116159.920000002</v>
      </c>
      <c r="T18" s="414">
        <v>672602.52000000048</v>
      </c>
    </row>
    <row r="19" spans="1:20">
      <c r="A19" s="411"/>
      <c r="B19" s="415" t="s">
        <v>531</v>
      </c>
      <c r="C19" s="413">
        <v>7072818.7000000002</v>
      </c>
      <c r="D19" s="414">
        <v>3487897.51</v>
      </c>
      <c r="E19" s="413">
        <v>4462295.25</v>
      </c>
      <c r="F19" s="414">
        <v>7706681.2699999996</v>
      </c>
      <c r="G19" s="413">
        <v>30467969.233377013</v>
      </c>
      <c r="H19" s="414">
        <v>207007104.69197121</v>
      </c>
      <c r="I19" s="413">
        <v>220910083.51719064</v>
      </c>
      <c r="J19" s="414">
        <v>468201.81000000006</v>
      </c>
      <c r="K19" s="413">
        <v>127736.33000000002</v>
      </c>
      <c r="L19" s="414">
        <v>47486.629999999976</v>
      </c>
      <c r="M19" s="413">
        <v>230828.44</v>
      </c>
      <c r="N19" s="414">
        <v>4271587.1000000006</v>
      </c>
      <c r="O19" s="413">
        <v>22200964.091914997</v>
      </c>
      <c r="P19" s="414">
        <v>309681</v>
      </c>
      <c r="Q19" s="413">
        <v>15310378.91</v>
      </c>
      <c r="R19" s="414">
        <v>18711271.990000002</v>
      </c>
      <c r="S19" s="413">
        <v>37116159.920000002</v>
      </c>
      <c r="T19" s="414">
        <v>672602.52000000048</v>
      </c>
    </row>
    <row r="20" spans="1:20">
      <c r="A20" s="411"/>
      <c r="B20" s="415" t="s">
        <v>532</v>
      </c>
      <c r="C20" s="413">
        <v>7072818.7000000002</v>
      </c>
      <c r="D20" s="414">
        <v>3487897.51</v>
      </c>
      <c r="E20" s="413">
        <v>4462295.25</v>
      </c>
      <c r="F20" s="414">
        <v>7706681.2699999996</v>
      </c>
      <c r="G20" s="413">
        <v>30467969.233377013</v>
      </c>
      <c r="H20" s="414">
        <v>206924347.8919712</v>
      </c>
      <c r="I20" s="413">
        <v>219545797.42719063</v>
      </c>
      <c r="J20" s="414">
        <v>468201.81000000006</v>
      </c>
      <c r="K20" s="413">
        <v>127736.33000000002</v>
      </c>
      <c r="L20" s="414">
        <v>47486.629999999976</v>
      </c>
      <c r="M20" s="413">
        <v>230828.44</v>
      </c>
      <c r="N20" s="414">
        <v>4271587.1000000006</v>
      </c>
      <c r="O20" s="413">
        <v>22200964.091914997</v>
      </c>
      <c r="P20" s="414">
        <v>309681</v>
      </c>
      <c r="Q20" s="413">
        <v>15310378.91</v>
      </c>
      <c r="R20" s="414">
        <v>18711271.990000002</v>
      </c>
      <c r="S20" s="413">
        <v>37116159.920000002</v>
      </c>
      <c r="T20" s="414">
        <v>672602.52000000048</v>
      </c>
    </row>
    <row r="21" spans="1:20">
      <c r="A21" s="411"/>
      <c r="B21" s="415" t="s">
        <v>533</v>
      </c>
      <c r="C21" s="413">
        <v>7072818.7000000002</v>
      </c>
      <c r="D21" s="414">
        <v>3487897.51</v>
      </c>
      <c r="E21" s="413">
        <v>4462295.25</v>
      </c>
      <c r="F21" s="414">
        <v>7706681.2699999996</v>
      </c>
      <c r="G21" s="413">
        <v>30467969.233377013</v>
      </c>
      <c r="H21" s="414">
        <v>206775032.22197121</v>
      </c>
      <c r="I21" s="413">
        <v>218208780.83719066</v>
      </c>
      <c r="J21" s="414">
        <v>468201.81000000006</v>
      </c>
      <c r="K21" s="413">
        <v>127736.33000000002</v>
      </c>
      <c r="L21" s="414">
        <v>47486.629999999976</v>
      </c>
      <c r="M21" s="413">
        <v>230828.44</v>
      </c>
      <c r="N21" s="414">
        <v>4271587.1000000006</v>
      </c>
      <c r="O21" s="413">
        <v>22200964.091914997</v>
      </c>
      <c r="P21" s="414">
        <v>309681</v>
      </c>
      <c r="Q21" s="413">
        <v>15310378.91</v>
      </c>
      <c r="R21" s="414">
        <v>18711271.990000002</v>
      </c>
      <c r="S21" s="413">
        <v>37116159.920000002</v>
      </c>
      <c r="T21" s="414">
        <v>672602.52000000048</v>
      </c>
    </row>
    <row r="22" spans="1:20">
      <c r="A22" s="416"/>
      <c r="B22" s="417" t="str">
        <f xml:space="preserve"> "December " &amp; B3</f>
        <v>December 2016</v>
      </c>
      <c r="C22" s="611">
        <v>7072818.7000000002</v>
      </c>
      <c r="D22" s="612">
        <v>3487897.51</v>
      </c>
      <c r="E22" s="611">
        <v>4462295.25</v>
      </c>
      <c r="F22" s="612">
        <v>7706681.2699999996</v>
      </c>
      <c r="G22" s="611">
        <v>30467969.233377013</v>
      </c>
      <c r="H22" s="612">
        <v>206540935.88197121</v>
      </c>
      <c r="I22" s="611">
        <v>218713521.39719069</v>
      </c>
      <c r="J22" s="612">
        <v>468201.81000000006</v>
      </c>
      <c r="K22" s="611">
        <v>127736.33000000002</v>
      </c>
      <c r="L22" s="612">
        <v>47486.629999999976</v>
      </c>
      <c r="M22" s="611">
        <v>230828.44</v>
      </c>
      <c r="N22" s="612">
        <v>4271587.1000000006</v>
      </c>
      <c r="O22" s="611">
        <v>22200964.091914997</v>
      </c>
      <c r="P22" s="612">
        <v>309681</v>
      </c>
      <c r="Q22" s="611">
        <v>15310378.91</v>
      </c>
      <c r="R22" s="612">
        <v>18711271.990000002</v>
      </c>
      <c r="S22" s="611">
        <v>37116159.920000002</v>
      </c>
      <c r="T22" s="612">
        <v>672602.52000000048</v>
      </c>
    </row>
    <row r="23" spans="1:20">
      <c r="A23" s="418"/>
      <c r="B23" s="419" t="s">
        <v>534</v>
      </c>
      <c r="C23" s="420">
        <f>AVERAGE(C10:C22)</f>
        <v>7072818.700000002</v>
      </c>
      <c r="D23" s="421">
        <f>AVERAGE(D10:D22)</f>
        <v>3487897.5099999984</v>
      </c>
      <c r="E23" s="420">
        <f t="shared" ref="E23:T23" si="0">AVERAGE(E10:E22)</f>
        <v>4462295.25</v>
      </c>
      <c r="F23" s="421">
        <f t="shared" si="0"/>
        <v>7706681.2699999968</v>
      </c>
      <c r="G23" s="420">
        <f t="shared" si="0"/>
        <v>30467969.233377021</v>
      </c>
      <c r="H23" s="421">
        <f t="shared" si="0"/>
        <v>206727122.71294758</v>
      </c>
      <c r="I23" s="420">
        <f t="shared" si="0"/>
        <v>218737640.2600795</v>
      </c>
      <c r="J23" s="421">
        <f t="shared" si="0"/>
        <v>468201.81000000023</v>
      </c>
      <c r="K23" s="420">
        <f t="shared" si="0"/>
        <v>127736.33000000006</v>
      </c>
      <c r="L23" s="421">
        <f t="shared" si="0"/>
        <v>47486.62999999999</v>
      </c>
      <c r="M23" s="420">
        <f t="shared" si="0"/>
        <v>230828.43999999997</v>
      </c>
      <c r="N23" s="421">
        <f t="shared" si="0"/>
        <v>4271587.1000000006</v>
      </c>
      <c r="O23" s="420">
        <f t="shared" si="0"/>
        <v>22200964.091915004</v>
      </c>
      <c r="P23" s="421">
        <f t="shared" si="0"/>
        <v>309681</v>
      </c>
      <c r="Q23" s="420">
        <f t="shared" si="0"/>
        <v>15310378.909999998</v>
      </c>
      <c r="R23" s="421">
        <f t="shared" si="0"/>
        <v>18711271.990000006</v>
      </c>
      <c r="S23" s="420">
        <f t="shared" si="0"/>
        <v>37116159.920000009</v>
      </c>
      <c r="T23" s="421">
        <f t="shared" si="0"/>
        <v>672602.52000000037</v>
      </c>
    </row>
    <row r="24" spans="1:20">
      <c r="A24" s="418"/>
      <c r="B24" s="419"/>
      <c r="C24" s="422"/>
      <c r="D24" s="422"/>
      <c r="E24" s="422"/>
      <c r="F24" s="422"/>
      <c r="G24" s="422"/>
      <c r="H24" s="422"/>
      <c r="I24" s="422"/>
      <c r="J24" s="422"/>
      <c r="K24" s="422"/>
      <c r="L24" s="422"/>
      <c r="M24" s="422"/>
      <c r="N24" s="422"/>
      <c r="O24" s="422"/>
      <c r="P24" s="422"/>
      <c r="Q24" s="422"/>
      <c r="R24" s="422"/>
      <c r="S24" s="422"/>
      <c r="T24" s="422"/>
    </row>
    <row r="25" spans="1:20">
      <c r="A25" s="418"/>
      <c r="B25" s="419"/>
      <c r="C25" s="422"/>
      <c r="D25" s="422"/>
      <c r="E25" s="422"/>
      <c r="F25" s="422"/>
      <c r="G25" s="422"/>
      <c r="H25" s="422"/>
      <c r="I25" s="422"/>
      <c r="J25" s="422"/>
      <c r="K25" s="422"/>
      <c r="L25" s="422"/>
      <c r="M25" s="422"/>
      <c r="N25" s="422"/>
      <c r="O25" s="422"/>
      <c r="P25" s="422"/>
      <c r="Q25" s="422"/>
      <c r="R25" s="422"/>
      <c r="S25" s="422"/>
      <c r="T25" s="422"/>
    </row>
    <row r="26" spans="1:20">
      <c r="A26" s="407" t="s">
        <v>535</v>
      </c>
      <c r="B26" s="408" t="str">
        <f>B10</f>
        <v>December 2015</v>
      </c>
      <c r="C26" s="409">
        <v>1416369.6799999976</v>
      </c>
      <c r="D26" s="410">
        <v>690836.28000000049</v>
      </c>
      <c r="E26" s="409">
        <v>590849.35499999952</v>
      </c>
      <c r="F26" s="410">
        <v>1020435.9599999991</v>
      </c>
      <c r="G26" s="409">
        <v>1980367.4466829856</v>
      </c>
      <c r="H26" s="410">
        <v>6220614.7790801981</v>
      </c>
      <c r="I26" s="409">
        <v>1936367.015091402</v>
      </c>
      <c r="J26" s="410">
        <v>61816.889999999934</v>
      </c>
      <c r="K26" s="409">
        <v>21340.680000000011</v>
      </c>
      <c r="L26" s="410">
        <v>10051.470000000005</v>
      </c>
      <c r="M26" s="409">
        <v>38041.730000000054</v>
      </c>
      <c r="N26" s="410">
        <v>312333.4563625732</v>
      </c>
      <c r="O26" s="409">
        <v>1063671.07310905</v>
      </c>
      <c r="P26" s="410">
        <v>41577.54</v>
      </c>
      <c r="Q26" s="409">
        <v>399391.35606396507</v>
      </c>
      <c r="R26" s="410">
        <v>372441.3492834827</v>
      </c>
      <c r="S26" s="409">
        <v>54340.880190224765</v>
      </c>
      <c r="T26" s="410">
        <v>-1462.9984163400211</v>
      </c>
    </row>
    <row r="27" spans="1:20">
      <c r="A27" s="411" t="s">
        <v>536</v>
      </c>
      <c r="B27" s="412" t="str">
        <f>B11</f>
        <v>January 2016</v>
      </c>
      <c r="C27" s="413">
        <v>1431849.1299999976</v>
      </c>
      <c r="D27" s="414">
        <v>698469.83000000054</v>
      </c>
      <c r="E27" s="413">
        <v>600615.4599999995</v>
      </c>
      <c r="F27" s="414">
        <v>1037302.6699999991</v>
      </c>
      <c r="G27" s="413">
        <v>2031084.0133812635</v>
      </c>
      <c r="H27" s="414">
        <v>6558581.0912811924</v>
      </c>
      <c r="I27" s="413">
        <v>2291959.1474892697</v>
      </c>
      <c r="J27" s="414">
        <v>62841.589999999931</v>
      </c>
      <c r="K27" s="413">
        <v>21620.240000000013</v>
      </c>
      <c r="L27" s="414">
        <v>10144.640000000007</v>
      </c>
      <c r="M27" s="413">
        <v>38454.83000000006</v>
      </c>
      <c r="N27" s="414">
        <v>318978.42042519234</v>
      </c>
      <c r="O27" s="413">
        <v>1101055.069079326</v>
      </c>
      <c r="P27" s="414">
        <v>42294.394166666665</v>
      </c>
      <c r="Q27" s="413">
        <v>425974.78576171509</v>
      </c>
      <c r="R27" s="414">
        <v>403700.43674445496</v>
      </c>
      <c r="S27" s="413">
        <v>118971.82715957786</v>
      </c>
      <c r="T27" s="414">
        <v>-291.78517942999724</v>
      </c>
    </row>
    <row r="28" spans="1:20">
      <c r="A28" s="411"/>
      <c r="B28" s="423" t="s">
        <v>525</v>
      </c>
      <c r="C28" s="413">
        <v>1447328.5799999975</v>
      </c>
      <c r="D28" s="414">
        <v>706103.38000000059</v>
      </c>
      <c r="E28" s="413">
        <v>610381.56499999948</v>
      </c>
      <c r="F28" s="414">
        <v>1054169.3799999992</v>
      </c>
      <c r="G28" s="413">
        <v>2081800.5800795408</v>
      </c>
      <c r="H28" s="414">
        <v>6885387.2300777817</v>
      </c>
      <c r="I28" s="413">
        <v>2647229.8392615486</v>
      </c>
      <c r="J28" s="414">
        <v>63866.289999999928</v>
      </c>
      <c r="K28" s="413">
        <v>21899.800000000014</v>
      </c>
      <c r="L28" s="414">
        <v>10237.810000000005</v>
      </c>
      <c r="M28" s="413">
        <v>38867.930000000058</v>
      </c>
      <c r="N28" s="414">
        <v>325623.38448781148</v>
      </c>
      <c r="O28" s="413">
        <v>1138439.065049602</v>
      </c>
      <c r="P28" s="414">
        <v>43011.248333333329</v>
      </c>
      <c r="Q28" s="413">
        <v>452558.21545946517</v>
      </c>
      <c r="R28" s="414">
        <v>434959.52420542721</v>
      </c>
      <c r="S28" s="413">
        <v>183602.77412893096</v>
      </c>
      <c r="T28" s="414">
        <v>879.42805748002661</v>
      </c>
    </row>
    <row r="29" spans="1:20">
      <c r="A29" s="411"/>
      <c r="B29" s="423" t="s">
        <v>526</v>
      </c>
      <c r="C29" s="413">
        <v>1462808.0299999975</v>
      </c>
      <c r="D29" s="414">
        <v>713736.93000000063</v>
      </c>
      <c r="E29" s="413">
        <v>620147.66999999946</v>
      </c>
      <c r="F29" s="414">
        <v>1071036.0899999992</v>
      </c>
      <c r="G29" s="413">
        <v>2133596.5146613219</v>
      </c>
      <c r="H29" s="414">
        <v>7221391.9325845838</v>
      </c>
      <c r="I29" s="413">
        <v>3001313.1593582025</v>
      </c>
      <c r="J29" s="414">
        <v>64890.989999999925</v>
      </c>
      <c r="K29" s="413">
        <v>22179.360000000015</v>
      </c>
      <c r="L29" s="414">
        <v>10330.980000000007</v>
      </c>
      <c r="M29" s="413">
        <v>39281.030000000057</v>
      </c>
      <c r="N29" s="414">
        <v>332268.34855043062</v>
      </c>
      <c r="O29" s="413">
        <v>1175823.0610198779</v>
      </c>
      <c r="P29" s="414">
        <v>43728.102499999994</v>
      </c>
      <c r="Q29" s="413">
        <v>479141.64515721519</v>
      </c>
      <c r="R29" s="414">
        <v>466218.61166639952</v>
      </c>
      <c r="S29" s="413">
        <v>248233.72109828406</v>
      </c>
      <c r="T29" s="414">
        <v>2050.6412943900505</v>
      </c>
    </row>
    <row r="30" spans="1:20">
      <c r="A30" s="411"/>
      <c r="B30" s="423" t="s">
        <v>527</v>
      </c>
      <c r="C30" s="413">
        <v>1478287.4799999974</v>
      </c>
      <c r="D30" s="414">
        <v>721370.48000000068</v>
      </c>
      <c r="E30" s="413">
        <v>629913.77499999944</v>
      </c>
      <c r="F30" s="414">
        <v>1087902.7999999991</v>
      </c>
      <c r="G30" s="413">
        <v>2184313.0813595997</v>
      </c>
      <c r="H30" s="414">
        <v>7552821.6498544263</v>
      </c>
      <c r="I30" s="413">
        <v>3357798.5036183461</v>
      </c>
      <c r="J30" s="414">
        <v>65915.68999999993</v>
      </c>
      <c r="K30" s="413">
        <v>22458.920000000016</v>
      </c>
      <c r="L30" s="414">
        <v>10424.150000000005</v>
      </c>
      <c r="M30" s="413">
        <v>39694.130000000056</v>
      </c>
      <c r="N30" s="414">
        <v>338913.31261304975</v>
      </c>
      <c r="O30" s="413">
        <v>1213207.0569901539</v>
      </c>
      <c r="P30" s="414">
        <v>44444.956666666658</v>
      </c>
      <c r="Q30" s="413">
        <v>505725.07485496526</v>
      </c>
      <c r="R30" s="414">
        <v>497477.69912737177</v>
      </c>
      <c r="S30" s="413">
        <v>312864.66806763713</v>
      </c>
      <c r="T30" s="414">
        <v>3221.8545313000741</v>
      </c>
    </row>
    <row r="31" spans="1:20">
      <c r="A31" s="411"/>
      <c r="B31" s="423" t="s">
        <v>59</v>
      </c>
      <c r="C31" s="413">
        <v>1493766.9299999974</v>
      </c>
      <c r="D31" s="414">
        <v>729004.03000000073</v>
      </c>
      <c r="E31" s="413">
        <v>639679.87999999942</v>
      </c>
      <c r="F31" s="414">
        <v>1104769.5099999991</v>
      </c>
      <c r="G31" s="413">
        <v>2235029.6480578771</v>
      </c>
      <c r="H31" s="414">
        <v>7884255.082109442</v>
      </c>
      <c r="I31" s="413">
        <v>3715112.5655423128</v>
      </c>
      <c r="J31" s="414">
        <v>66940.389999999927</v>
      </c>
      <c r="K31" s="413">
        <v>22738.480000000018</v>
      </c>
      <c r="L31" s="414">
        <v>10517.320000000007</v>
      </c>
      <c r="M31" s="413">
        <v>40107.230000000054</v>
      </c>
      <c r="N31" s="414">
        <v>345558.27667566889</v>
      </c>
      <c r="O31" s="413">
        <v>1250591.0529604296</v>
      </c>
      <c r="P31" s="414">
        <v>45161.810833333322</v>
      </c>
      <c r="Q31" s="413">
        <v>532308.50455271534</v>
      </c>
      <c r="R31" s="414">
        <v>528736.78658834402</v>
      </c>
      <c r="S31" s="413">
        <v>377495.61503699026</v>
      </c>
      <c r="T31" s="414">
        <v>4393.0677682100977</v>
      </c>
    </row>
    <row r="32" spans="1:20">
      <c r="A32" s="411"/>
      <c r="B32" s="423" t="s">
        <v>528</v>
      </c>
      <c r="C32" s="413">
        <v>1509246.3799999973</v>
      </c>
      <c r="D32" s="414">
        <v>736637.58000000077</v>
      </c>
      <c r="E32" s="413">
        <v>649445.9849999994</v>
      </c>
      <c r="F32" s="414">
        <v>1121636.219999999</v>
      </c>
      <c r="G32" s="413">
        <v>2285736.8532695957</v>
      </c>
      <c r="H32" s="414">
        <v>8216090.275606419</v>
      </c>
      <c r="I32" s="413">
        <v>4073256.0252601784</v>
      </c>
      <c r="J32" s="414">
        <v>67965.089999999924</v>
      </c>
      <c r="K32" s="413">
        <v>23018.040000000019</v>
      </c>
      <c r="L32" s="414">
        <v>10610.490000000005</v>
      </c>
      <c r="M32" s="413">
        <v>40520.33000000006</v>
      </c>
      <c r="N32" s="414">
        <v>352203.24073828803</v>
      </c>
      <c r="O32" s="413">
        <v>1287975.0489307055</v>
      </c>
      <c r="P32" s="414">
        <v>45878.664999999986</v>
      </c>
      <c r="Q32" s="413">
        <v>558891.93425046524</v>
      </c>
      <c r="R32" s="414">
        <v>559995.87404931639</v>
      </c>
      <c r="S32" s="413">
        <v>442126.56200634339</v>
      </c>
      <c r="T32" s="414">
        <v>5564.2810051201213</v>
      </c>
    </row>
    <row r="33" spans="1:22">
      <c r="A33" s="411"/>
      <c r="B33" s="423" t="s">
        <v>529</v>
      </c>
      <c r="C33" s="413">
        <v>1524725.8299999973</v>
      </c>
      <c r="D33" s="414">
        <v>744271.13000000082</v>
      </c>
      <c r="E33" s="413">
        <v>659212.08999999939</v>
      </c>
      <c r="F33" s="414">
        <v>1138502.929999999</v>
      </c>
      <c r="G33" s="413">
        <v>2336444.0584813142</v>
      </c>
      <c r="H33" s="414">
        <v>8547450.3644510042</v>
      </c>
      <c r="I33" s="413">
        <v>4433174.8391541848</v>
      </c>
      <c r="J33" s="414">
        <v>68989.789999999921</v>
      </c>
      <c r="K33" s="413">
        <v>23297.60000000002</v>
      </c>
      <c r="L33" s="414">
        <v>10703.660000000007</v>
      </c>
      <c r="M33" s="413">
        <v>40933.430000000058</v>
      </c>
      <c r="N33" s="414">
        <v>358848.20480090717</v>
      </c>
      <c r="O33" s="413">
        <v>1325359.0449009815</v>
      </c>
      <c r="P33" s="414">
        <v>46595.519166666651</v>
      </c>
      <c r="Q33" s="413">
        <v>585475.36394821526</v>
      </c>
      <c r="R33" s="414">
        <v>591254.96151028865</v>
      </c>
      <c r="S33" s="413">
        <v>506757.50897569652</v>
      </c>
      <c r="T33" s="414">
        <v>6735.494242030145</v>
      </c>
    </row>
    <row r="34" spans="1:22">
      <c r="A34" s="411"/>
      <c r="B34" s="423" t="s">
        <v>530</v>
      </c>
      <c r="C34" s="413">
        <v>1540205.2799999972</v>
      </c>
      <c r="D34" s="414">
        <v>751904.68000000087</v>
      </c>
      <c r="E34" s="413">
        <v>668978.19499999937</v>
      </c>
      <c r="F34" s="414">
        <v>1155369.639999999</v>
      </c>
      <c r="G34" s="413">
        <v>2387151.2636930323</v>
      </c>
      <c r="H34" s="414">
        <v>8881702.9132744968</v>
      </c>
      <c r="I34" s="413">
        <v>4793452.489613343</v>
      </c>
      <c r="J34" s="414">
        <v>70014.489999999918</v>
      </c>
      <c r="K34" s="413">
        <v>23577.160000000022</v>
      </c>
      <c r="L34" s="414">
        <v>10796.830000000005</v>
      </c>
      <c r="M34" s="413">
        <v>41346.530000000057</v>
      </c>
      <c r="N34" s="414">
        <v>365493.16886352631</v>
      </c>
      <c r="O34" s="413">
        <v>1362743.0408712572</v>
      </c>
      <c r="P34" s="414">
        <v>47312.373333333315</v>
      </c>
      <c r="Q34" s="413">
        <v>612058.79364596528</v>
      </c>
      <c r="R34" s="414">
        <v>622514.0489712609</v>
      </c>
      <c r="S34" s="413">
        <v>571388.45594504965</v>
      </c>
      <c r="T34" s="414">
        <v>7906.7074789401686</v>
      </c>
    </row>
    <row r="35" spans="1:22">
      <c r="A35" s="411"/>
      <c r="B35" s="423" t="s">
        <v>531</v>
      </c>
      <c r="C35" s="413">
        <v>1555684.7299999972</v>
      </c>
      <c r="D35" s="414">
        <v>759538.23000000091</v>
      </c>
      <c r="E35" s="413">
        <v>678744.29999999935</v>
      </c>
      <c r="F35" s="414">
        <v>1172236.3499999989</v>
      </c>
      <c r="G35" s="413">
        <v>2437858.4689047509</v>
      </c>
      <c r="H35" s="414">
        <v>9213061.4692545589</v>
      </c>
      <c r="I35" s="413">
        <v>5153748.9217144996</v>
      </c>
      <c r="J35" s="414">
        <v>71039.189999999915</v>
      </c>
      <c r="K35" s="413">
        <v>23856.720000000023</v>
      </c>
      <c r="L35" s="414">
        <v>10890.000000000007</v>
      </c>
      <c r="M35" s="413">
        <v>41759.630000000063</v>
      </c>
      <c r="N35" s="414">
        <v>372138.13292614545</v>
      </c>
      <c r="O35" s="413">
        <v>1400127.0368415331</v>
      </c>
      <c r="P35" s="414">
        <v>48029.227499999979</v>
      </c>
      <c r="Q35" s="413">
        <v>638642.2233437153</v>
      </c>
      <c r="R35" s="414">
        <v>653773.13643223315</v>
      </c>
      <c r="S35" s="413">
        <v>636019.40291440277</v>
      </c>
      <c r="T35" s="414">
        <v>9077.9207158501922</v>
      </c>
    </row>
    <row r="36" spans="1:22">
      <c r="A36" s="411"/>
      <c r="B36" s="423" t="s">
        <v>532</v>
      </c>
      <c r="C36" s="413">
        <v>1571164.1799999971</v>
      </c>
      <c r="D36" s="414">
        <v>767171.78000000096</v>
      </c>
      <c r="E36" s="413">
        <v>688510.40499999933</v>
      </c>
      <c r="F36" s="414">
        <v>1189103.0599999989</v>
      </c>
      <c r="G36" s="413">
        <v>2488565.6741164695</v>
      </c>
      <c r="H36" s="414">
        <v>9544434.4205300212</v>
      </c>
      <c r="I36" s="413">
        <v>5512785.5296280244</v>
      </c>
      <c r="J36" s="414">
        <v>72063.889999999912</v>
      </c>
      <c r="K36" s="413">
        <v>24136.280000000024</v>
      </c>
      <c r="L36" s="414">
        <v>10983.170000000006</v>
      </c>
      <c r="M36" s="413">
        <v>42172.730000000061</v>
      </c>
      <c r="N36" s="414">
        <v>378783.09698876459</v>
      </c>
      <c r="O36" s="413">
        <v>1437511.0328118091</v>
      </c>
      <c r="P36" s="414">
        <v>48746.081666666643</v>
      </c>
      <c r="Q36" s="413">
        <v>665225.65304146521</v>
      </c>
      <c r="R36" s="414">
        <v>685032.2238932054</v>
      </c>
      <c r="S36" s="413">
        <v>700650.3498837559</v>
      </c>
      <c r="T36" s="414">
        <v>10249.133952760216</v>
      </c>
    </row>
    <row r="37" spans="1:22">
      <c r="A37" s="411"/>
      <c r="B37" s="423" t="s">
        <v>533</v>
      </c>
      <c r="C37" s="413">
        <v>1586643.6299999971</v>
      </c>
      <c r="D37" s="414">
        <v>774805.33000000101</v>
      </c>
      <c r="E37" s="413">
        <v>698276.50999999931</v>
      </c>
      <c r="F37" s="414">
        <v>1205969.7699999989</v>
      </c>
      <c r="G37" s="413">
        <v>2539272.8793281876</v>
      </c>
      <c r="H37" s="414">
        <v>9875826.7093967311</v>
      </c>
      <c r="I37" s="413">
        <v>5869268.2992246915</v>
      </c>
      <c r="J37" s="414">
        <v>73088.589999999909</v>
      </c>
      <c r="K37" s="413">
        <v>24415.840000000026</v>
      </c>
      <c r="L37" s="414">
        <v>11076.340000000007</v>
      </c>
      <c r="M37" s="413">
        <v>42585.83000000006</v>
      </c>
      <c r="N37" s="414">
        <v>385428.06105138373</v>
      </c>
      <c r="O37" s="413">
        <v>1474895.028782085</v>
      </c>
      <c r="P37" s="414">
        <v>49462.935833333308</v>
      </c>
      <c r="Q37" s="413">
        <v>691809.08273921523</v>
      </c>
      <c r="R37" s="414">
        <v>716291.31135417777</v>
      </c>
      <c r="S37" s="413">
        <v>765281.29685310903</v>
      </c>
      <c r="T37" s="414">
        <v>11420.347189670239</v>
      </c>
    </row>
    <row r="38" spans="1:22">
      <c r="A38" s="416"/>
      <c r="B38" s="417" t="str">
        <f>+B22</f>
        <v>December 2016</v>
      </c>
      <c r="C38" s="611">
        <v>1602123.079999997</v>
      </c>
      <c r="D38" s="612">
        <v>782438.88000000105</v>
      </c>
      <c r="E38" s="611">
        <v>708042.61499999929</v>
      </c>
      <c r="F38" s="612">
        <v>1222836.4799999988</v>
      </c>
      <c r="G38" s="611">
        <v>2589980.0845399061</v>
      </c>
      <c r="H38" s="612">
        <v>10207235.469140537</v>
      </c>
      <c r="I38" s="611">
        <v>6224755.1598222237</v>
      </c>
      <c r="J38" s="612">
        <v>74113.289999999906</v>
      </c>
      <c r="K38" s="611">
        <v>24695.400000000027</v>
      </c>
      <c r="L38" s="612">
        <v>11169.510000000006</v>
      </c>
      <c r="M38" s="611">
        <v>42998.930000000058</v>
      </c>
      <c r="N38" s="612">
        <v>392073.02511400287</v>
      </c>
      <c r="O38" s="611">
        <v>1512279.024752361</v>
      </c>
      <c r="P38" s="612">
        <v>50179.789999999972</v>
      </c>
      <c r="Q38" s="611">
        <v>718392.51243696525</v>
      </c>
      <c r="R38" s="612">
        <v>747550.39881515002</v>
      </c>
      <c r="S38" s="611">
        <v>829912.24382246216</v>
      </c>
      <c r="T38" s="612">
        <v>12591.560426580263</v>
      </c>
    </row>
    <row r="39" spans="1:22">
      <c r="A39" s="418"/>
      <c r="B39" s="419" t="s">
        <v>534</v>
      </c>
      <c r="C39" s="420">
        <f t="shared" ref="C39:T39" si="1">AVERAGE(C26:C38)</f>
        <v>1509246.3799999976</v>
      </c>
      <c r="D39" s="421">
        <f t="shared" si="1"/>
        <v>736637.58000000066</v>
      </c>
      <c r="E39" s="420">
        <f t="shared" si="1"/>
        <v>649445.9849999994</v>
      </c>
      <c r="F39" s="421">
        <f t="shared" si="1"/>
        <v>1121636.219999999</v>
      </c>
      <c r="G39" s="420">
        <f t="shared" si="1"/>
        <v>2285476.9666581419</v>
      </c>
      <c r="H39" s="421">
        <f t="shared" si="1"/>
        <v>8216065.6451262599</v>
      </c>
      <c r="I39" s="420">
        <f t="shared" si="1"/>
        <v>4077709.3457521717</v>
      </c>
      <c r="J39" s="421">
        <f t="shared" si="1"/>
        <v>67965.089999999938</v>
      </c>
      <c r="K39" s="420">
        <f t="shared" si="1"/>
        <v>23018.040000000019</v>
      </c>
      <c r="L39" s="421">
        <f t="shared" si="1"/>
        <v>10610.490000000007</v>
      </c>
      <c r="M39" s="420">
        <f t="shared" si="1"/>
        <v>40520.33000000006</v>
      </c>
      <c r="N39" s="421">
        <f t="shared" si="1"/>
        <v>352203.24073828798</v>
      </c>
      <c r="O39" s="420">
        <f t="shared" si="1"/>
        <v>1287975.0489307055</v>
      </c>
      <c r="P39" s="421">
        <f t="shared" si="1"/>
        <v>45878.664999999986</v>
      </c>
      <c r="Q39" s="420">
        <f t="shared" si="1"/>
        <v>558891.93425046524</v>
      </c>
      <c r="R39" s="421">
        <f t="shared" si="1"/>
        <v>559995.87404931639</v>
      </c>
      <c r="S39" s="420">
        <f t="shared" si="1"/>
        <v>442126.56200634345</v>
      </c>
      <c r="T39" s="421">
        <f t="shared" si="1"/>
        <v>5564.2810051201213</v>
      </c>
    </row>
    <row r="40" spans="1:22" s="400" customFormat="1">
      <c r="A40" s="424"/>
      <c r="B40" s="425"/>
      <c r="C40" s="422"/>
      <c r="D40" s="422"/>
      <c r="E40" s="422"/>
      <c r="F40" s="422"/>
      <c r="G40" s="422"/>
      <c r="H40" s="422"/>
      <c r="I40" s="422"/>
      <c r="J40" s="422"/>
      <c r="K40" s="422"/>
      <c r="L40" s="422"/>
      <c r="M40" s="422"/>
      <c r="N40" s="422"/>
      <c r="O40" s="422"/>
      <c r="P40" s="422"/>
      <c r="Q40" s="422"/>
      <c r="R40" s="422"/>
      <c r="S40" s="422"/>
      <c r="T40" s="422"/>
      <c r="V40" s="330"/>
    </row>
    <row r="41" spans="1:22">
      <c r="A41" s="418"/>
      <c r="B41" s="426"/>
      <c r="C41" s="427"/>
      <c r="D41" s="427"/>
      <c r="E41" s="427"/>
      <c r="F41" s="427"/>
      <c r="G41" s="427"/>
      <c r="H41" s="427"/>
      <c r="I41" s="427"/>
      <c r="J41" s="427"/>
      <c r="K41" s="427"/>
      <c r="L41" s="427"/>
      <c r="M41" s="427"/>
      <c r="N41" s="427"/>
      <c r="O41" s="427"/>
      <c r="P41" s="427"/>
      <c r="Q41" s="427"/>
      <c r="R41" s="427"/>
      <c r="S41" s="427"/>
      <c r="T41" s="427"/>
    </row>
    <row r="42" spans="1:22">
      <c r="A42" s="418"/>
      <c r="B42" s="428"/>
      <c r="C42" s="429"/>
      <c r="D42" s="429"/>
      <c r="E42" s="429"/>
      <c r="F42" s="429"/>
      <c r="G42" s="429"/>
      <c r="H42" s="429"/>
      <c r="I42" s="429"/>
      <c r="J42" s="429"/>
      <c r="K42" s="429"/>
      <c r="L42" s="429"/>
      <c r="M42" s="429"/>
      <c r="N42" s="429"/>
      <c r="O42" s="429"/>
      <c r="P42" s="429"/>
      <c r="Q42" s="429"/>
      <c r="R42" s="429"/>
      <c r="S42" s="429"/>
      <c r="T42" s="429"/>
    </row>
    <row r="43" spans="1:22">
      <c r="A43" s="407" t="s">
        <v>537</v>
      </c>
      <c r="B43" s="430" t="str">
        <f>B10</f>
        <v>December 2015</v>
      </c>
      <c r="C43" s="409">
        <f t="shared" ref="C43:T55" si="2">+C10-C26</f>
        <v>5656449.0200000023</v>
      </c>
      <c r="D43" s="410">
        <f t="shared" si="2"/>
        <v>2797061.2299999995</v>
      </c>
      <c r="E43" s="409">
        <f t="shared" si="2"/>
        <v>3871445.8950000005</v>
      </c>
      <c r="F43" s="410">
        <f t="shared" si="2"/>
        <v>6686245.3100000005</v>
      </c>
      <c r="G43" s="409">
        <f t="shared" si="2"/>
        <v>28487601.786694027</v>
      </c>
      <c r="H43" s="410">
        <f t="shared" si="2"/>
        <v>200436225.70558363</v>
      </c>
      <c r="I43" s="409">
        <f t="shared" si="2"/>
        <v>214556711.69820318</v>
      </c>
      <c r="J43" s="410">
        <f t="shared" si="2"/>
        <v>406384.9200000001</v>
      </c>
      <c r="K43" s="409">
        <f t="shared" si="2"/>
        <v>106395.65000000001</v>
      </c>
      <c r="L43" s="410">
        <f t="shared" si="2"/>
        <v>37435.159999999974</v>
      </c>
      <c r="M43" s="409">
        <f t="shared" si="2"/>
        <v>192786.70999999996</v>
      </c>
      <c r="N43" s="410">
        <f t="shared" si="2"/>
        <v>3959253.6436374271</v>
      </c>
      <c r="O43" s="409">
        <f t="shared" si="2"/>
        <v>21137293.018805947</v>
      </c>
      <c r="P43" s="410">
        <f t="shared" si="2"/>
        <v>268103.46000000002</v>
      </c>
      <c r="Q43" s="409">
        <f t="shared" si="2"/>
        <v>14910987.553936034</v>
      </c>
      <c r="R43" s="410">
        <f t="shared" si="2"/>
        <v>18338830.640716519</v>
      </c>
      <c r="S43" s="409">
        <f t="shared" si="2"/>
        <v>37061819.039809778</v>
      </c>
      <c r="T43" s="410">
        <f t="shared" si="2"/>
        <v>674065.51841634046</v>
      </c>
    </row>
    <row r="44" spans="1:22">
      <c r="A44" s="411" t="s">
        <v>538</v>
      </c>
      <c r="B44" s="431" t="str">
        <f>B11</f>
        <v>January 2016</v>
      </c>
      <c r="C44" s="413">
        <f t="shared" si="2"/>
        <v>5640969.5700000022</v>
      </c>
      <c r="D44" s="414">
        <f t="shared" si="2"/>
        <v>2789427.6799999992</v>
      </c>
      <c r="E44" s="413">
        <f t="shared" si="2"/>
        <v>3861679.7900000005</v>
      </c>
      <c r="F44" s="414">
        <f t="shared" si="2"/>
        <v>6669378.6000000006</v>
      </c>
      <c r="G44" s="413">
        <f t="shared" si="2"/>
        <v>28436885.219995748</v>
      </c>
      <c r="H44" s="414">
        <f t="shared" si="2"/>
        <v>199249887.48069006</v>
      </c>
      <c r="I44" s="413">
        <f t="shared" si="2"/>
        <v>214484273.58664972</v>
      </c>
      <c r="J44" s="414">
        <f t="shared" si="2"/>
        <v>405360.22000000015</v>
      </c>
      <c r="K44" s="413">
        <f t="shared" si="2"/>
        <v>106116.09</v>
      </c>
      <c r="L44" s="414">
        <f t="shared" si="2"/>
        <v>37341.989999999969</v>
      </c>
      <c r="M44" s="413">
        <f t="shared" si="2"/>
        <v>192373.60999999993</v>
      </c>
      <c r="N44" s="414">
        <f t="shared" si="2"/>
        <v>3952608.6795748081</v>
      </c>
      <c r="O44" s="413">
        <f t="shared" si="2"/>
        <v>21099909.022835672</v>
      </c>
      <c r="P44" s="414">
        <f t="shared" si="2"/>
        <v>267386.60583333333</v>
      </c>
      <c r="Q44" s="413">
        <f t="shared" si="2"/>
        <v>14884404.124238284</v>
      </c>
      <c r="R44" s="414">
        <f t="shared" si="2"/>
        <v>18307571.553255547</v>
      </c>
      <c r="S44" s="413">
        <f t="shared" si="2"/>
        <v>36997188.092840426</v>
      </c>
      <c r="T44" s="414">
        <f t="shared" si="2"/>
        <v>672894.30517943052</v>
      </c>
    </row>
    <row r="45" spans="1:22">
      <c r="A45" s="411"/>
      <c r="B45" s="423" t="s">
        <v>525</v>
      </c>
      <c r="C45" s="413">
        <f t="shared" si="2"/>
        <v>5625490.1200000029</v>
      </c>
      <c r="D45" s="414">
        <f t="shared" si="2"/>
        <v>2781794.129999999</v>
      </c>
      <c r="E45" s="413">
        <f t="shared" si="2"/>
        <v>3851913.6850000005</v>
      </c>
      <c r="F45" s="414">
        <f t="shared" si="2"/>
        <v>6652511.8900000006</v>
      </c>
      <c r="G45" s="413">
        <f t="shared" si="2"/>
        <v>28386168.653297473</v>
      </c>
      <c r="H45" s="414">
        <f t="shared" si="2"/>
        <v>199079001.77189341</v>
      </c>
      <c r="I45" s="413">
        <f t="shared" si="2"/>
        <v>213827773.9548775</v>
      </c>
      <c r="J45" s="414">
        <f t="shared" si="2"/>
        <v>404335.52000000014</v>
      </c>
      <c r="K45" s="413">
        <f t="shared" si="2"/>
        <v>105836.53</v>
      </c>
      <c r="L45" s="414">
        <f t="shared" si="2"/>
        <v>37248.819999999971</v>
      </c>
      <c r="M45" s="413">
        <f t="shared" si="2"/>
        <v>191960.50999999995</v>
      </c>
      <c r="N45" s="414">
        <f t="shared" si="2"/>
        <v>3945963.7155121891</v>
      </c>
      <c r="O45" s="413">
        <f t="shared" si="2"/>
        <v>21062525.026865393</v>
      </c>
      <c r="P45" s="414">
        <f t="shared" si="2"/>
        <v>266669.75166666665</v>
      </c>
      <c r="Q45" s="413">
        <f t="shared" si="2"/>
        <v>14857820.694540534</v>
      </c>
      <c r="R45" s="414">
        <f t="shared" si="2"/>
        <v>18276312.465794574</v>
      </c>
      <c r="S45" s="413">
        <f t="shared" si="2"/>
        <v>36932557.145871073</v>
      </c>
      <c r="T45" s="414">
        <f t="shared" si="2"/>
        <v>671723.09194252046</v>
      </c>
    </row>
    <row r="46" spans="1:22">
      <c r="A46" s="411"/>
      <c r="B46" s="423" t="s">
        <v>526</v>
      </c>
      <c r="C46" s="413">
        <f t="shared" si="2"/>
        <v>5610010.6700000027</v>
      </c>
      <c r="D46" s="414">
        <f t="shared" si="2"/>
        <v>2774160.5799999991</v>
      </c>
      <c r="E46" s="413">
        <f t="shared" si="2"/>
        <v>3842147.5800000005</v>
      </c>
      <c r="F46" s="414">
        <f t="shared" si="2"/>
        <v>6635645.1800000006</v>
      </c>
      <c r="G46" s="413">
        <f t="shared" si="2"/>
        <v>28334372.71871569</v>
      </c>
      <c r="H46" s="414">
        <f>+H13-H29</f>
        <v>199386035.17938659</v>
      </c>
      <c r="I46" s="413">
        <f t="shared" si="2"/>
        <v>214736482.71478087</v>
      </c>
      <c r="J46" s="414">
        <f t="shared" si="2"/>
        <v>403310.82000000012</v>
      </c>
      <c r="K46" s="413">
        <f t="shared" si="2"/>
        <v>105556.97</v>
      </c>
      <c r="L46" s="414">
        <f t="shared" si="2"/>
        <v>37155.649999999965</v>
      </c>
      <c r="M46" s="413">
        <f t="shared" si="2"/>
        <v>191547.40999999995</v>
      </c>
      <c r="N46" s="414">
        <f t="shared" si="2"/>
        <v>3939318.7514495701</v>
      </c>
      <c r="O46" s="413">
        <f t="shared" si="2"/>
        <v>21025141.030895118</v>
      </c>
      <c r="P46" s="414">
        <f t="shared" si="2"/>
        <v>265952.89750000002</v>
      </c>
      <c r="Q46" s="413">
        <f t="shared" si="2"/>
        <v>14831237.264842786</v>
      </c>
      <c r="R46" s="414">
        <f t="shared" si="2"/>
        <v>18245053.378333602</v>
      </c>
      <c r="S46" s="413">
        <f t="shared" si="2"/>
        <v>36867926.19890172</v>
      </c>
      <c r="T46" s="414">
        <f t="shared" si="2"/>
        <v>670551.8787056104</v>
      </c>
    </row>
    <row r="47" spans="1:22">
      <c r="A47" s="411"/>
      <c r="B47" s="423" t="s">
        <v>527</v>
      </c>
      <c r="C47" s="413">
        <f t="shared" si="2"/>
        <v>5594531.2200000025</v>
      </c>
      <c r="D47" s="414">
        <f t="shared" si="2"/>
        <v>2766527.0299999993</v>
      </c>
      <c r="E47" s="413">
        <f t="shared" si="2"/>
        <v>3832381.4750000006</v>
      </c>
      <c r="F47" s="414">
        <f t="shared" si="2"/>
        <v>6618778.4700000007</v>
      </c>
      <c r="G47" s="413">
        <f t="shared" si="2"/>
        <v>28283656.152017415</v>
      </c>
      <c r="H47" s="414">
        <f t="shared" si="2"/>
        <v>199376513.83211678</v>
      </c>
      <c r="I47" s="413">
        <f t="shared" si="2"/>
        <v>214879089.21052071</v>
      </c>
      <c r="J47" s="414">
        <f t="shared" si="2"/>
        <v>402286.12000000011</v>
      </c>
      <c r="K47" s="413">
        <f t="shared" si="2"/>
        <v>105277.41</v>
      </c>
      <c r="L47" s="414">
        <f t="shared" si="2"/>
        <v>37062.479999999967</v>
      </c>
      <c r="M47" s="413">
        <f t="shared" si="2"/>
        <v>191134.30999999994</v>
      </c>
      <c r="N47" s="414">
        <f t="shared" si="2"/>
        <v>3932673.787386951</v>
      </c>
      <c r="O47" s="413">
        <f t="shared" si="2"/>
        <v>20987757.034924842</v>
      </c>
      <c r="P47" s="414">
        <f t="shared" si="2"/>
        <v>265236.04333333333</v>
      </c>
      <c r="Q47" s="413">
        <f t="shared" si="2"/>
        <v>14804653.835145036</v>
      </c>
      <c r="R47" s="414">
        <f t="shared" si="2"/>
        <v>18213794.29087263</v>
      </c>
      <c r="S47" s="413">
        <f t="shared" si="2"/>
        <v>36803295.251932368</v>
      </c>
      <c r="T47" s="414">
        <f t="shared" si="2"/>
        <v>669380.66546870046</v>
      </c>
    </row>
    <row r="48" spans="1:22">
      <c r="A48" s="411"/>
      <c r="B48" s="423" t="s">
        <v>59</v>
      </c>
      <c r="C48" s="413">
        <f t="shared" si="2"/>
        <v>5579051.7700000033</v>
      </c>
      <c r="D48" s="414">
        <f t="shared" si="2"/>
        <v>2758893.4799999991</v>
      </c>
      <c r="E48" s="413">
        <f t="shared" si="2"/>
        <v>3822615.3700000006</v>
      </c>
      <c r="F48" s="414">
        <f t="shared" si="2"/>
        <v>6601911.7600000007</v>
      </c>
      <c r="G48" s="413">
        <f t="shared" si="2"/>
        <v>28232939.585319135</v>
      </c>
      <c r="H48" s="414">
        <f t="shared" si="2"/>
        <v>199040498.54986176</v>
      </c>
      <c r="I48" s="413">
        <f t="shared" si="2"/>
        <v>214607592.19523942</v>
      </c>
      <c r="J48" s="414">
        <f t="shared" si="2"/>
        <v>401261.42000000016</v>
      </c>
      <c r="K48" s="413">
        <f t="shared" si="2"/>
        <v>104997.85</v>
      </c>
      <c r="L48" s="414">
        <f t="shared" si="2"/>
        <v>36969.309999999969</v>
      </c>
      <c r="M48" s="413">
        <f t="shared" si="2"/>
        <v>190721.20999999996</v>
      </c>
      <c r="N48" s="414">
        <f t="shared" si="2"/>
        <v>3926028.8233243315</v>
      </c>
      <c r="O48" s="413">
        <f t="shared" si="2"/>
        <v>20950373.038954567</v>
      </c>
      <c r="P48" s="414">
        <f t="shared" si="2"/>
        <v>264519.18916666671</v>
      </c>
      <c r="Q48" s="413">
        <f t="shared" si="2"/>
        <v>14778070.405447286</v>
      </c>
      <c r="R48" s="414">
        <f t="shared" si="2"/>
        <v>18182535.203411657</v>
      </c>
      <c r="S48" s="413">
        <f t="shared" si="2"/>
        <v>36738664.304963015</v>
      </c>
      <c r="T48" s="414">
        <f t="shared" si="2"/>
        <v>668209.4522317904</v>
      </c>
    </row>
    <row r="49" spans="1:20">
      <c r="A49" s="411"/>
      <c r="B49" s="423" t="s">
        <v>528</v>
      </c>
      <c r="C49" s="413">
        <f t="shared" si="2"/>
        <v>5563572.3200000031</v>
      </c>
      <c r="D49" s="414">
        <f t="shared" si="2"/>
        <v>2751259.9299999988</v>
      </c>
      <c r="E49" s="413">
        <f t="shared" si="2"/>
        <v>3812849.2650000006</v>
      </c>
      <c r="F49" s="414">
        <f t="shared" si="2"/>
        <v>6585045.0500000007</v>
      </c>
      <c r="G49" s="413">
        <f t="shared" si="2"/>
        <v>28182232.380107418</v>
      </c>
      <c r="H49" s="414">
        <f t="shared" si="2"/>
        <v>198871051.41636479</v>
      </c>
      <c r="I49" s="413">
        <f t="shared" si="2"/>
        <v>216319546.52595496</v>
      </c>
      <c r="J49" s="414">
        <f t="shared" si="2"/>
        <v>400236.72000000015</v>
      </c>
      <c r="K49" s="413">
        <f t="shared" si="2"/>
        <v>104718.29</v>
      </c>
      <c r="L49" s="414">
        <f t="shared" si="2"/>
        <v>36876.13999999997</v>
      </c>
      <c r="M49" s="413">
        <f t="shared" si="2"/>
        <v>190308.10999999993</v>
      </c>
      <c r="N49" s="414">
        <f t="shared" si="2"/>
        <v>3919383.8592617125</v>
      </c>
      <c r="O49" s="413">
        <f t="shared" si="2"/>
        <v>20912989.042984292</v>
      </c>
      <c r="P49" s="414">
        <f t="shared" si="2"/>
        <v>263802.33500000002</v>
      </c>
      <c r="Q49" s="413">
        <f t="shared" si="2"/>
        <v>14751486.975749535</v>
      </c>
      <c r="R49" s="414">
        <f t="shared" si="2"/>
        <v>18151276.115950685</v>
      </c>
      <c r="S49" s="413">
        <f t="shared" si="2"/>
        <v>36674033.357993655</v>
      </c>
      <c r="T49" s="414">
        <f t="shared" si="2"/>
        <v>667038.23899488035</v>
      </c>
    </row>
    <row r="50" spans="1:20">
      <c r="A50" s="411"/>
      <c r="B50" s="423" t="s">
        <v>529</v>
      </c>
      <c r="C50" s="413">
        <f t="shared" si="2"/>
        <v>5548092.8700000029</v>
      </c>
      <c r="D50" s="414">
        <f t="shared" si="2"/>
        <v>2743626.379999999</v>
      </c>
      <c r="E50" s="413">
        <f t="shared" si="2"/>
        <v>3803083.1600000006</v>
      </c>
      <c r="F50" s="414">
        <f t="shared" si="2"/>
        <v>6568178.3400000008</v>
      </c>
      <c r="G50" s="413">
        <f t="shared" si="2"/>
        <v>28131525.1748957</v>
      </c>
      <c r="H50" s="414">
        <f t="shared" si="2"/>
        <v>198565787.30752024</v>
      </c>
      <c r="I50" s="413">
        <f t="shared" si="2"/>
        <v>216501506.96407855</v>
      </c>
      <c r="J50" s="414">
        <f t="shared" si="2"/>
        <v>399212.02000000014</v>
      </c>
      <c r="K50" s="413">
        <f t="shared" si="2"/>
        <v>104438.73</v>
      </c>
      <c r="L50" s="414">
        <f t="shared" si="2"/>
        <v>36782.969999999972</v>
      </c>
      <c r="M50" s="413">
        <f t="shared" si="2"/>
        <v>189895.00999999995</v>
      </c>
      <c r="N50" s="414">
        <f t="shared" si="2"/>
        <v>3912738.8951990935</v>
      </c>
      <c r="O50" s="413">
        <f t="shared" si="2"/>
        <v>20875605.047014017</v>
      </c>
      <c r="P50" s="414">
        <f t="shared" si="2"/>
        <v>263085.48083333333</v>
      </c>
      <c r="Q50" s="413">
        <f t="shared" si="2"/>
        <v>14724903.546051785</v>
      </c>
      <c r="R50" s="414">
        <f t="shared" si="2"/>
        <v>18120017.028489713</v>
      </c>
      <c r="S50" s="413">
        <f t="shared" si="2"/>
        <v>36609402.411024302</v>
      </c>
      <c r="T50" s="414">
        <f t="shared" si="2"/>
        <v>665867.02575797029</v>
      </c>
    </row>
    <row r="51" spans="1:20">
      <c r="A51" s="411"/>
      <c r="B51" s="423" t="s">
        <v>530</v>
      </c>
      <c r="C51" s="413">
        <f t="shared" si="2"/>
        <v>5532613.4200000027</v>
      </c>
      <c r="D51" s="414">
        <f t="shared" si="2"/>
        <v>2735992.8299999991</v>
      </c>
      <c r="E51" s="413">
        <f t="shared" si="2"/>
        <v>3793317.0550000006</v>
      </c>
      <c r="F51" s="414">
        <f t="shared" si="2"/>
        <v>6551311.6300000008</v>
      </c>
      <c r="G51" s="413">
        <f t="shared" si="2"/>
        <v>28080817.969683982</v>
      </c>
      <c r="H51" s="414">
        <f t="shared" si="2"/>
        <v>198231878.01869673</v>
      </c>
      <c r="I51" s="413">
        <f t="shared" si="2"/>
        <v>216048499.76757732</v>
      </c>
      <c r="J51" s="414">
        <f t="shared" si="2"/>
        <v>398187.32000000012</v>
      </c>
      <c r="K51" s="413">
        <f t="shared" si="2"/>
        <v>104159.17</v>
      </c>
      <c r="L51" s="414">
        <f t="shared" si="2"/>
        <v>36689.799999999974</v>
      </c>
      <c r="M51" s="413">
        <f t="shared" si="2"/>
        <v>189481.90999999995</v>
      </c>
      <c r="N51" s="414">
        <f t="shared" si="2"/>
        <v>3906093.931136474</v>
      </c>
      <c r="O51" s="413">
        <f t="shared" si="2"/>
        <v>20838221.051043738</v>
      </c>
      <c r="P51" s="414">
        <f t="shared" si="2"/>
        <v>262368.62666666671</v>
      </c>
      <c r="Q51" s="413">
        <f t="shared" si="2"/>
        <v>14698320.116354035</v>
      </c>
      <c r="R51" s="414">
        <f t="shared" si="2"/>
        <v>18088757.94102874</v>
      </c>
      <c r="S51" s="413">
        <f t="shared" si="2"/>
        <v>36544771.46405495</v>
      </c>
      <c r="T51" s="414">
        <f t="shared" si="2"/>
        <v>664695.81252106035</v>
      </c>
    </row>
    <row r="52" spans="1:20">
      <c r="A52" s="411"/>
      <c r="B52" s="423" t="s">
        <v>531</v>
      </c>
      <c r="C52" s="413">
        <f t="shared" si="2"/>
        <v>5517133.9700000025</v>
      </c>
      <c r="D52" s="414">
        <f t="shared" si="2"/>
        <v>2728359.2799999989</v>
      </c>
      <c r="E52" s="413">
        <f t="shared" si="2"/>
        <v>3783550.9500000007</v>
      </c>
      <c r="F52" s="414">
        <f t="shared" si="2"/>
        <v>6534444.9200000009</v>
      </c>
      <c r="G52" s="413">
        <f t="shared" si="2"/>
        <v>28030110.764472261</v>
      </c>
      <c r="H52" s="414">
        <f t="shared" si="2"/>
        <v>197794043.22271666</v>
      </c>
      <c r="I52" s="413">
        <f t="shared" si="2"/>
        <v>215756334.59547615</v>
      </c>
      <c r="J52" s="414">
        <f t="shared" si="2"/>
        <v>397162.62000000011</v>
      </c>
      <c r="K52" s="413">
        <f t="shared" si="2"/>
        <v>103879.60999999999</v>
      </c>
      <c r="L52" s="414">
        <f t="shared" si="2"/>
        <v>36596.629999999968</v>
      </c>
      <c r="M52" s="413">
        <f t="shared" si="2"/>
        <v>189068.80999999994</v>
      </c>
      <c r="N52" s="414">
        <f t="shared" si="2"/>
        <v>3899448.967073855</v>
      </c>
      <c r="O52" s="413">
        <f t="shared" si="2"/>
        <v>20800837.055073462</v>
      </c>
      <c r="P52" s="414">
        <f t="shared" si="2"/>
        <v>261651.77250000002</v>
      </c>
      <c r="Q52" s="413">
        <f t="shared" si="2"/>
        <v>14671736.686656285</v>
      </c>
      <c r="R52" s="414">
        <f t="shared" si="2"/>
        <v>18057498.853567768</v>
      </c>
      <c r="S52" s="413">
        <f t="shared" si="2"/>
        <v>36480140.517085597</v>
      </c>
      <c r="T52" s="414">
        <f t="shared" si="2"/>
        <v>663524.59928415029</v>
      </c>
    </row>
    <row r="53" spans="1:20">
      <c r="A53" s="411"/>
      <c r="B53" s="423" t="s">
        <v>532</v>
      </c>
      <c r="C53" s="413">
        <f t="shared" si="2"/>
        <v>5501654.5200000033</v>
      </c>
      <c r="D53" s="414">
        <f t="shared" si="2"/>
        <v>2720725.7299999986</v>
      </c>
      <c r="E53" s="413">
        <f>+E20-E36</f>
        <v>3773784.8450000007</v>
      </c>
      <c r="F53" s="414">
        <f t="shared" si="2"/>
        <v>6517578.2100000009</v>
      </c>
      <c r="G53" s="413">
        <f t="shared" si="2"/>
        <v>27979403.559260543</v>
      </c>
      <c r="H53" s="414">
        <f t="shared" si="2"/>
        <v>197379913.47144118</v>
      </c>
      <c r="I53" s="413">
        <f t="shared" si="2"/>
        <v>214033011.89756259</v>
      </c>
      <c r="J53" s="414">
        <f t="shared" si="2"/>
        <v>396137.92000000016</v>
      </c>
      <c r="K53" s="413">
        <f t="shared" si="2"/>
        <v>103600.04999999999</v>
      </c>
      <c r="L53" s="414">
        <f t="shared" si="2"/>
        <v>36503.45999999997</v>
      </c>
      <c r="M53" s="413">
        <f t="shared" si="2"/>
        <v>188655.70999999993</v>
      </c>
      <c r="N53" s="414">
        <f t="shared" si="2"/>
        <v>3892804.003011236</v>
      </c>
      <c r="O53" s="413">
        <f t="shared" si="2"/>
        <v>20763453.059103187</v>
      </c>
      <c r="P53" s="414">
        <f t="shared" si="2"/>
        <v>260934.91833333336</v>
      </c>
      <c r="Q53" s="413">
        <f t="shared" si="2"/>
        <v>14645153.256958535</v>
      </c>
      <c r="R53" s="414">
        <f t="shared" si="2"/>
        <v>18026239.766106796</v>
      </c>
      <c r="S53" s="413">
        <f t="shared" si="2"/>
        <v>36415509.570116244</v>
      </c>
      <c r="T53" s="414">
        <f t="shared" si="2"/>
        <v>662353.38604724023</v>
      </c>
    </row>
    <row r="54" spans="1:20">
      <c r="A54" s="411"/>
      <c r="B54" s="423" t="s">
        <v>533</v>
      </c>
      <c r="C54" s="413">
        <f t="shared" si="2"/>
        <v>5486175.0700000031</v>
      </c>
      <c r="D54" s="414">
        <f t="shared" si="2"/>
        <v>2713092.1799999988</v>
      </c>
      <c r="E54" s="413">
        <f t="shared" si="2"/>
        <v>3764018.7400000007</v>
      </c>
      <c r="F54" s="414">
        <f t="shared" si="2"/>
        <v>6500711.5000000009</v>
      </c>
      <c r="G54" s="413">
        <f t="shared" si="2"/>
        <v>27928696.354048826</v>
      </c>
      <c r="H54" s="414">
        <f t="shared" si="2"/>
        <v>196899205.51257449</v>
      </c>
      <c r="I54" s="413">
        <f t="shared" si="2"/>
        <v>212339512.53796595</v>
      </c>
      <c r="J54" s="414">
        <f t="shared" si="2"/>
        <v>395113.22000000015</v>
      </c>
      <c r="K54" s="413">
        <f t="shared" si="2"/>
        <v>103320.48999999999</v>
      </c>
      <c r="L54" s="414">
        <f t="shared" si="2"/>
        <v>36410.289999999964</v>
      </c>
      <c r="M54" s="413">
        <f t="shared" si="2"/>
        <v>188242.60999999993</v>
      </c>
      <c r="N54" s="414">
        <f t="shared" si="2"/>
        <v>3886159.0389486169</v>
      </c>
      <c r="O54" s="413">
        <f t="shared" si="2"/>
        <v>20726069.063132912</v>
      </c>
      <c r="P54" s="414">
        <f t="shared" si="2"/>
        <v>260218.06416666671</v>
      </c>
      <c r="Q54" s="413">
        <f t="shared" si="2"/>
        <v>14618569.827260785</v>
      </c>
      <c r="R54" s="414">
        <f t="shared" si="2"/>
        <v>17994980.678645823</v>
      </c>
      <c r="S54" s="413">
        <f t="shared" si="2"/>
        <v>36350878.623146892</v>
      </c>
      <c r="T54" s="414">
        <f t="shared" si="2"/>
        <v>661182.17281033029</v>
      </c>
    </row>
    <row r="55" spans="1:20">
      <c r="A55" s="416"/>
      <c r="B55" s="432" t="str">
        <f>+B38</f>
        <v>December 2016</v>
      </c>
      <c r="C55" s="611">
        <f t="shared" si="2"/>
        <v>5470695.6200000029</v>
      </c>
      <c r="D55" s="612">
        <f t="shared" si="2"/>
        <v>2705458.629999999</v>
      </c>
      <c r="E55" s="611">
        <f t="shared" si="2"/>
        <v>3754252.6350000007</v>
      </c>
      <c r="F55" s="612">
        <f t="shared" si="2"/>
        <v>6483844.790000001</v>
      </c>
      <c r="G55" s="611">
        <f t="shared" si="2"/>
        <v>27877989.148837108</v>
      </c>
      <c r="H55" s="612">
        <f t="shared" si="2"/>
        <v>196333700.41283068</v>
      </c>
      <c r="I55" s="611">
        <f t="shared" si="2"/>
        <v>212488766.23736846</v>
      </c>
      <c r="J55" s="612">
        <f t="shared" si="2"/>
        <v>394088.52000000014</v>
      </c>
      <c r="K55" s="611">
        <f t="shared" si="2"/>
        <v>103040.93</v>
      </c>
      <c r="L55" s="612">
        <f t="shared" si="2"/>
        <v>36317.119999999966</v>
      </c>
      <c r="M55" s="611">
        <f t="shared" si="2"/>
        <v>187829.50999999995</v>
      </c>
      <c r="N55" s="612">
        <f t="shared" si="2"/>
        <v>3879514.0748859979</v>
      </c>
      <c r="O55" s="611">
        <f t="shared" si="2"/>
        <v>20688685.067162637</v>
      </c>
      <c r="P55" s="612">
        <f t="shared" si="2"/>
        <v>259501.21000000002</v>
      </c>
      <c r="Q55" s="611">
        <f t="shared" si="2"/>
        <v>14591986.397563035</v>
      </c>
      <c r="R55" s="612">
        <f t="shared" si="2"/>
        <v>17963721.591184851</v>
      </c>
      <c r="S55" s="611">
        <f t="shared" si="2"/>
        <v>36286247.676177539</v>
      </c>
      <c r="T55" s="612">
        <f t="shared" si="2"/>
        <v>660010.95957342023</v>
      </c>
    </row>
    <row r="56" spans="1:20">
      <c r="A56" s="418"/>
      <c r="B56" s="419" t="s">
        <v>534</v>
      </c>
      <c r="C56" s="420">
        <f>AVERAGE(C43:C55)</f>
        <v>5563572.3200000031</v>
      </c>
      <c r="D56" s="421">
        <f>AVERAGE(D43:D55)</f>
        <v>2751259.9299999992</v>
      </c>
      <c r="E56" s="420">
        <f t="shared" ref="E56:T56" si="3">AVERAGE(E43:E55)</f>
        <v>3812849.2650000006</v>
      </c>
      <c r="F56" s="421">
        <f t="shared" si="3"/>
        <v>6585045.0500000017</v>
      </c>
      <c r="G56" s="420">
        <f t="shared" si="3"/>
        <v>28182492.266718872</v>
      </c>
      <c r="H56" s="421">
        <f t="shared" si="3"/>
        <v>198511057.06782132</v>
      </c>
      <c r="I56" s="420">
        <f t="shared" si="3"/>
        <v>214659930.91432735</v>
      </c>
      <c r="J56" s="421">
        <f t="shared" si="3"/>
        <v>400236.72000000009</v>
      </c>
      <c r="K56" s="420">
        <f t="shared" si="3"/>
        <v>104718.29000000001</v>
      </c>
      <c r="L56" s="421">
        <f t="shared" si="3"/>
        <v>36876.13999999997</v>
      </c>
      <c r="M56" s="420">
        <f t="shared" si="3"/>
        <v>190308.10999999993</v>
      </c>
      <c r="N56" s="421">
        <f t="shared" si="3"/>
        <v>3919383.8592617121</v>
      </c>
      <c r="O56" s="420">
        <f t="shared" si="3"/>
        <v>20912989.042984292</v>
      </c>
      <c r="P56" s="421">
        <f t="shared" si="3"/>
        <v>263802.33499999996</v>
      </c>
      <c r="Q56" s="420">
        <f t="shared" si="3"/>
        <v>14751486.975749535</v>
      </c>
      <c r="R56" s="421">
        <f t="shared" si="3"/>
        <v>18151276.115950685</v>
      </c>
      <c r="S56" s="420">
        <f t="shared" si="3"/>
        <v>36674033.357993655</v>
      </c>
      <c r="T56" s="421">
        <f t="shared" si="3"/>
        <v>667038.23899488035</v>
      </c>
    </row>
    <row r="57" spans="1:20">
      <c r="A57" s="418"/>
      <c r="B57" s="426"/>
      <c r="C57" s="433"/>
      <c r="D57" s="433"/>
      <c r="E57" s="433"/>
      <c r="F57" s="433"/>
      <c r="G57" s="433"/>
      <c r="H57" s="433"/>
      <c r="I57" s="433"/>
      <c r="J57" s="433"/>
      <c r="K57" s="433"/>
      <c r="L57" s="433"/>
      <c r="M57" s="433"/>
      <c r="N57" s="433"/>
      <c r="O57" s="433"/>
      <c r="P57" s="433"/>
      <c r="Q57" s="433"/>
      <c r="R57" s="433"/>
      <c r="S57" s="433"/>
      <c r="T57" s="433"/>
    </row>
    <row r="58" spans="1:20">
      <c r="A58" s="418"/>
      <c r="B58" s="434"/>
      <c r="C58" s="613"/>
      <c r="D58" s="613"/>
      <c r="E58" s="613"/>
      <c r="F58" s="613"/>
      <c r="G58" s="613"/>
      <c r="H58" s="613"/>
      <c r="I58" s="613"/>
      <c r="J58" s="613"/>
      <c r="K58" s="613"/>
      <c r="L58" s="613"/>
      <c r="M58" s="613"/>
      <c r="N58" s="613"/>
      <c r="O58" s="613"/>
      <c r="P58" s="613"/>
      <c r="Q58" s="613"/>
      <c r="R58" s="613"/>
      <c r="S58" s="613"/>
      <c r="T58" s="613"/>
    </row>
    <row r="59" spans="1:20">
      <c r="A59" s="435" t="s">
        <v>539</v>
      </c>
      <c r="B59" s="436" t="s">
        <v>351</v>
      </c>
      <c r="C59" s="437">
        <v>185753.40000000002</v>
      </c>
      <c r="D59" s="614">
        <v>91602.60000000002</v>
      </c>
      <c r="E59" s="437">
        <v>117193.25999999997</v>
      </c>
      <c r="F59" s="614">
        <v>202400.51999999993</v>
      </c>
      <c r="G59" s="437">
        <v>609612.63785692037</v>
      </c>
      <c r="H59" s="614">
        <v>3983044.0200603409</v>
      </c>
      <c r="I59" s="437">
        <v>4288370.5046604332</v>
      </c>
      <c r="J59" s="614">
        <v>12296.400000000003</v>
      </c>
      <c r="K59" s="437">
        <v>3354.72</v>
      </c>
      <c r="L59" s="614">
        <v>1118.04</v>
      </c>
      <c r="M59" s="437">
        <v>4957.2000000000007</v>
      </c>
      <c r="N59" s="614">
        <v>79739.568751429935</v>
      </c>
      <c r="O59" s="437">
        <v>448607.95164331066</v>
      </c>
      <c r="P59" s="614">
        <v>8602.2500000000018</v>
      </c>
      <c r="Q59" s="437">
        <v>319001.15637300047</v>
      </c>
      <c r="R59" s="614">
        <v>375109.04953166709</v>
      </c>
      <c r="S59" s="437">
        <v>775571.36363223742</v>
      </c>
      <c r="T59" s="614">
        <v>14054.558842920285</v>
      </c>
    </row>
    <row r="60" spans="1:20">
      <c r="A60" s="416" t="s">
        <v>540</v>
      </c>
      <c r="B60" s="438" t="s">
        <v>541</v>
      </c>
      <c r="C60" s="611">
        <v>0</v>
      </c>
      <c r="D60" s="612">
        <v>0</v>
      </c>
      <c r="E60" s="611">
        <v>0</v>
      </c>
      <c r="F60" s="612">
        <v>0</v>
      </c>
      <c r="G60" s="611">
        <v>0</v>
      </c>
      <c r="H60" s="612">
        <v>0</v>
      </c>
      <c r="I60" s="611">
        <v>0</v>
      </c>
      <c r="J60" s="612">
        <v>0</v>
      </c>
      <c r="K60" s="611">
        <v>0</v>
      </c>
      <c r="L60" s="612">
        <v>0</v>
      </c>
      <c r="M60" s="611">
        <v>0</v>
      </c>
      <c r="N60" s="612">
        <v>0</v>
      </c>
      <c r="O60" s="611">
        <v>0</v>
      </c>
      <c r="P60" s="612">
        <v>0</v>
      </c>
      <c r="Q60" s="611">
        <v>0</v>
      </c>
      <c r="R60" s="612">
        <v>0</v>
      </c>
      <c r="S60" s="611">
        <v>0</v>
      </c>
      <c r="T60" s="612">
        <v>0</v>
      </c>
    </row>
    <row r="61" spans="1:20">
      <c r="A61" s="395"/>
      <c r="B61" s="419" t="s">
        <v>542</v>
      </c>
      <c r="C61" s="420">
        <f>+C59+C60</f>
        <v>185753.40000000002</v>
      </c>
      <c r="D61" s="421">
        <f>+D59+D60</f>
        <v>91602.60000000002</v>
      </c>
      <c r="E61" s="420">
        <f t="shared" ref="E61:T61" si="4">+E59+E60</f>
        <v>117193.25999999997</v>
      </c>
      <c r="F61" s="421">
        <f t="shared" si="4"/>
        <v>202400.51999999993</v>
      </c>
      <c r="G61" s="420">
        <f t="shared" si="4"/>
        <v>609612.63785692037</v>
      </c>
      <c r="H61" s="421">
        <f t="shared" si="4"/>
        <v>3983044.0200603409</v>
      </c>
      <c r="I61" s="420">
        <f t="shared" si="4"/>
        <v>4288370.5046604332</v>
      </c>
      <c r="J61" s="421">
        <f t="shared" si="4"/>
        <v>12296.400000000003</v>
      </c>
      <c r="K61" s="420">
        <f t="shared" si="4"/>
        <v>3354.72</v>
      </c>
      <c r="L61" s="421">
        <f t="shared" si="4"/>
        <v>1118.04</v>
      </c>
      <c r="M61" s="420">
        <f t="shared" si="4"/>
        <v>4957.2000000000007</v>
      </c>
      <c r="N61" s="421">
        <f t="shared" si="4"/>
        <v>79739.568751429935</v>
      </c>
      <c r="O61" s="420">
        <f t="shared" si="4"/>
        <v>448607.95164331066</v>
      </c>
      <c r="P61" s="421">
        <f t="shared" si="4"/>
        <v>8602.2500000000018</v>
      </c>
      <c r="Q61" s="420">
        <f t="shared" si="4"/>
        <v>319001.15637300047</v>
      </c>
      <c r="R61" s="421">
        <f t="shared" si="4"/>
        <v>375109.04953166709</v>
      </c>
      <c r="S61" s="420">
        <f t="shared" si="4"/>
        <v>775571.36363223742</v>
      </c>
      <c r="T61" s="421">
        <f t="shared" si="4"/>
        <v>14054.558842920285</v>
      </c>
    </row>
    <row r="62" spans="1:20">
      <c r="E62" s="332"/>
      <c r="G62" s="400"/>
    </row>
    <row r="63" spans="1:20" s="439" customFormat="1"/>
    <row r="64" spans="1:20" s="439" customFormat="1">
      <c r="E64" s="615"/>
    </row>
    <row r="65" spans="3:20" s="439" customFormat="1"/>
    <row r="68" spans="3:20">
      <c r="D68" s="609"/>
      <c r="E68" s="609"/>
      <c r="F68" s="609"/>
      <c r="G68" s="609"/>
      <c r="H68" s="609"/>
      <c r="I68" s="609"/>
      <c r="J68" s="609"/>
      <c r="K68" s="609"/>
      <c r="L68" s="609"/>
      <c r="M68" s="609"/>
      <c r="N68" s="609"/>
      <c r="O68" s="609"/>
      <c r="P68" s="609"/>
      <c r="Q68" s="609"/>
      <c r="R68" s="609"/>
      <c r="S68" s="609"/>
      <c r="T68" s="609"/>
    </row>
    <row r="69" spans="3:20">
      <c r="D69" s="609"/>
      <c r="E69" s="609"/>
      <c r="F69" s="609"/>
      <c r="G69" s="609"/>
      <c r="H69" s="609"/>
      <c r="I69" s="609"/>
      <c r="J69" s="609"/>
      <c r="K69" s="609"/>
      <c r="L69" s="609"/>
      <c r="M69" s="609"/>
      <c r="N69" s="609"/>
      <c r="O69" s="609"/>
      <c r="P69" s="609"/>
      <c r="Q69" s="609"/>
      <c r="R69" s="609"/>
      <c r="S69" s="609"/>
      <c r="T69" s="609"/>
    </row>
    <row r="70" spans="3:20">
      <c r="D70" s="609"/>
      <c r="E70" s="609"/>
      <c r="F70" s="609"/>
      <c r="G70" s="609"/>
      <c r="H70" s="609"/>
      <c r="I70" s="609"/>
      <c r="J70" s="609"/>
      <c r="K70" s="609"/>
      <c r="L70" s="609"/>
      <c r="M70" s="609"/>
      <c r="N70" s="609"/>
      <c r="O70" s="609"/>
      <c r="P70" s="609"/>
      <c r="Q70" s="609"/>
      <c r="R70" s="609"/>
      <c r="S70" s="609"/>
      <c r="T70" s="609"/>
    </row>
    <row r="71" spans="3:20">
      <c r="C71" s="616"/>
      <c r="D71" s="609"/>
      <c r="E71" s="609"/>
      <c r="F71" s="609"/>
      <c r="G71" s="609"/>
      <c r="H71" s="609"/>
      <c r="I71" s="609"/>
      <c r="J71" s="609"/>
      <c r="K71" s="609"/>
      <c r="L71" s="609"/>
      <c r="M71" s="609"/>
      <c r="N71" s="609"/>
      <c r="O71" s="609"/>
      <c r="P71" s="609"/>
      <c r="Q71" s="609"/>
      <c r="R71" s="609"/>
      <c r="S71" s="609"/>
      <c r="T71" s="609"/>
    </row>
    <row r="72" spans="3:20">
      <c r="D72" s="609"/>
      <c r="E72" s="609"/>
      <c r="F72" s="609"/>
      <c r="G72" s="609"/>
      <c r="H72" s="609"/>
      <c r="I72" s="609"/>
      <c r="J72" s="609"/>
      <c r="K72" s="609"/>
      <c r="L72" s="609"/>
      <c r="M72" s="609"/>
      <c r="N72" s="609"/>
      <c r="O72" s="609"/>
      <c r="P72" s="609"/>
      <c r="Q72" s="609"/>
      <c r="R72" s="609"/>
      <c r="S72" s="609"/>
      <c r="T72" s="609"/>
    </row>
    <row r="73" spans="3:20">
      <c r="C73" s="616"/>
      <c r="D73" s="609"/>
      <c r="E73" s="609"/>
      <c r="F73" s="609"/>
      <c r="G73" s="609"/>
      <c r="H73" s="609"/>
      <c r="I73" s="609"/>
      <c r="J73" s="609"/>
      <c r="K73" s="609"/>
      <c r="L73" s="609"/>
      <c r="M73" s="609"/>
      <c r="N73" s="609"/>
      <c r="O73" s="609"/>
      <c r="P73" s="609"/>
      <c r="Q73" s="609"/>
      <c r="R73" s="609"/>
      <c r="S73" s="609"/>
      <c r="T73" s="609"/>
    </row>
    <row r="74" spans="3:20">
      <c r="D74" s="609"/>
      <c r="E74" s="609"/>
      <c r="F74" s="609"/>
      <c r="G74" s="609"/>
      <c r="H74" s="609"/>
      <c r="I74" s="609"/>
      <c r="J74" s="609"/>
      <c r="K74" s="609"/>
      <c r="L74" s="609"/>
      <c r="M74" s="609"/>
      <c r="N74" s="609"/>
      <c r="O74" s="609"/>
      <c r="P74" s="609"/>
      <c r="Q74" s="609"/>
      <c r="R74" s="609"/>
      <c r="S74" s="609"/>
      <c r="T74" s="609"/>
    </row>
    <row r="75" spans="3:20">
      <c r="D75" s="609"/>
      <c r="E75" s="609"/>
      <c r="F75" s="609"/>
      <c r="G75" s="609"/>
      <c r="H75" s="609"/>
      <c r="I75" s="609"/>
      <c r="J75" s="609"/>
      <c r="K75" s="609"/>
      <c r="L75" s="609"/>
      <c r="M75" s="609"/>
      <c r="N75" s="609"/>
      <c r="O75" s="609"/>
      <c r="P75" s="609"/>
      <c r="Q75" s="609"/>
      <c r="R75" s="609"/>
      <c r="S75" s="609"/>
      <c r="T75" s="609"/>
    </row>
    <row r="76" spans="3:20">
      <c r="D76" s="609"/>
      <c r="E76" s="609"/>
      <c r="F76" s="609"/>
      <c r="G76" s="609"/>
      <c r="H76" s="609"/>
      <c r="I76" s="609"/>
      <c r="J76" s="609"/>
      <c r="K76" s="609"/>
      <c r="L76" s="609"/>
      <c r="M76" s="609"/>
      <c r="N76" s="609"/>
      <c r="O76" s="609"/>
      <c r="P76" s="609"/>
      <c r="Q76" s="609"/>
      <c r="R76" s="609"/>
      <c r="S76" s="609"/>
      <c r="T76" s="609"/>
    </row>
    <row r="77" spans="3:20">
      <c r="D77" s="609"/>
      <c r="F77" s="609"/>
    </row>
    <row r="78" spans="3:20">
      <c r="F78" s="609"/>
    </row>
    <row r="79" spans="3:20">
      <c r="F79" s="609"/>
    </row>
    <row r="80" spans="3:20">
      <c r="F80" s="609"/>
    </row>
    <row r="81" spans="6:6">
      <c r="F81" s="609"/>
    </row>
    <row r="82" spans="6:6">
      <c r="F82" s="609"/>
    </row>
  </sheetData>
  <dataValidations disablePrompts="1" count="1">
    <dataValidation type="list" allowBlank="1" showInputMessage="1" showErrorMessage="1" sqref="C9:T9">
      <formula1>$U$6:$U$7</formula1>
    </dataValidation>
  </dataValidations>
  <pageMargins left="0.7" right="0.7" top="0.75" bottom="0.75" header="0.3" footer="0.3"/>
  <pageSetup paperSize="17"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G18"/>
  <sheetViews>
    <sheetView showGridLines="0" workbookViewId="0">
      <selection activeCell="E9" sqref="E9"/>
    </sheetView>
  </sheetViews>
  <sheetFormatPr defaultRowHeight="15.75"/>
  <cols>
    <col min="1" max="1" width="3.625" customWidth="1"/>
    <col min="2" max="2" width="17.75" bestFit="1" customWidth="1"/>
    <col min="4" max="4" width="12.625" style="73" bestFit="1" customWidth="1"/>
    <col min="5" max="5" width="13.75" bestFit="1" customWidth="1"/>
    <col min="6" max="6" width="5.125" customWidth="1"/>
    <col min="7" max="7" width="62.875" bestFit="1" customWidth="1"/>
  </cols>
  <sheetData>
    <row r="1" spans="1:7">
      <c r="A1" s="486" t="s">
        <v>568</v>
      </c>
    </row>
    <row r="3" spans="1:7">
      <c r="B3" t="s">
        <v>159</v>
      </c>
      <c r="D3" s="73">
        <f>'Att MM True Up'!E19</f>
        <v>58057793.469999999</v>
      </c>
      <c r="G3" s="486" t="s">
        <v>665</v>
      </c>
    </row>
    <row r="5" spans="1:7">
      <c r="B5" s="486" t="s">
        <v>566</v>
      </c>
      <c r="D5" s="177">
        <f>'Att MM True Up'!H21-'Att MM True Up'!F21</f>
        <v>-1360481.1605135575</v>
      </c>
    </row>
    <row r="7" spans="1:7">
      <c r="B7" s="486" t="s">
        <v>567</v>
      </c>
      <c r="D7" s="73">
        <f>'Att MM True Up'!F21-'Att MM True Up'!G21</f>
        <v>3954540.5665342435</v>
      </c>
    </row>
    <row r="8" spans="1:7">
      <c r="E8" s="98"/>
    </row>
    <row r="9" spans="1:7">
      <c r="B9" t="s">
        <v>169</v>
      </c>
      <c r="E9" s="177">
        <f>D3+D5+D7</f>
        <v>60651852.876020685</v>
      </c>
    </row>
    <row r="12" spans="1:7">
      <c r="B12" s="486" t="s">
        <v>602</v>
      </c>
      <c r="E12" s="73">
        <f>'Att MM True Up'!H21</f>
        <v>60651852.876020685</v>
      </c>
      <c r="G12" s="486" t="s">
        <v>666</v>
      </c>
    </row>
    <row r="17" spans="1:1">
      <c r="A17" s="512" t="s">
        <v>564</v>
      </c>
    </row>
    <row r="18" spans="1:1">
      <c r="A18" s="512" t="s">
        <v>565</v>
      </c>
    </row>
  </sheetData>
  <pageMargins left="0.75" right="0.75" top="1" bottom="1" header="0.5" footer="0.5"/>
  <pageSetup scale="8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FF"/>
    <pageSetUpPr fitToPage="1"/>
  </sheetPr>
  <dimension ref="B2:O51"/>
  <sheetViews>
    <sheetView showGridLines="0" topLeftCell="A10" workbookViewId="0">
      <selection activeCell="K21" sqref="K21"/>
    </sheetView>
  </sheetViews>
  <sheetFormatPr defaultRowHeight="14.25"/>
  <cols>
    <col min="1" max="1" width="1.5" style="340" customWidth="1"/>
    <col min="2" max="2" width="4.75" style="340" customWidth="1"/>
    <col min="3" max="3" width="22.625" style="340" customWidth="1"/>
    <col min="4" max="4" width="9" style="340"/>
    <col min="5" max="5" width="13.5" style="340" bestFit="1" customWidth="1"/>
    <col min="6" max="6" width="14.375" style="340" customWidth="1"/>
    <col min="7" max="7" width="17.875" style="340" bestFit="1" customWidth="1"/>
    <col min="8" max="8" width="15" style="340" customWidth="1"/>
    <col min="9" max="9" width="15.75" style="340" bestFit="1" customWidth="1"/>
    <col min="10" max="10" width="13.75" style="340" bestFit="1" customWidth="1"/>
    <col min="11" max="11" width="13.375" style="340" bestFit="1" customWidth="1"/>
    <col min="12" max="12" width="13.5" style="340" customWidth="1"/>
    <col min="13" max="14" width="9" style="340"/>
    <col min="15" max="15" width="10.75" style="340" bestFit="1" customWidth="1"/>
    <col min="16" max="16384" width="9" style="340"/>
  </cols>
  <sheetData>
    <row r="2" spans="2:12" ht="15">
      <c r="B2" s="339" t="s">
        <v>468</v>
      </c>
    </row>
    <row r="3" spans="2:12">
      <c r="B3" s="340" t="s">
        <v>469</v>
      </c>
    </row>
    <row r="5" spans="2:12">
      <c r="C5" s="341" t="s">
        <v>470</v>
      </c>
      <c r="D5" s="342" t="s">
        <v>471</v>
      </c>
      <c r="E5" s="342"/>
      <c r="F5" s="342"/>
    </row>
    <row r="6" spans="2:12">
      <c r="C6" s="341" t="s">
        <v>472</v>
      </c>
      <c r="D6" s="342">
        <v>2016</v>
      </c>
      <c r="E6" s="342"/>
      <c r="F6" s="342"/>
    </row>
    <row r="7" spans="2:12">
      <c r="C7" s="341" t="s">
        <v>473</v>
      </c>
      <c r="D7" s="374"/>
      <c r="E7" s="374"/>
      <c r="F7" s="374"/>
    </row>
    <row r="9" spans="2:12">
      <c r="B9" s="343" t="s">
        <v>474</v>
      </c>
      <c r="C9" s="343" t="s">
        <v>475</v>
      </c>
      <c r="D9" s="343" t="s">
        <v>476</v>
      </c>
      <c r="E9" s="343" t="s">
        <v>477</v>
      </c>
      <c r="F9" s="343" t="s">
        <v>478</v>
      </c>
      <c r="G9" s="343" t="s">
        <v>479</v>
      </c>
      <c r="H9" s="343" t="s">
        <v>480</v>
      </c>
      <c r="I9" s="343" t="s">
        <v>481</v>
      </c>
      <c r="J9" s="343" t="s">
        <v>482</v>
      </c>
      <c r="K9" s="343" t="s">
        <v>483</v>
      </c>
      <c r="L9" s="343" t="s">
        <v>484</v>
      </c>
    </row>
    <row r="10" spans="2:12">
      <c r="B10" s="344"/>
      <c r="C10" s="345"/>
      <c r="D10" s="345"/>
      <c r="E10" s="345"/>
      <c r="F10" s="345"/>
      <c r="G10" s="346" t="s">
        <v>173</v>
      </c>
      <c r="H10" s="345"/>
      <c r="I10" s="345"/>
      <c r="J10" s="345"/>
      <c r="K10" s="345"/>
      <c r="L10" s="347"/>
    </row>
    <row r="11" spans="2:12">
      <c r="B11" s="348"/>
      <c r="C11" s="349"/>
      <c r="D11" s="349"/>
      <c r="E11" s="349"/>
      <c r="F11" s="350" t="s">
        <v>95</v>
      </c>
      <c r="G11" s="350" t="s">
        <v>397</v>
      </c>
      <c r="H11" s="350" t="s">
        <v>173</v>
      </c>
      <c r="I11" s="350" t="s">
        <v>47</v>
      </c>
      <c r="J11" s="350" t="s">
        <v>485</v>
      </c>
      <c r="K11" s="350" t="s">
        <v>47</v>
      </c>
      <c r="L11" s="351"/>
    </row>
    <row r="12" spans="2:12">
      <c r="B12" s="348"/>
      <c r="C12" s="349"/>
      <c r="D12" s="350" t="s">
        <v>486</v>
      </c>
      <c r="E12" s="350" t="s">
        <v>173</v>
      </c>
      <c r="F12" s="350" t="s">
        <v>487</v>
      </c>
      <c r="G12" s="350" t="s">
        <v>488</v>
      </c>
      <c r="H12" s="350" t="s">
        <v>487</v>
      </c>
      <c r="I12" s="350" t="s">
        <v>48</v>
      </c>
      <c r="J12" s="350" t="s">
        <v>50</v>
      </c>
      <c r="K12" s="350" t="s">
        <v>48</v>
      </c>
      <c r="L12" s="352" t="s">
        <v>71</v>
      </c>
    </row>
    <row r="13" spans="2:12">
      <c r="B13" s="353" t="s">
        <v>294</v>
      </c>
      <c r="C13" s="350" t="s">
        <v>101</v>
      </c>
      <c r="D13" s="350" t="s">
        <v>101</v>
      </c>
      <c r="E13" s="350" t="s">
        <v>397</v>
      </c>
      <c r="F13" s="350" t="s">
        <v>97</v>
      </c>
      <c r="G13" s="350" t="s">
        <v>489</v>
      </c>
      <c r="H13" s="350" t="s">
        <v>97</v>
      </c>
      <c r="I13" s="350" t="s">
        <v>103</v>
      </c>
      <c r="J13" s="350" t="s">
        <v>490</v>
      </c>
      <c r="K13" s="350" t="s">
        <v>50</v>
      </c>
      <c r="L13" s="352" t="s">
        <v>47</v>
      </c>
    </row>
    <row r="14" spans="2:12" ht="16.5">
      <c r="B14" s="354" t="s">
        <v>298</v>
      </c>
      <c r="C14" s="355" t="s">
        <v>491</v>
      </c>
      <c r="D14" s="355" t="s">
        <v>492</v>
      </c>
      <c r="E14" s="355" t="s">
        <v>488</v>
      </c>
      <c r="F14" s="355" t="s">
        <v>510</v>
      </c>
      <c r="G14" s="355" t="s">
        <v>511</v>
      </c>
      <c r="H14" s="355" t="s">
        <v>510</v>
      </c>
      <c r="I14" s="355" t="s">
        <v>493</v>
      </c>
      <c r="J14" s="355" t="s">
        <v>493</v>
      </c>
      <c r="K14" s="355" t="s">
        <v>493</v>
      </c>
      <c r="L14" s="356" t="s">
        <v>48</v>
      </c>
    </row>
    <row r="15" spans="2:12" s="330" customFormat="1" ht="12.75">
      <c r="B15" s="331"/>
      <c r="C15" s="332"/>
      <c r="D15" s="332"/>
      <c r="E15" s="332"/>
      <c r="F15" s="334" t="s">
        <v>95</v>
      </c>
      <c r="G15" s="334" t="s">
        <v>494</v>
      </c>
      <c r="H15" s="334" t="s">
        <v>173</v>
      </c>
      <c r="I15" s="332"/>
      <c r="J15" s="332"/>
      <c r="K15" s="332"/>
      <c r="L15" s="333"/>
    </row>
    <row r="16" spans="2:12" s="330" customFormat="1" ht="12.75">
      <c r="B16" s="331"/>
      <c r="C16" s="332"/>
      <c r="D16" s="332"/>
      <c r="E16" s="332"/>
      <c r="F16" s="334" t="s">
        <v>397</v>
      </c>
      <c r="G16" s="334" t="s">
        <v>495</v>
      </c>
      <c r="H16" s="334" t="s">
        <v>397</v>
      </c>
      <c r="I16" s="332"/>
      <c r="J16" s="334" t="s">
        <v>496</v>
      </c>
      <c r="K16" s="334" t="s">
        <v>497</v>
      </c>
      <c r="L16" s="333"/>
    </row>
    <row r="17" spans="2:15" s="330" customFormat="1">
      <c r="B17" s="335"/>
      <c r="C17" s="336"/>
      <c r="D17" s="336"/>
      <c r="E17" s="336"/>
      <c r="F17" s="337" t="s">
        <v>513</v>
      </c>
      <c r="G17" s="337" t="s">
        <v>514</v>
      </c>
      <c r="H17" s="337" t="s">
        <v>513</v>
      </c>
      <c r="I17" s="337" t="s">
        <v>498</v>
      </c>
      <c r="J17" s="337" t="s">
        <v>499</v>
      </c>
      <c r="K17" s="337" t="s">
        <v>515</v>
      </c>
      <c r="L17" s="338" t="s">
        <v>500</v>
      </c>
    </row>
    <row r="18" spans="2:15" ht="3.75" customHeight="1">
      <c r="B18" s="344"/>
      <c r="C18" s="345"/>
      <c r="D18" s="345"/>
      <c r="E18" s="632"/>
      <c r="F18" s="345"/>
      <c r="G18" s="345"/>
      <c r="H18" s="345"/>
      <c r="I18" s="345"/>
      <c r="J18" s="345"/>
      <c r="K18" s="345"/>
      <c r="L18" s="347"/>
    </row>
    <row r="19" spans="2:15" ht="32.25" customHeight="1">
      <c r="B19" s="358">
        <v>1</v>
      </c>
      <c r="C19" s="702" t="s">
        <v>512</v>
      </c>
      <c r="D19" s="702"/>
      <c r="E19" s="372">
        <f>61507459.47-3449666</f>
        <v>58057793.469999999</v>
      </c>
      <c r="F19" s="349"/>
      <c r="G19" s="349"/>
      <c r="H19" s="349"/>
      <c r="I19" s="349"/>
      <c r="J19" s="349"/>
      <c r="K19" s="349"/>
      <c r="L19" s="351"/>
      <c r="O19" s="534"/>
    </row>
    <row r="20" spans="2:15" ht="19.5" customHeight="1">
      <c r="B20" s="353"/>
      <c r="C20" s="349"/>
      <c r="D20" s="349"/>
      <c r="E20" s="349"/>
      <c r="F20" s="633" t="s">
        <v>623</v>
      </c>
      <c r="G20" s="349"/>
      <c r="H20" s="633" t="s">
        <v>623</v>
      </c>
      <c r="I20" s="349"/>
      <c r="J20" s="349"/>
      <c r="K20" s="349"/>
      <c r="L20" s="351"/>
      <c r="O20" s="534"/>
    </row>
    <row r="21" spans="2:15">
      <c r="B21" s="353" t="s">
        <v>501</v>
      </c>
      <c r="C21" s="349" t="s">
        <v>502</v>
      </c>
      <c r="D21" s="349"/>
      <c r="E21" s="359"/>
      <c r="F21" s="373">
        <f>J38</f>
        <v>62012334.036534242</v>
      </c>
      <c r="G21" s="359">
        <f>IF(F21=0,0,ROUND($E$19*(F21/$F$24),2))</f>
        <v>58057793.469999999</v>
      </c>
      <c r="H21" s="509">
        <f>J42</f>
        <v>60651852.876020685</v>
      </c>
      <c r="I21" s="360">
        <f>+H21-G21</f>
        <v>2594059.406020686</v>
      </c>
      <c r="J21" s="361">
        <f>IF(I21&gt;0,$J$28,$J$29)</f>
        <v>6.8128701004864295E-4</v>
      </c>
      <c r="K21" s="360">
        <f>ROUND((I21*J21)*24,0)</f>
        <v>42415</v>
      </c>
      <c r="L21" s="362">
        <f>+I21+K21</f>
        <v>2636474.406020686</v>
      </c>
      <c r="N21" s="505"/>
      <c r="O21" s="535">
        <f>F21-H21</f>
        <v>1360481.1605135575</v>
      </c>
    </row>
    <row r="22" spans="2:15">
      <c r="B22" s="365"/>
      <c r="C22" s="366"/>
      <c r="D22" s="366"/>
      <c r="E22" s="367"/>
      <c r="F22" s="368"/>
      <c r="G22" s="367"/>
      <c r="H22" s="368"/>
      <c r="I22" s="369"/>
      <c r="J22" s="370"/>
      <c r="K22" s="369"/>
      <c r="L22" s="371"/>
      <c r="O22" s="535">
        <f>G21-F21</f>
        <v>-3954540.5665342435</v>
      </c>
    </row>
    <row r="23" spans="2:15">
      <c r="B23" s="354"/>
      <c r="C23" s="357"/>
      <c r="D23" s="357"/>
      <c r="E23" s="357"/>
      <c r="F23" s="357"/>
      <c r="G23" s="357"/>
      <c r="H23" s="357"/>
      <c r="I23" s="357"/>
      <c r="J23" s="357"/>
      <c r="K23" s="357"/>
      <c r="L23" s="363"/>
      <c r="O23" s="535">
        <f>O21+O22</f>
        <v>-2594059.406020686</v>
      </c>
    </row>
    <row r="24" spans="2:15">
      <c r="B24" s="343">
        <v>3</v>
      </c>
      <c r="C24" s="340" t="s">
        <v>503</v>
      </c>
      <c r="E24" s="364"/>
      <c r="F24" s="364">
        <f>SUM(F21:F23)</f>
        <v>62012334.036534242</v>
      </c>
      <c r="G24" s="364">
        <f>SUM(G21:G23)</f>
        <v>58057793.469999999</v>
      </c>
      <c r="H24" s="364">
        <f>SUM(H21:H23)</f>
        <v>60651852.876020685</v>
      </c>
      <c r="I24" s="364"/>
      <c r="M24" s="364"/>
      <c r="N24" s="364"/>
    </row>
    <row r="25" spans="2:15">
      <c r="B25" s="343"/>
    </row>
    <row r="26" spans="2:15">
      <c r="B26" s="343">
        <v>4</v>
      </c>
      <c r="C26" s="340" t="s">
        <v>504</v>
      </c>
      <c r="I26" s="364">
        <f>SUM(I21:I23)</f>
        <v>2594059.406020686</v>
      </c>
      <c r="K26" s="364">
        <f>SUM(K21:K23)</f>
        <v>42415</v>
      </c>
      <c r="L26" s="364">
        <f>SUM(L21:L23)</f>
        <v>2636474.406020686</v>
      </c>
    </row>
    <row r="27" spans="2:15">
      <c r="B27" s="343"/>
    </row>
    <row r="28" spans="2:15">
      <c r="B28" s="343">
        <v>5</v>
      </c>
      <c r="C28" s="340" t="s">
        <v>505</v>
      </c>
      <c r="J28" s="536">
        <f>'Interest Under Collect '!C33/12</f>
        <v>6.8128701004864295E-4</v>
      </c>
    </row>
    <row r="29" spans="2:15">
      <c r="B29" s="343">
        <v>6</v>
      </c>
      <c r="C29" s="340" t="s">
        <v>506</v>
      </c>
      <c r="J29" s="537">
        <f>'Interest Over Collect'!C35/12</f>
        <v>2.921E-3</v>
      </c>
    </row>
    <row r="30" spans="2:15">
      <c r="B30" s="343"/>
    </row>
    <row r="31" spans="2:15">
      <c r="B31" s="639" t="s">
        <v>507</v>
      </c>
      <c r="C31" s="640" t="s">
        <v>508</v>
      </c>
      <c r="D31" s="640"/>
      <c r="E31" s="640"/>
      <c r="F31" s="640"/>
      <c r="G31" s="640"/>
      <c r="H31" s="640"/>
      <c r="I31" s="638"/>
      <c r="K31" s="638"/>
      <c r="L31" s="638"/>
    </row>
    <row r="32" spans="2:15">
      <c r="B32" s="639" t="s">
        <v>385</v>
      </c>
      <c r="C32" s="640" t="s">
        <v>509</v>
      </c>
      <c r="D32" s="640"/>
      <c r="E32" s="640"/>
      <c r="F32" s="640"/>
      <c r="G32" s="640"/>
      <c r="H32" s="640"/>
      <c r="I32" s="638"/>
      <c r="K32" s="638"/>
      <c r="L32" s="638"/>
    </row>
    <row r="34" spans="3:10">
      <c r="H34" s="623" t="s">
        <v>662</v>
      </c>
      <c r="I34" s="623" t="s">
        <v>663</v>
      </c>
    </row>
    <row r="35" spans="3:10" ht="15" thickBot="1"/>
    <row r="36" spans="3:10">
      <c r="C36" s="624"/>
      <c r="D36" s="625"/>
      <c r="E36" s="626" t="s">
        <v>661</v>
      </c>
      <c r="F36" s="627"/>
      <c r="G36" s="634" t="s">
        <v>95</v>
      </c>
      <c r="H36" s="635">
        <f>'Att MM at 12.38'!T95</f>
        <v>63048318.804947674</v>
      </c>
      <c r="I36" s="635">
        <f>'Att MM at 10.82'!T95</f>
        <v>58256529.86686518</v>
      </c>
      <c r="J36" s="635"/>
    </row>
    <row r="37" spans="3:10">
      <c r="C37" s="628"/>
      <c r="D37" s="349"/>
      <c r="E37" s="564" t="s">
        <v>614</v>
      </c>
      <c r="F37" s="619"/>
      <c r="G37" s="634" t="s">
        <v>664</v>
      </c>
      <c r="H37" s="636">
        <f>F46</f>
        <v>0.78380000000000005</v>
      </c>
      <c r="I37" s="636">
        <f>F50</f>
        <v>0.2162</v>
      </c>
      <c r="J37" s="635"/>
    </row>
    <row r="38" spans="3:10">
      <c r="C38" s="628"/>
      <c r="D38" s="629" t="s">
        <v>615</v>
      </c>
      <c r="E38" s="565">
        <v>5890351.5299999993</v>
      </c>
      <c r="F38" s="620"/>
      <c r="H38" s="637">
        <f>H36*H37</f>
        <v>49417272.27931799</v>
      </c>
      <c r="I38" s="637">
        <f>I36*I37</f>
        <v>12595061.757216252</v>
      </c>
      <c r="J38" s="505">
        <f>H38+I38</f>
        <v>62012334.036534242</v>
      </c>
    </row>
    <row r="39" spans="3:10">
      <c r="C39" s="628"/>
      <c r="D39" s="629" t="s">
        <v>525</v>
      </c>
      <c r="E39" s="565">
        <v>5459633.870000001</v>
      </c>
      <c r="F39" s="620"/>
    </row>
    <row r="40" spans="3:10">
      <c r="C40" s="628"/>
      <c r="D40" s="629" t="s">
        <v>616</v>
      </c>
      <c r="E40" s="565">
        <v>5261020.78</v>
      </c>
      <c r="F40" s="620"/>
      <c r="G40" s="634" t="s">
        <v>173</v>
      </c>
      <c r="H40" s="635">
        <f>'Att MM at 12.38'!P89</f>
        <v>61660197.208775207</v>
      </c>
      <c r="I40" s="635">
        <f>'Att MM at 10.82'!P89</f>
        <v>56996254.874110423</v>
      </c>
    </row>
    <row r="41" spans="3:10">
      <c r="C41" s="628"/>
      <c r="D41" s="629" t="s">
        <v>527</v>
      </c>
      <c r="E41" s="565">
        <v>4648722.2299999995</v>
      </c>
      <c r="F41" s="620"/>
      <c r="G41" s="634" t="s">
        <v>664</v>
      </c>
      <c r="H41" s="636">
        <f>F46</f>
        <v>0.78380000000000005</v>
      </c>
      <c r="I41" s="636">
        <f>F50</f>
        <v>0.2162</v>
      </c>
    </row>
    <row r="42" spans="3:10">
      <c r="C42" s="628"/>
      <c r="D42" s="629" t="s">
        <v>59</v>
      </c>
      <c r="E42" s="565">
        <v>4934208.59</v>
      </c>
      <c r="F42" s="620"/>
      <c r="H42" s="637">
        <f>H40*H41</f>
        <v>48329262.572238013</v>
      </c>
      <c r="I42" s="637">
        <f>I40*I41</f>
        <v>12322590.303782674</v>
      </c>
      <c r="J42" s="505">
        <f>H42+I42</f>
        <v>60651852.876020685</v>
      </c>
    </row>
    <row r="43" spans="3:10">
      <c r="C43" s="628"/>
      <c r="D43" s="629" t="s">
        <v>528</v>
      </c>
      <c r="E43" s="565">
        <v>5355854.6199999982</v>
      </c>
      <c r="F43" s="620"/>
    </row>
    <row r="44" spans="3:10">
      <c r="C44" s="628"/>
      <c r="D44" s="629" t="s">
        <v>529</v>
      </c>
      <c r="E44" s="565">
        <v>6008403.1600000001</v>
      </c>
      <c r="F44" s="620"/>
    </row>
    <row r="45" spans="3:10">
      <c r="C45" s="628"/>
      <c r="D45" s="629" t="s">
        <v>617</v>
      </c>
      <c r="E45" s="565">
        <v>5782409.6300000008</v>
      </c>
      <c r="F45" s="620"/>
    </row>
    <row r="46" spans="3:10">
      <c r="C46" s="628"/>
      <c r="D46" s="629" t="s">
        <v>618</v>
      </c>
      <c r="E46" s="565">
        <v>5411471.0300000003</v>
      </c>
      <c r="F46" s="621">
        <f>ROUND(((E38+E39+E40+E41+E42+E43+E44+E45)+(E46/30*27))/E51,4)</f>
        <v>0.78380000000000005</v>
      </c>
    </row>
    <row r="47" spans="3:10">
      <c r="C47" s="628"/>
      <c r="D47" s="629" t="s">
        <v>619</v>
      </c>
      <c r="E47" s="566">
        <f>E46</f>
        <v>5411471.0300000003</v>
      </c>
      <c r="F47" s="620"/>
    </row>
    <row r="48" spans="3:10">
      <c r="C48" s="628"/>
      <c r="D48" s="629" t="s">
        <v>532</v>
      </c>
      <c r="E48" s="565">
        <v>4484329.13</v>
      </c>
      <c r="F48" s="620"/>
    </row>
    <row r="49" spans="3:6">
      <c r="C49" s="628"/>
      <c r="D49" s="629" t="s">
        <v>533</v>
      </c>
      <c r="E49" s="565">
        <v>4447049.7599999988</v>
      </c>
      <c r="F49" s="620"/>
    </row>
    <row r="50" spans="3:6">
      <c r="C50" s="628"/>
      <c r="D50" s="629" t="s">
        <v>620</v>
      </c>
      <c r="E50" s="565">
        <v>3824005.14</v>
      </c>
      <c r="F50" s="621">
        <f>ROUND((((E48+E49+E50)+(E47/30*3))/E51),4)</f>
        <v>0.2162</v>
      </c>
    </row>
    <row r="51" spans="3:6" ht="15" thickBot="1">
      <c r="C51" s="630"/>
      <c r="D51" s="631"/>
      <c r="E51" s="567">
        <f>SUM(E38:E50)-E47</f>
        <v>61507459.470000006</v>
      </c>
      <c r="F51" s="622">
        <f>SUM(F38:F50)</f>
        <v>1</v>
      </c>
    </row>
  </sheetData>
  <mergeCells count="1">
    <mergeCell ref="C19:D19"/>
  </mergeCells>
  <phoneticPr fontId="19" type="noConversion"/>
  <pageMargins left="0.75" right="0.75" top="1" bottom="1" header="0.5" footer="0.5"/>
  <pageSetup scale="64"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FF"/>
  </sheetPr>
  <dimension ref="A1:BQ304"/>
  <sheetViews>
    <sheetView showGridLines="0" topLeftCell="H48" zoomScale="80" zoomScaleNormal="80" workbookViewId="0">
      <selection activeCell="T95" sqref="T95"/>
    </sheetView>
  </sheetViews>
  <sheetFormatPr defaultRowHeight="12.75"/>
  <cols>
    <col min="1" max="1" width="6.75" style="287" customWidth="1"/>
    <col min="2" max="2" width="1.625" style="287" customWidth="1"/>
    <col min="3" max="3" width="26.375" style="287" customWidth="1"/>
    <col min="4" max="4" width="11.5" style="287" customWidth="1"/>
    <col min="5" max="5" width="15.25" style="287" bestFit="1" customWidth="1"/>
    <col min="6" max="6" width="14.5" style="287" customWidth="1"/>
    <col min="7" max="7" width="15.25" style="287" customWidth="1"/>
    <col min="8" max="8" width="16.25" style="287" customWidth="1"/>
    <col min="9" max="9" width="13.875" style="287" customWidth="1"/>
    <col min="10" max="10" width="17.375" style="287" customWidth="1"/>
    <col min="11" max="11" width="13.75" style="287" customWidth="1"/>
    <col min="12" max="12" width="17.125" style="287" bestFit="1" customWidth="1"/>
    <col min="13" max="13" width="14.25" style="287" customWidth="1"/>
    <col min="14" max="14" width="14.375" style="287" customWidth="1"/>
    <col min="15" max="15" width="14" style="287" customWidth="1"/>
    <col min="16" max="16" width="18" style="287" customWidth="1"/>
    <col min="17" max="17" width="13.875" style="287" customWidth="1"/>
    <col min="18" max="18" width="15.625" style="287" customWidth="1"/>
    <col min="19" max="19" width="2.125" style="287" customWidth="1"/>
    <col min="20" max="20" width="15.25" style="287" customWidth="1"/>
    <col min="21" max="16384" width="9" style="287"/>
  </cols>
  <sheetData>
    <row r="1" spans="1:69">
      <c r="R1" s="288"/>
    </row>
    <row r="2" spans="1:69">
      <c r="R2" s="288"/>
    </row>
    <row r="4" spans="1:69">
      <c r="R4" s="288" t="s">
        <v>397</v>
      </c>
    </row>
    <row r="5" spans="1:69" ht="15">
      <c r="C5" s="222" t="s">
        <v>282</v>
      </c>
      <c r="D5" s="222"/>
      <c r="E5" s="222"/>
      <c r="F5" s="222"/>
      <c r="G5" s="222"/>
      <c r="H5" s="222"/>
      <c r="I5" s="222"/>
      <c r="J5" s="223" t="s">
        <v>283</v>
      </c>
      <c r="K5" s="223"/>
      <c r="L5" s="222"/>
      <c r="M5" s="222"/>
      <c r="N5" s="222"/>
      <c r="O5" s="224"/>
      <c r="Q5" s="225"/>
      <c r="R5" s="226" t="s">
        <v>641</v>
      </c>
      <c r="S5" s="225"/>
      <c r="T5" s="289"/>
      <c r="U5" s="289"/>
      <c r="V5" s="225"/>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row>
    <row r="6" spans="1:69" ht="15">
      <c r="C6" s="222"/>
      <c r="D6" s="222"/>
      <c r="E6" s="222"/>
      <c r="F6" s="222"/>
      <c r="G6" s="222"/>
      <c r="H6" s="228" t="s">
        <v>284</v>
      </c>
      <c r="I6" s="228"/>
      <c r="J6" s="228" t="s">
        <v>285</v>
      </c>
      <c r="K6" s="228"/>
      <c r="L6" s="228"/>
      <c r="M6" s="228"/>
      <c r="N6" s="228"/>
      <c r="O6" s="224"/>
      <c r="Q6" s="225"/>
      <c r="R6" s="224"/>
      <c r="S6" s="225"/>
      <c r="T6" s="290"/>
      <c r="U6" s="289"/>
      <c r="V6" s="225"/>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3"/>
      <c r="BA6" s="253"/>
      <c r="BB6" s="253"/>
      <c r="BC6" s="253"/>
      <c r="BD6" s="253"/>
      <c r="BE6" s="253"/>
      <c r="BF6" s="253"/>
      <c r="BG6" s="253"/>
      <c r="BH6" s="253"/>
      <c r="BI6" s="253"/>
      <c r="BJ6" s="253"/>
      <c r="BK6" s="253"/>
      <c r="BL6" s="253"/>
      <c r="BM6" s="253"/>
      <c r="BN6" s="253"/>
      <c r="BO6" s="253"/>
      <c r="BP6" s="253"/>
      <c r="BQ6" s="253"/>
    </row>
    <row r="7" spans="1:69" ht="15">
      <c r="C7" s="225"/>
      <c r="D7" s="225"/>
      <c r="E7" s="225"/>
      <c r="F7" s="225"/>
      <c r="G7" s="225"/>
      <c r="H7" s="225"/>
      <c r="I7" s="225"/>
      <c r="J7" s="225"/>
      <c r="K7" s="225"/>
      <c r="L7" s="225"/>
      <c r="M7" s="225"/>
      <c r="N7" s="225"/>
      <c r="O7" s="225"/>
      <c r="Q7" s="225"/>
      <c r="R7" s="225" t="s">
        <v>286</v>
      </c>
      <c r="S7" s="225"/>
      <c r="T7" s="289"/>
      <c r="U7" s="289"/>
      <c r="V7" s="225"/>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53"/>
      <c r="BB7" s="253"/>
      <c r="BC7" s="253"/>
      <c r="BD7" s="253"/>
      <c r="BE7" s="253"/>
      <c r="BF7" s="253"/>
      <c r="BG7" s="253"/>
      <c r="BH7" s="253"/>
      <c r="BI7" s="253"/>
      <c r="BJ7" s="253"/>
      <c r="BK7" s="253"/>
      <c r="BL7" s="253"/>
      <c r="BM7" s="253"/>
      <c r="BN7" s="253"/>
      <c r="BO7" s="253"/>
      <c r="BP7" s="253"/>
      <c r="BQ7" s="253"/>
    </row>
    <row r="8" spans="1:69" ht="15">
      <c r="A8" s="291"/>
      <c r="C8" s="225"/>
      <c r="D8" s="225"/>
      <c r="E8" s="225"/>
      <c r="F8" s="225"/>
      <c r="G8" s="225"/>
      <c r="H8" s="225"/>
      <c r="I8" s="230"/>
      <c r="J8" s="230" t="s">
        <v>660</v>
      </c>
      <c r="K8" s="230"/>
      <c r="L8" s="225"/>
      <c r="M8" s="225"/>
      <c r="N8" s="225"/>
      <c r="O8" s="225"/>
      <c r="P8" s="225"/>
      <c r="Q8" s="225"/>
      <c r="R8" s="225"/>
      <c r="S8" s="225"/>
      <c r="T8" s="289"/>
      <c r="U8" s="289"/>
      <c r="V8" s="225"/>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3"/>
      <c r="AY8" s="253"/>
      <c r="AZ8" s="253"/>
      <c r="BA8" s="253"/>
      <c r="BB8" s="253"/>
      <c r="BC8" s="253"/>
      <c r="BD8" s="253"/>
      <c r="BE8" s="253"/>
      <c r="BF8" s="253"/>
      <c r="BG8" s="253"/>
      <c r="BH8" s="253"/>
      <c r="BI8" s="253"/>
      <c r="BJ8" s="253"/>
      <c r="BK8" s="253"/>
      <c r="BL8" s="253"/>
      <c r="BM8" s="253"/>
      <c r="BN8" s="253"/>
      <c r="BO8" s="253"/>
      <c r="BP8" s="253"/>
      <c r="BQ8" s="253"/>
    </row>
    <row r="9" spans="1:69" ht="15">
      <c r="A9" s="291"/>
      <c r="C9" s="225"/>
      <c r="D9" s="225"/>
      <c r="E9" s="225"/>
      <c r="F9" s="225"/>
      <c r="G9" s="225"/>
      <c r="H9" s="225"/>
      <c r="I9" s="225"/>
      <c r="J9" s="231"/>
      <c r="K9" s="231"/>
      <c r="L9" s="225"/>
      <c r="M9" s="225"/>
      <c r="N9" s="225"/>
      <c r="O9" s="225"/>
      <c r="P9" s="225"/>
      <c r="Q9" s="225"/>
      <c r="R9" s="225"/>
      <c r="S9" s="225"/>
      <c r="T9" s="289"/>
      <c r="U9" s="289"/>
      <c r="V9" s="225"/>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253"/>
      <c r="BH9" s="253"/>
      <c r="BI9" s="253"/>
      <c r="BJ9" s="253"/>
      <c r="BK9" s="253"/>
      <c r="BL9" s="253"/>
      <c r="BM9" s="253"/>
      <c r="BN9" s="253"/>
      <c r="BO9" s="253"/>
      <c r="BP9" s="253"/>
      <c r="BQ9" s="253"/>
    </row>
    <row r="10" spans="1:69" ht="15">
      <c r="A10" s="291"/>
      <c r="C10" s="225" t="s">
        <v>288</v>
      </c>
      <c r="D10" s="225"/>
      <c r="E10" s="225"/>
      <c r="F10" s="225"/>
      <c r="G10" s="225"/>
      <c r="H10" s="225"/>
      <c r="I10" s="225"/>
      <c r="J10" s="231"/>
      <c r="K10" s="231"/>
      <c r="L10" s="225"/>
      <c r="M10" s="225"/>
      <c r="N10" s="225"/>
      <c r="O10" s="225"/>
      <c r="P10" s="225"/>
      <c r="Q10" s="225"/>
      <c r="R10" s="225"/>
      <c r="S10" s="225"/>
      <c r="T10" s="289"/>
      <c r="U10" s="289"/>
      <c r="V10" s="225"/>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253"/>
      <c r="BK10" s="253"/>
      <c r="BL10" s="253"/>
      <c r="BM10" s="253"/>
      <c r="BN10" s="253"/>
      <c r="BO10" s="253"/>
      <c r="BP10" s="253"/>
      <c r="BQ10" s="253"/>
    </row>
    <row r="11" spans="1:69" ht="15">
      <c r="A11" s="291"/>
      <c r="C11" s="225" t="s">
        <v>398</v>
      </c>
      <c r="D11" s="225"/>
      <c r="E11" s="225"/>
      <c r="F11" s="225"/>
      <c r="G11" s="225"/>
      <c r="H11" s="225"/>
      <c r="I11" s="225"/>
      <c r="J11" s="231"/>
      <c r="K11" s="231"/>
      <c r="P11" s="225"/>
      <c r="Q11" s="225"/>
      <c r="R11" s="225"/>
      <c r="S11" s="225"/>
      <c r="T11" s="225"/>
      <c r="U11" s="225"/>
      <c r="V11" s="225"/>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253"/>
      <c r="BK11" s="253"/>
      <c r="BL11" s="253"/>
      <c r="BM11" s="253"/>
      <c r="BN11" s="253"/>
      <c r="BO11" s="253"/>
      <c r="BP11" s="253"/>
      <c r="BQ11" s="253"/>
    </row>
    <row r="12" spans="1:69" ht="15">
      <c r="A12" s="291"/>
      <c r="C12" s="225"/>
      <c r="D12" s="225"/>
      <c r="E12" s="225"/>
      <c r="F12" s="225"/>
      <c r="G12" s="225"/>
      <c r="H12" s="225"/>
      <c r="I12" s="225"/>
      <c r="J12" s="225"/>
      <c r="K12" s="225"/>
      <c r="P12" s="232"/>
      <c r="Q12" s="225"/>
      <c r="R12" s="225"/>
      <c r="S12" s="225"/>
      <c r="T12" s="225"/>
      <c r="U12" s="225"/>
      <c r="V12" s="225"/>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253"/>
      <c r="BK12" s="253"/>
      <c r="BL12" s="253"/>
      <c r="BM12" s="253"/>
      <c r="BN12" s="253"/>
      <c r="BO12" s="253"/>
      <c r="BP12" s="253"/>
      <c r="BQ12" s="253"/>
    </row>
    <row r="13" spans="1:69" ht="15">
      <c r="C13" s="233" t="s">
        <v>289</v>
      </c>
      <c r="D13" s="233"/>
      <c r="E13" s="233"/>
      <c r="F13" s="233"/>
      <c r="G13" s="233"/>
      <c r="H13" s="233" t="s">
        <v>290</v>
      </c>
      <c r="I13" s="233"/>
      <c r="J13" s="233" t="s">
        <v>291</v>
      </c>
      <c r="K13" s="233"/>
      <c r="L13" s="234" t="s">
        <v>292</v>
      </c>
      <c r="Q13" s="228"/>
      <c r="R13" s="234"/>
      <c r="S13" s="228"/>
      <c r="T13" s="234"/>
      <c r="U13" s="228"/>
      <c r="V13" s="235"/>
      <c r="W13" s="253"/>
      <c r="X13" s="253"/>
      <c r="Y13" s="253"/>
      <c r="Z13" s="253"/>
      <c r="AA13" s="253"/>
      <c r="AB13" s="253"/>
      <c r="AC13" s="253"/>
      <c r="AD13" s="253"/>
      <c r="AE13" s="253"/>
      <c r="AF13" s="253"/>
      <c r="AG13" s="253"/>
      <c r="AH13" s="253"/>
      <c r="AI13" s="253"/>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253"/>
      <c r="BK13" s="253"/>
      <c r="BL13" s="253"/>
      <c r="BM13" s="253"/>
      <c r="BN13" s="253"/>
      <c r="BO13" s="253"/>
      <c r="BP13" s="253"/>
      <c r="BQ13" s="253"/>
    </row>
    <row r="14" spans="1:69" ht="15">
      <c r="C14" s="235"/>
      <c r="D14" s="235"/>
      <c r="E14" s="235"/>
      <c r="F14" s="235"/>
      <c r="G14" s="235"/>
      <c r="H14" s="240" t="s">
        <v>293</v>
      </c>
      <c r="I14" s="240"/>
      <c r="J14" s="228"/>
      <c r="K14" s="228"/>
      <c r="Q14" s="228"/>
      <c r="S14" s="228"/>
      <c r="T14" s="233"/>
      <c r="U14" s="233"/>
      <c r="V14" s="235"/>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3"/>
      <c r="AY14" s="253"/>
      <c r="AZ14" s="253"/>
      <c r="BA14" s="253"/>
      <c r="BB14" s="253"/>
      <c r="BC14" s="253"/>
      <c r="BD14" s="253"/>
      <c r="BE14" s="253"/>
      <c r="BF14" s="253"/>
      <c r="BG14" s="253"/>
      <c r="BH14" s="253"/>
      <c r="BI14" s="253"/>
      <c r="BJ14" s="253"/>
      <c r="BK14" s="253"/>
      <c r="BL14" s="253"/>
      <c r="BM14" s="253"/>
      <c r="BN14" s="253"/>
      <c r="BO14" s="253"/>
      <c r="BP14" s="253"/>
      <c r="BQ14" s="253"/>
    </row>
    <row r="15" spans="1:69" ht="15">
      <c r="A15" s="291" t="s">
        <v>294</v>
      </c>
      <c r="C15" s="235"/>
      <c r="D15" s="235"/>
      <c r="E15" s="235"/>
      <c r="F15" s="235"/>
      <c r="G15" s="235"/>
      <c r="H15" s="245" t="s">
        <v>295</v>
      </c>
      <c r="I15" s="245"/>
      <c r="J15" s="292" t="s">
        <v>296</v>
      </c>
      <c r="K15" s="292"/>
      <c r="L15" s="292" t="s">
        <v>297</v>
      </c>
      <c r="Q15" s="228"/>
      <c r="S15" s="225"/>
      <c r="T15" s="233"/>
      <c r="U15" s="233"/>
      <c r="V15" s="235"/>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c r="AW15" s="253"/>
      <c r="AX15" s="253"/>
      <c r="AY15" s="253"/>
      <c r="AZ15" s="253"/>
      <c r="BA15" s="253"/>
      <c r="BB15" s="253"/>
      <c r="BC15" s="253"/>
      <c r="BD15" s="253"/>
      <c r="BE15" s="253"/>
      <c r="BF15" s="253"/>
      <c r="BG15" s="253"/>
      <c r="BH15" s="253"/>
      <c r="BI15" s="253"/>
      <c r="BJ15" s="253"/>
      <c r="BK15" s="253"/>
      <c r="BL15" s="253"/>
      <c r="BM15" s="253"/>
      <c r="BN15" s="253"/>
      <c r="BO15" s="253"/>
      <c r="BP15" s="253"/>
      <c r="BQ15" s="253"/>
    </row>
    <row r="16" spans="1:69" ht="15">
      <c r="A16" s="291" t="s">
        <v>298</v>
      </c>
      <c r="C16" s="235"/>
      <c r="D16" s="235"/>
      <c r="E16" s="235"/>
      <c r="F16" s="235"/>
      <c r="G16" s="235"/>
      <c r="H16" s="228"/>
      <c r="I16" s="228"/>
      <c r="J16" s="228"/>
      <c r="K16" s="228"/>
      <c r="L16" s="228"/>
      <c r="Q16" s="228"/>
      <c r="R16" s="228"/>
      <c r="S16" s="225"/>
      <c r="T16" s="228"/>
      <c r="U16" s="228"/>
      <c r="V16" s="235"/>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253"/>
      <c r="AZ16" s="253"/>
      <c r="BA16" s="253"/>
      <c r="BB16" s="253"/>
      <c r="BC16" s="253"/>
      <c r="BD16" s="253"/>
      <c r="BE16" s="253"/>
      <c r="BF16" s="253"/>
      <c r="BG16" s="253"/>
      <c r="BH16" s="253"/>
      <c r="BI16" s="253"/>
      <c r="BJ16" s="253"/>
      <c r="BK16" s="253"/>
      <c r="BL16" s="253"/>
      <c r="BM16" s="253"/>
      <c r="BN16" s="253"/>
      <c r="BO16" s="253"/>
      <c r="BP16" s="253"/>
      <c r="BQ16" s="253"/>
    </row>
    <row r="17" spans="1:69" ht="15">
      <c r="A17" s="293"/>
      <c r="C17" s="235"/>
      <c r="D17" s="235"/>
      <c r="E17" s="235"/>
      <c r="F17" s="235"/>
      <c r="G17" s="235"/>
      <c r="H17" s="228"/>
      <c r="I17" s="228"/>
      <c r="J17" s="228"/>
      <c r="K17" s="228"/>
      <c r="L17" s="228"/>
      <c r="Q17" s="228"/>
      <c r="R17" s="228"/>
      <c r="S17" s="225"/>
      <c r="T17" s="228"/>
      <c r="U17" s="228"/>
      <c r="V17" s="235"/>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53"/>
      <c r="AS17" s="253"/>
      <c r="AT17" s="253"/>
      <c r="AU17" s="253"/>
      <c r="AV17" s="253"/>
      <c r="AW17" s="253"/>
      <c r="AX17" s="253"/>
      <c r="AY17" s="253"/>
      <c r="AZ17" s="253"/>
      <c r="BA17" s="253"/>
      <c r="BB17" s="253"/>
      <c r="BC17" s="253"/>
      <c r="BD17" s="253"/>
      <c r="BE17" s="253"/>
      <c r="BF17" s="253"/>
      <c r="BG17" s="253"/>
      <c r="BH17" s="253"/>
      <c r="BI17" s="253"/>
      <c r="BJ17" s="253"/>
      <c r="BK17" s="253"/>
      <c r="BL17" s="253"/>
      <c r="BM17" s="253"/>
      <c r="BN17" s="253"/>
      <c r="BO17" s="253"/>
      <c r="BP17" s="253"/>
      <c r="BQ17" s="253"/>
    </row>
    <row r="18" spans="1:69" ht="15">
      <c r="A18" s="294">
        <v>1</v>
      </c>
      <c r="C18" s="235" t="s">
        <v>299</v>
      </c>
      <c r="D18" s="235"/>
      <c r="E18" s="235"/>
      <c r="F18" s="235"/>
      <c r="G18" s="235"/>
      <c r="H18" s="240" t="s">
        <v>300</v>
      </c>
      <c r="I18" s="240"/>
      <c r="J18" s="275">
        <v>4212677743.4905496</v>
      </c>
      <c r="K18" s="228"/>
      <c r="Q18" s="228"/>
      <c r="R18" s="228"/>
      <c r="S18" s="225"/>
      <c r="T18" s="228"/>
      <c r="U18" s="228"/>
      <c r="V18" s="235"/>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row>
    <row r="19" spans="1:69" ht="15">
      <c r="A19" s="294" t="s">
        <v>363</v>
      </c>
      <c r="C19" s="235" t="s">
        <v>399</v>
      </c>
      <c r="D19" s="235"/>
      <c r="E19" s="235"/>
      <c r="F19" s="235"/>
      <c r="G19" s="235"/>
      <c r="H19" s="240" t="s">
        <v>400</v>
      </c>
      <c r="I19" s="240"/>
      <c r="J19" s="276">
        <v>1015940584.8672376</v>
      </c>
      <c r="K19" s="277"/>
      <c r="Q19" s="228"/>
      <c r="R19" s="228"/>
      <c r="S19" s="225"/>
      <c r="T19" s="228"/>
      <c r="U19" s="228"/>
      <c r="V19" s="235"/>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3"/>
      <c r="AY19" s="253"/>
      <c r="AZ19" s="253"/>
      <c r="BA19" s="253"/>
      <c r="BB19" s="253"/>
      <c r="BC19" s="253"/>
      <c r="BD19" s="253"/>
      <c r="BE19" s="253"/>
      <c r="BF19" s="253"/>
      <c r="BG19" s="253"/>
      <c r="BH19" s="253"/>
      <c r="BI19" s="253"/>
      <c r="BJ19" s="253"/>
      <c r="BK19" s="253"/>
      <c r="BL19" s="253"/>
      <c r="BM19" s="253"/>
      <c r="BN19" s="253"/>
      <c r="BO19" s="253"/>
      <c r="BP19" s="253"/>
      <c r="BQ19" s="253"/>
    </row>
    <row r="20" spans="1:69" ht="15">
      <c r="A20" s="294">
        <v>2</v>
      </c>
      <c r="C20" s="235" t="s">
        <v>301</v>
      </c>
      <c r="D20" s="235"/>
      <c r="E20" s="235"/>
      <c r="F20" s="235"/>
      <c r="G20" s="235"/>
      <c r="H20" s="240" t="s">
        <v>401</v>
      </c>
      <c r="I20" s="240"/>
      <c r="J20" s="269">
        <f>J18-J19</f>
        <v>3196737158.623312</v>
      </c>
      <c r="K20" s="278"/>
      <c r="Q20" s="228"/>
      <c r="R20" s="228"/>
      <c r="S20" s="225"/>
      <c r="T20" s="228"/>
      <c r="U20" s="228"/>
      <c r="V20" s="235"/>
      <c r="W20" s="253"/>
      <c r="X20" s="253"/>
      <c r="Y20" s="253"/>
      <c r="Z20" s="253"/>
      <c r="AA20" s="253"/>
      <c r="AB20" s="253"/>
      <c r="AC20" s="253"/>
      <c r="AD20" s="253"/>
      <c r="AE20" s="253"/>
      <c r="AF20" s="253"/>
      <c r="AG20" s="253"/>
      <c r="AH20" s="253"/>
      <c r="AI20" s="253"/>
      <c r="AJ20" s="253"/>
      <c r="AK20" s="253"/>
      <c r="AL20" s="253"/>
      <c r="AM20" s="253"/>
      <c r="AN20" s="253"/>
      <c r="AO20" s="253"/>
      <c r="AP20" s="253"/>
      <c r="AQ20" s="253"/>
      <c r="AR20" s="253"/>
      <c r="AS20" s="253"/>
      <c r="AT20" s="253"/>
      <c r="AU20" s="253"/>
      <c r="AV20" s="253"/>
      <c r="AW20" s="253"/>
      <c r="AX20" s="253"/>
      <c r="AY20" s="253"/>
      <c r="AZ20" s="253"/>
      <c r="BA20" s="253"/>
      <c r="BB20" s="253"/>
      <c r="BC20" s="253"/>
      <c r="BD20" s="253"/>
      <c r="BE20" s="253"/>
      <c r="BF20" s="253"/>
      <c r="BG20" s="253"/>
      <c r="BH20" s="253"/>
      <c r="BI20" s="253"/>
      <c r="BJ20" s="253"/>
      <c r="BK20" s="253"/>
      <c r="BL20" s="253"/>
      <c r="BM20" s="253"/>
      <c r="BN20" s="253"/>
      <c r="BO20" s="253"/>
      <c r="BP20" s="253"/>
      <c r="BQ20" s="253"/>
    </row>
    <row r="21" spans="1:69" ht="15">
      <c r="A21" s="294"/>
      <c r="H21" s="240"/>
      <c r="I21" s="240"/>
      <c r="Q21" s="228"/>
      <c r="R21" s="228"/>
      <c r="S21" s="225"/>
      <c r="T21" s="228"/>
      <c r="U21" s="228"/>
      <c r="V21" s="235"/>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3"/>
      <c r="AZ21" s="253"/>
      <c r="BA21" s="253"/>
      <c r="BB21" s="253"/>
      <c r="BC21" s="253"/>
      <c r="BD21" s="253"/>
      <c r="BE21" s="253"/>
      <c r="BF21" s="253"/>
      <c r="BG21" s="253"/>
      <c r="BH21" s="253"/>
      <c r="BI21" s="253"/>
      <c r="BJ21" s="253"/>
      <c r="BK21" s="253"/>
      <c r="BL21" s="253"/>
      <c r="BM21" s="253"/>
      <c r="BN21" s="253"/>
      <c r="BO21" s="253"/>
      <c r="BP21" s="253"/>
      <c r="BQ21" s="253"/>
    </row>
    <row r="22" spans="1:69" ht="15">
      <c r="A22" s="294"/>
      <c r="C22" s="235" t="s">
        <v>402</v>
      </c>
      <c r="D22" s="235"/>
      <c r="E22" s="235"/>
      <c r="F22" s="235"/>
      <c r="G22" s="235"/>
      <c r="H22" s="240"/>
      <c r="I22" s="240"/>
      <c r="J22" s="228"/>
      <c r="K22" s="228"/>
      <c r="L22" s="228"/>
      <c r="Q22" s="228"/>
      <c r="R22" s="228"/>
      <c r="S22" s="228"/>
      <c r="T22" s="228"/>
      <c r="U22" s="228"/>
      <c r="V22" s="235"/>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3"/>
      <c r="BA22" s="253"/>
      <c r="BB22" s="253"/>
      <c r="BC22" s="253"/>
      <c r="BD22" s="253"/>
      <c r="BE22" s="253"/>
      <c r="BF22" s="253"/>
      <c r="BG22" s="253"/>
      <c r="BH22" s="253"/>
      <c r="BI22" s="253"/>
      <c r="BJ22" s="253"/>
      <c r="BK22" s="253"/>
      <c r="BL22" s="253"/>
      <c r="BM22" s="253"/>
      <c r="BN22" s="253"/>
      <c r="BO22" s="253"/>
      <c r="BP22" s="253"/>
      <c r="BQ22" s="253"/>
    </row>
    <row r="23" spans="1:69" ht="15">
      <c r="A23" s="294">
        <v>3</v>
      </c>
      <c r="C23" s="235" t="s">
        <v>304</v>
      </c>
      <c r="D23" s="235"/>
      <c r="E23" s="235"/>
      <c r="F23" s="235"/>
      <c r="G23" s="235"/>
      <c r="H23" s="240" t="s">
        <v>305</v>
      </c>
      <c r="I23" s="240"/>
      <c r="J23" s="275">
        <v>72062653.856413111</v>
      </c>
      <c r="K23" s="228"/>
      <c r="Q23" s="228"/>
      <c r="R23" s="228"/>
      <c r="S23" s="228"/>
      <c r="T23" s="228"/>
      <c r="U23" s="228"/>
      <c r="V23" s="235"/>
      <c r="W23" s="253"/>
      <c r="X23" s="253"/>
      <c r="Y23" s="253"/>
      <c r="Z23" s="253"/>
      <c r="AA23" s="253"/>
      <c r="AB23" s="253"/>
      <c r="AC23" s="253"/>
      <c r="AD23" s="253"/>
      <c r="AE23" s="253"/>
      <c r="AF23" s="253"/>
      <c r="AG23" s="253"/>
      <c r="AH23" s="253"/>
      <c r="AI23" s="253"/>
      <c r="AJ23" s="253"/>
      <c r="AK23" s="253"/>
      <c r="AL23" s="253"/>
      <c r="AM23" s="253"/>
      <c r="AN23" s="253"/>
      <c r="AO23" s="253"/>
      <c r="AP23" s="253"/>
      <c r="AQ23" s="253"/>
      <c r="AR23" s="253"/>
      <c r="AS23" s="253"/>
      <c r="AT23" s="253"/>
      <c r="AU23" s="253"/>
      <c r="AV23" s="253"/>
      <c r="AW23" s="253"/>
      <c r="AX23" s="253"/>
      <c r="AY23" s="253"/>
      <c r="AZ23" s="253"/>
      <c r="BA23" s="253"/>
      <c r="BB23" s="253"/>
      <c r="BC23" s="253"/>
      <c r="BD23" s="253"/>
      <c r="BE23" s="253"/>
      <c r="BF23" s="253"/>
      <c r="BG23" s="253"/>
      <c r="BH23" s="253"/>
      <c r="BI23" s="253"/>
      <c r="BJ23" s="253"/>
      <c r="BK23" s="253"/>
      <c r="BL23" s="253"/>
      <c r="BM23" s="253"/>
      <c r="BN23" s="253"/>
      <c r="BO23" s="253"/>
      <c r="BP23" s="253"/>
      <c r="BQ23" s="253"/>
    </row>
    <row r="24" spans="1:69" ht="15">
      <c r="A24" s="294" t="s">
        <v>403</v>
      </c>
      <c r="C24" s="235" t="s">
        <v>404</v>
      </c>
      <c r="D24" s="235"/>
      <c r="E24" s="235"/>
      <c r="F24" s="235"/>
      <c r="G24" s="235"/>
      <c r="H24" s="240" t="s">
        <v>405</v>
      </c>
      <c r="I24" s="240"/>
      <c r="J24" s="275">
        <v>247599106.13669342</v>
      </c>
      <c r="K24" s="228"/>
      <c r="Q24" s="228"/>
      <c r="R24" s="228"/>
      <c r="S24" s="228"/>
      <c r="T24" s="228"/>
      <c r="U24" s="228"/>
      <c r="V24" s="235"/>
      <c r="W24" s="253"/>
      <c r="X24" s="253"/>
      <c r="Y24" s="253"/>
      <c r="Z24" s="253"/>
      <c r="AA24" s="253"/>
      <c r="AB24" s="253"/>
      <c r="AC24" s="253"/>
      <c r="AD24" s="253"/>
      <c r="AE24" s="253"/>
      <c r="AF24" s="253"/>
      <c r="AG24" s="253"/>
      <c r="AH24" s="253"/>
      <c r="AI24" s="253"/>
      <c r="AJ24" s="253"/>
      <c r="AK24" s="253"/>
      <c r="AL24" s="253"/>
      <c r="AM24" s="253"/>
      <c r="AN24" s="253"/>
      <c r="AO24" s="253"/>
      <c r="AP24" s="253"/>
      <c r="AQ24" s="253"/>
      <c r="AR24" s="253"/>
      <c r="AS24" s="253"/>
      <c r="AT24" s="253"/>
      <c r="AU24" s="253"/>
      <c r="AV24" s="253"/>
      <c r="AW24" s="253"/>
      <c r="AX24" s="253"/>
      <c r="AY24" s="253"/>
      <c r="AZ24" s="253"/>
      <c r="BA24" s="253"/>
      <c r="BB24" s="253"/>
      <c r="BC24" s="253"/>
      <c r="BD24" s="253"/>
      <c r="BE24" s="253"/>
      <c r="BF24" s="253"/>
      <c r="BG24" s="253"/>
      <c r="BH24" s="253"/>
      <c r="BI24" s="253"/>
      <c r="BJ24" s="253"/>
      <c r="BK24" s="253"/>
      <c r="BL24" s="253"/>
      <c r="BM24" s="253"/>
      <c r="BN24" s="253"/>
      <c r="BO24" s="253"/>
      <c r="BP24" s="253"/>
      <c r="BQ24" s="253"/>
    </row>
    <row r="25" spans="1:69" ht="15">
      <c r="A25" s="294" t="s">
        <v>406</v>
      </c>
      <c r="C25" s="235" t="s">
        <v>407</v>
      </c>
      <c r="D25" s="235"/>
      <c r="E25" s="235"/>
      <c r="F25" s="235"/>
      <c r="G25" s="235"/>
      <c r="H25" s="240" t="s">
        <v>408</v>
      </c>
      <c r="I25" s="240"/>
      <c r="J25" s="275">
        <v>9988071</v>
      </c>
      <c r="K25" s="228"/>
      <c r="Q25" s="228"/>
      <c r="R25" s="228"/>
      <c r="S25" s="228"/>
      <c r="T25" s="228"/>
      <c r="U25" s="228"/>
      <c r="V25" s="235"/>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3"/>
      <c r="AS25" s="253"/>
      <c r="AT25" s="253"/>
      <c r="AU25" s="253"/>
      <c r="AV25" s="253"/>
      <c r="AW25" s="253"/>
      <c r="AX25" s="253"/>
      <c r="AY25" s="253"/>
      <c r="AZ25" s="253"/>
      <c r="BA25" s="253"/>
      <c r="BB25" s="253"/>
      <c r="BC25" s="253"/>
      <c r="BD25" s="253"/>
      <c r="BE25" s="253"/>
      <c r="BF25" s="253"/>
      <c r="BG25" s="253"/>
      <c r="BH25" s="253"/>
      <c r="BI25" s="253"/>
      <c r="BJ25" s="253"/>
      <c r="BK25" s="253"/>
      <c r="BL25" s="253"/>
      <c r="BM25" s="253"/>
      <c r="BN25" s="253"/>
      <c r="BO25" s="253"/>
      <c r="BP25" s="253"/>
      <c r="BQ25" s="253"/>
    </row>
    <row r="26" spans="1:69" ht="15">
      <c r="A26" s="294" t="s">
        <v>409</v>
      </c>
      <c r="C26" s="235" t="s">
        <v>410</v>
      </c>
      <c r="D26" s="235"/>
      <c r="E26" s="235"/>
      <c r="F26" s="235"/>
      <c r="G26" s="235"/>
      <c r="H26" s="240" t="s">
        <v>411</v>
      </c>
      <c r="I26" s="240"/>
      <c r="J26" s="276">
        <v>184539216.48976752</v>
      </c>
      <c r="K26" s="277"/>
      <c r="Q26" s="228"/>
      <c r="R26" s="228"/>
      <c r="S26" s="228"/>
      <c r="T26" s="228"/>
      <c r="U26" s="228"/>
      <c r="V26" s="235"/>
      <c r="W26" s="253"/>
      <c r="X26" s="253"/>
      <c r="Y26" s="253"/>
      <c r="Z26" s="253"/>
      <c r="AA26" s="253"/>
      <c r="AB26" s="253"/>
      <c r="AC26" s="253"/>
      <c r="AD26" s="253"/>
      <c r="AE26" s="253"/>
      <c r="AF26" s="253"/>
      <c r="AG26" s="253"/>
      <c r="AH26" s="253"/>
      <c r="AI26" s="253"/>
      <c r="AJ26" s="253"/>
      <c r="AK26" s="253"/>
      <c r="AL26" s="253"/>
      <c r="AM26" s="253"/>
      <c r="AN26" s="253"/>
      <c r="AO26" s="253"/>
      <c r="AP26" s="253"/>
      <c r="AQ26" s="253"/>
      <c r="AR26" s="253"/>
      <c r="AS26" s="253"/>
      <c r="AT26" s="253"/>
      <c r="AU26" s="253"/>
      <c r="AV26" s="253"/>
      <c r="AW26" s="253"/>
      <c r="AX26" s="253"/>
      <c r="AY26" s="253"/>
      <c r="AZ26" s="253"/>
      <c r="BA26" s="253"/>
      <c r="BB26" s="253"/>
      <c r="BC26" s="253"/>
      <c r="BD26" s="253"/>
      <c r="BE26" s="253"/>
      <c r="BF26" s="253"/>
      <c r="BG26" s="253"/>
      <c r="BH26" s="253"/>
      <c r="BI26" s="253"/>
      <c r="BJ26" s="253"/>
      <c r="BK26" s="253"/>
      <c r="BL26" s="253"/>
      <c r="BM26" s="253"/>
      <c r="BN26" s="253"/>
      <c r="BO26" s="253"/>
      <c r="BP26" s="253"/>
      <c r="BQ26" s="253"/>
    </row>
    <row r="27" spans="1:69" ht="15">
      <c r="A27" s="294" t="s">
        <v>412</v>
      </c>
      <c r="C27" s="235" t="s">
        <v>413</v>
      </c>
      <c r="D27" s="235"/>
      <c r="E27" s="235"/>
      <c r="F27" s="235"/>
      <c r="G27" s="235"/>
      <c r="H27" s="240" t="s">
        <v>414</v>
      </c>
      <c r="I27" s="240"/>
      <c r="J27" s="269">
        <f>J24-(J25+J26)</f>
        <v>53071818.646925896</v>
      </c>
      <c r="K27" s="228"/>
      <c r="Q27" s="228"/>
      <c r="R27" s="228"/>
      <c r="S27" s="228"/>
      <c r="T27" s="228"/>
      <c r="U27" s="228"/>
      <c r="V27" s="235"/>
      <c r="W27" s="253"/>
      <c r="X27" s="253"/>
      <c r="Y27" s="253"/>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3"/>
      <c r="AZ27" s="253"/>
      <c r="BA27" s="253"/>
      <c r="BB27" s="253"/>
      <c r="BC27" s="253"/>
      <c r="BD27" s="253"/>
      <c r="BE27" s="253"/>
      <c r="BF27" s="253"/>
      <c r="BG27" s="253"/>
      <c r="BH27" s="253"/>
      <c r="BI27" s="253"/>
      <c r="BJ27" s="253"/>
      <c r="BK27" s="253"/>
      <c r="BL27" s="253"/>
      <c r="BM27" s="253"/>
      <c r="BN27" s="253"/>
      <c r="BO27" s="253"/>
      <c r="BP27" s="253"/>
      <c r="BQ27" s="253"/>
    </row>
    <row r="28" spans="1:69" ht="15">
      <c r="A28" s="294"/>
      <c r="C28" s="235"/>
      <c r="D28" s="235"/>
      <c r="E28" s="235"/>
      <c r="F28" s="235"/>
      <c r="G28" s="235"/>
      <c r="H28" s="240"/>
      <c r="I28" s="240"/>
      <c r="J28" s="228"/>
      <c r="K28" s="228"/>
      <c r="Q28" s="228"/>
      <c r="R28" s="228"/>
      <c r="S28" s="228"/>
      <c r="T28" s="228"/>
      <c r="U28" s="228"/>
      <c r="V28" s="235"/>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3"/>
      <c r="AZ28" s="253"/>
      <c r="BA28" s="253"/>
      <c r="BB28" s="253"/>
      <c r="BC28" s="253"/>
      <c r="BD28" s="253"/>
      <c r="BE28" s="253"/>
      <c r="BF28" s="253"/>
      <c r="BG28" s="253"/>
      <c r="BH28" s="253"/>
      <c r="BI28" s="253"/>
      <c r="BJ28" s="253"/>
      <c r="BK28" s="253"/>
      <c r="BL28" s="253"/>
      <c r="BM28" s="253"/>
      <c r="BN28" s="253"/>
      <c r="BO28" s="253"/>
      <c r="BP28" s="253"/>
      <c r="BQ28" s="253"/>
    </row>
    <row r="29" spans="1:69" ht="15">
      <c r="A29" s="294">
        <v>4</v>
      </c>
      <c r="C29" s="235" t="s">
        <v>415</v>
      </c>
      <c r="D29" s="235"/>
      <c r="E29" s="235"/>
      <c r="F29" s="235"/>
      <c r="G29" s="235"/>
      <c r="H29" s="240" t="s">
        <v>416</v>
      </c>
      <c r="I29" s="240"/>
      <c r="J29" s="242">
        <f>IF(J27=0,0,J27/J19)</f>
        <v>5.2239096889569861E-2</v>
      </c>
      <c r="K29" s="242"/>
      <c r="L29" s="251">
        <f>J29</f>
        <v>5.2239096889569861E-2</v>
      </c>
      <c r="Q29" s="228"/>
      <c r="R29" s="228"/>
      <c r="S29" s="228"/>
      <c r="T29" s="228"/>
      <c r="U29" s="228"/>
      <c r="V29" s="235"/>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3"/>
      <c r="AZ29" s="253"/>
      <c r="BA29" s="253"/>
      <c r="BB29" s="253"/>
      <c r="BC29" s="253"/>
      <c r="BD29" s="253"/>
      <c r="BE29" s="253"/>
      <c r="BF29" s="253"/>
      <c r="BG29" s="253"/>
      <c r="BH29" s="253"/>
      <c r="BI29" s="253"/>
      <c r="BJ29" s="253"/>
      <c r="BK29" s="253"/>
      <c r="BL29" s="253"/>
      <c r="BM29" s="253"/>
      <c r="BN29" s="253"/>
      <c r="BO29" s="253"/>
      <c r="BP29" s="253"/>
      <c r="BQ29" s="253"/>
    </row>
    <row r="30" spans="1:69" ht="15">
      <c r="A30" s="294"/>
      <c r="C30" s="235"/>
      <c r="D30" s="235"/>
      <c r="E30" s="235"/>
      <c r="F30" s="235"/>
      <c r="G30" s="235"/>
      <c r="H30" s="240"/>
      <c r="I30" s="240"/>
      <c r="J30" s="228"/>
      <c r="K30" s="228"/>
      <c r="Q30" s="228"/>
      <c r="R30" s="228"/>
      <c r="S30" s="228"/>
      <c r="T30" s="228"/>
      <c r="U30" s="228"/>
      <c r="V30" s="235"/>
      <c r="W30" s="253"/>
      <c r="X30" s="253"/>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3"/>
      <c r="AY30" s="253"/>
      <c r="AZ30" s="253"/>
      <c r="BA30" s="253"/>
      <c r="BB30" s="253"/>
      <c r="BC30" s="253"/>
      <c r="BD30" s="253"/>
      <c r="BE30" s="253"/>
      <c r="BF30" s="253"/>
      <c r="BG30" s="253"/>
      <c r="BH30" s="253"/>
      <c r="BI30" s="253"/>
      <c r="BJ30" s="253"/>
      <c r="BK30" s="253"/>
      <c r="BL30" s="253"/>
      <c r="BM30" s="253"/>
      <c r="BN30" s="253"/>
      <c r="BO30" s="253"/>
      <c r="BP30" s="253"/>
      <c r="BQ30" s="253"/>
    </row>
    <row r="31" spans="1:69" ht="15">
      <c r="A31" s="294"/>
      <c r="C31" s="235"/>
      <c r="D31" s="235"/>
      <c r="E31" s="235"/>
      <c r="F31" s="235"/>
      <c r="G31" s="235"/>
      <c r="H31" s="240"/>
      <c r="I31" s="240"/>
      <c r="J31" s="228"/>
      <c r="K31" s="228"/>
      <c r="Q31" s="228"/>
      <c r="R31" s="228"/>
      <c r="S31" s="228"/>
      <c r="T31" s="228"/>
      <c r="U31" s="228"/>
      <c r="V31" s="235"/>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c r="BC31" s="253"/>
      <c r="BD31" s="253"/>
      <c r="BE31" s="253"/>
      <c r="BF31" s="253"/>
      <c r="BG31" s="253"/>
      <c r="BH31" s="253"/>
      <c r="BI31" s="253"/>
      <c r="BJ31" s="253"/>
      <c r="BK31" s="253"/>
      <c r="BL31" s="253"/>
      <c r="BM31" s="253"/>
      <c r="BN31" s="253"/>
      <c r="BO31" s="253"/>
      <c r="BP31" s="253"/>
      <c r="BQ31" s="253"/>
    </row>
    <row r="32" spans="1:69" ht="15">
      <c r="A32" s="294"/>
      <c r="C32" s="235" t="s">
        <v>417</v>
      </c>
      <c r="D32" s="235"/>
      <c r="E32" s="235"/>
      <c r="F32" s="235"/>
      <c r="G32" s="235"/>
      <c r="H32" s="240"/>
      <c r="I32" s="240"/>
      <c r="J32" s="242"/>
      <c r="K32" s="242"/>
      <c r="L32" s="251"/>
      <c r="Q32" s="228"/>
      <c r="R32" s="242"/>
      <c r="S32" s="228"/>
      <c r="T32" s="295"/>
      <c r="U32" s="228"/>
      <c r="V32" s="235"/>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3"/>
      <c r="BH32" s="253"/>
      <c r="BI32" s="253"/>
      <c r="BJ32" s="253"/>
      <c r="BK32" s="253"/>
      <c r="BL32" s="253"/>
      <c r="BM32" s="253"/>
      <c r="BN32" s="253"/>
      <c r="BO32" s="253"/>
      <c r="BP32" s="253"/>
      <c r="BQ32" s="253"/>
    </row>
    <row r="33" spans="1:69" ht="15">
      <c r="A33" s="294" t="s">
        <v>418</v>
      </c>
      <c r="C33" s="235" t="s">
        <v>419</v>
      </c>
      <c r="D33" s="235"/>
      <c r="E33" s="235"/>
      <c r="F33" s="235"/>
      <c r="G33" s="235"/>
      <c r="H33" s="240" t="s">
        <v>420</v>
      </c>
      <c r="I33" s="240"/>
      <c r="J33" s="269">
        <f>J23-J27</f>
        <v>18990835.209487215</v>
      </c>
      <c r="K33" s="242"/>
      <c r="L33" s="251"/>
      <c r="Q33" s="228"/>
      <c r="R33" s="242"/>
      <c r="S33" s="228"/>
      <c r="T33" s="295"/>
      <c r="U33" s="228"/>
      <c r="V33" s="235"/>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3"/>
      <c r="BC33" s="253"/>
      <c r="BD33" s="253"/>
      <c r="BE33" s="253"/>
      <c r="BF33" s="253"/>
      <c r="BG33" s="253"/>
      <c r="BH33" s="253"/>
      <c r="BI33" s="253"/>
      <c r="BJ33" s="253"/>
      <c r="BK33" s="253"/>
      <c r="BL33" s="253"/>
      <c r="BM33" s="253"/>
      <c r="BN33" s="253"/>
      <c r="BO33" s="253"/>
      <c r="BP33" s="253"/>
      <c r="BQ33" s="253"/>
    </row>
    <row r="34" spans="1:69" ht="15">
      <c r="A34" s="294" t="s">
        <v>421</v>
      </c>
      <c r="C34" s="235" t="s">
        <v>422</v>
      </c>
      <c r="D34" s="235"/>
      <c r="E34" s="235"/>
      <c r="F34" s="235"/>
      <c r="G34" s="235"/>
      <c r="H34" s="240" t="s">
        <v>423</v>
      </c>
      <c r="I34" s="240"/>
      <c r="J34" s="242">
        <f>IF(J33=0,0,J33/J18)</f>
        <v>4.5080199260035848E-3</v>
      </c>
      <c r="K34" s="242"/>
      <c r="L34" s="251">
        <f>J34</f>
        <v>4.5080199260035848E-3</v>
      </c>
      <c r="Q34" s="228"/>
      <c r="R34" s="242"/>
      <c r="S34" s="228"/>
      <c r="T34" s="295"/>
      <c r="U34" s="228"/>
      <c r="V34" s="235"/>
      <c r="W34" s="253"/>
      <c r="X34" s="253"/>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3"/>
      <c r="AY34" s="253"/>
      <c r="AZ34" s="253"/>
      <c r="BA34" s="253"/>
      <c r="BB34" s="253"/>
      <c r="BC34" s="253"/>
      <c r="BD34" s="253"/>
      <c r="BE34" s="253"/>
      <c r="BF34" s="253"/>
      <c r="BG34" s="253"/>
      <c r="BH34" s="253"/>
      <c r="BI34" s="253"/>
      <c r="BJ34" s="253"/>
      <c r="BK34" s="253"/>
      <c r="BL34" s="253"/>
      <c r="BM34" s="253"/>
      <c r="BN34" s="253"/>
      <c r="BO34" s="253"/>
      <c r="BP34" s="253"/>
      <c r="BQ34" s="253"/>
    </row>
    <row r="35" spans="1:69" ht="15">
      <c r="A35" s="294"/>
      <c r="C35" s="235"/>
      <c r="D35" s="235"/>
      <c r="E35" s="235"/>
      <c r="F35" s="235"/>
      <c r="G35" s="235"/>
      <c r="H35" s="240"/>
      <c r="I35" s="240"/>
      <c r="J35" s="242"/>
      <c r="K35" s="242"/>
      <c r="L35" s="251"/>
      <c r="Q35" s="228"/>
      <c r="R35" s="242"/>
      <c r="S35" s="228"/>
      <c r="T35" s="295"/>
      <c r="U35" s="228"/>
      <c r="V35" s="235"/>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row>
    <row r="36" spans="1:69" ht="15">
      <c r="A36" s="234"/>
      <c r="B36" s="253"/>
      <c r="C36" s="235" t="s">
        <v>308</v>
      </c>
      <c r="D36" s="235"/>
      <c r="E36" s="235"/>
      <c r="F36" s="235"/>
      <c r="G36" s="235"/>
      <c r="H36" s="245"/>
      <c r="I36" s="245"/>
      <c r="J36" s="228"/>
      <c r="K36" s="228"/>
      <c r="L36" s="228"/>
      <c r="N36" s="253"/>
      <c r="O36" s="253"/>
      <c r="Q36" s="228"/>
      <c r="R36" s="242"/>
      <c r="S36" s="228"/>
      <c r="T36" s="295"/>
      <c r="U36" s="228"/>
      <c r="V36" s="235"/>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row>
    <row r="37" spans="1:69" ht="15">
      <c r="A37" s="234" t="s">
        <v>309</v>
      </c>
      <c r="B37" s="253"/>
      <c r="C37" s="235" t="s">
        <v>310</v>
      </c>
      <c r="D37" s="235"/>
      <c r="E37" s="235"/>
      <c r="F37" s="235"/>
      <c r="G37" s="235"/>
      <c r="H37" s="240" t="s">
        <v>311</v>
      </c>
      <c r="I37" s="240"/>
      <c r="J37" s="275">
        <v>6808909.874446284</v>
      </c>
      <c r="K37" s="228"/>
      <c r="L37" s="253"/>
      <c r="N37" s="253"/>
      <c r="O37" s="253"/>
      <c r="Q37" s="228"/>
      <c r="R37" s="242"/>
      <c r="S37" s="228"/>
      <c r="T37" s="295"/>
      <c r="U37" s="228"/>
      <c r="V37" s="235"/>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3"/>
      <c r="BQ37" s="253"/>
    </row>
    <row r="38" spans="1:69" ht="15">
      <c r="A38" s="234" t="s">
        <v>312</v>
      </c>
      <c r="B38" s="253"/>
      <c r="C38" s="235" t="s">
        <v>313</v>
      </c>
      <c r="D38" s="235"/>
      <c r="E38" s="235"/>
      <c r="F38" s="235"/>
      <c r="G38" s="235"/>
      <c r="H38" s="240" t="s">
        <v>314</v>
      </c>
      <c r="I38" s="240"/>
      <c r="J38" s="242">
        <f>IF(J37=0,0,J37/J18)</f>
        <v>1.6162902289327602E-3</v>
      </c>
      <c r="K38" s="242"/>
      <c r="L38" s="251">
        <f>J38</f>
        <v>1.6162902289327602E-3</v>
      </c>
      <c r="N38" s="253"/>
      <c r="O38" s="253"/>
      <c r="Q38" s="228"/>
      <c r="R38" s="242"/>
      <c r="S38" s="228"/>
      <c r="T38" s="295"/>
      <c r="U38" s="228"/>
      <c r="V38" s="235"/>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3"/>
    </row>
    <row r="39" spans="1:69" ht="15">
      <c r="A39" s="294"/>
      <c r="C39" s="235"/>
      <c r="D39" s="235"/>
      <c r="E39" s="235"/>
      <c r="F39" s="235"/>
      <c r="G39" s="235"/>
      <c r="H39" s="240"/>
      <c r="I39" s="240"/>
      <c r="J39" s="242"/>
      <c r="K39" s="242"/>
      <c r="L39" s="251"/>
      <c r="Q39" s="228"/>
      <c r="R39" s="242"/>
      <c r="S39" s="228"/>
      <c r="T39" s="295"/>
      <c r="U39" s="228"/>
      <c r="V39" s="235"/>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3"/>
      <c r="BQ39" s="253"/>
    </row>
    <row r="40" spans="1:69" ht="15">
      <c r="A40" s="296"/>
      <c r="C40" s="235" t="s">
        <v>315</v>
      </c>
      <c r="D40" s="235"/>
      <c r="E40" s="235"/>
      <c r="F40" s="235"/>
      <c r="G40" s="235"/>
      <c r="H40" s="245"/>
      <c r="I40" s="245"/>
      <c r="J40" s="228"/>
      <c r="K40" s="228"/>
      <c r="L40" s="228"/>
      <c r="Q40" s="228"/>
      <c r="R40" s="228"/>
      <c r="S40" s="228"/>
      <c r="T40" s="228"/>
      <c r="U40" s="228"/>
      <c r="V40" s="235"/>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3"/>
      <c r="BQ40" s="253"/>
    </row>
    <row r="41" spans="1:69" ht="15">
      <c r="A41" s="296" t="s">
        <v>316</v>
      </c>
      <c r="C41" s="235" t="s">
        <v>317</v>
      </c>
      <c r="D41" s="235"/>
      <c r="E41" s="235"/>
      <c r="F41" s="235"/>
      <c r="G41" s="235"/>
      <c r="H41" s="240" t="s">
        <v>318</v>
      </c>
      <c r="I41" s="240"/>
      <c r="J41" s="275">
        <v>46427289.156390555</v>
      </c>
      <c r="K41" s="228"/>
      <c r="Q41" s="228"/>
      <c r="R41" s="233"/>
      <c r="S41" s="228"/>
      <c r="T41" s="240"/>
      <c r="U41" s="233"/>
      <c r="V41" s="235"/>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3"/>
    </row>
    <row r="42" spans="1:69" ht="15">
      <c r="A42" s="296" t="s">
        <v>319</v>
      </c>
      <c r="C42" s="235" t="s">
        <v>320</v>
      </c>
      <c r="D42" s="235"/>
      <c r="E42" s="235"/>
      <c r="F42" s="235"/>
      <c r="G42" s="235"/>
      <c r="H42" s="240" t="s">
        <v>321</v>
      </c>
      <c r="I42" s="240"/>
      <c r="J42" s="242">
        <f>IF(J41=0,0,J41/J18)</f>
        <v>1.102084991621546E-2</v>
      </c>
      <c r="K42" s="242"/>
      <c r="L42" s="251">
        <f>J42</f>
        <v>1.102084991621546E-2</v>
      </c>
      <c r="Q42" s="228"/>
      <c r="R42" s="242"/>
      <c r="S42" s="228"/>
      <c r="T42" s="295"/>
      <c r="U42" s="233"/>
      <c r="V42" s="235"/>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row>
    <row r="43" spans="1:69" ht="15">
      <c r="A43" s="296"/>
      <c r="C43" s="235"/>
      <c r="D43" s="235"/>
      <c r="E43" s="235"/>
      <c r="F43" s="235"/>
      <c r="G43" s="235"/>
      <c r="H43" s="240"/>
      <c r="I43" s="240"/>
      <c r="J43" s="228"/>
      <c r="K43" s="228"/>
      <c r="L43" s="228"/>
      <c r="Q43" s="228"/>
      <c r="U43" s="228"/>
      <c r="V43" s="235"/>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row>
    <row r="44" spans="1:69" ht="15">
      <c r="A44" s="234" t="s">
        <v>322</v>
      </c>
      <c r="B44" s="253"/>
      <c r="C44" s="235" t="s">
        <v>424</v>
      </c>
      <c r="D44" s="235"/>
      <c r="E44" s="235"/>
      <c r="F44" s="235"/>
      <c r="G44" s="235"/>
      <c r="H44" s="240" t="s">
        <v>425</v>
      </c>
      <c r="I44" s="240"/>
      <c r="J44" s="251">
        <f>J34+J38+J42</f>
        <v>1.7145160071151806E-2</v>
      </c>
      <c r="K44" s="251"/>
      <c r="L44" s="251">
        <f>L34+L38+L42</f>
        <v>1.7145160071151806E-2</v>
      </c>
      <c r="Q44" s="228"/>
      <c r="U44" s="228"/>
      <c r="V44" s="235"/>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3"/>
    </row>
    <row r="45" spans="1:69" ht="15">
      <c r="A45" s="296"/>
      <c r="C45" s="235"/>
      <c r="D45" s="235"/>
      <c r="E45" s="235"/>
      <c r="F45" s="235"/>
      <c r="G45" s="235"/>
      <c r="H45" s="240"/>
      <c r="I45" s="240"/>
      <c r="J45" s="228"/>
      <c r="K45" s="228"/>
      <c r="L45" s="228"/>
      <c r="Q45" s="228"/>
      <c r="R45" s="228"/>
      <c r="S45" s="228"/>
      <c r="T45" s="297"/>
      <c r="U45" s="228"/>
      <c r="V45" s="235"/>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3"/>
    </row>
    <row r="46" spans="1:69" ht="15">
      <c r="A46" s="234"/>
      <c r="B46" s="298"/>
      <c r="C46" s="228" t="s">
        <v>325</v>
      </c>
      <c r="D46" s="228"/>
      <c r="E46" s="228"/>
      <c r="F46" s="228"/>
      <c r="G46" s="228"/>
      <c r="H46" s="240"/>
      <c r="I46" s="240"/>
      <c r="J46" s="228"/>
      <c r="K46" s="228"/>
      <c r="L46" s="228"/>
      <c r="Q46" s="249"/>
      <c r="R46" s="298"/>
      <c r="U46" s="233"/>
      <c r="V46" s="228" t="s">
        <v>284</v>
      </c>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3"/>
    </row>
    <row r="47" spans="1:69" ht="15">
      <c r="A47" s="296" t="s">
        <v>326</v>
      </c>
      <c r="B47" s="298"/>
      <c r="C47" s="228" t="s">
        <v>327</v>
      </c>
      <c r="D47" s="228"/>
      <c r="E47" s="228"/>
      <c r="F47" s="228"/>
      <c r="G47" s="228"/>
      <c r="H47" s="240" t="s">
        <v>328</v>
      </c>
      <c r="I47" s="240"/>
      <c r="J47" s="275">
        <v>112405116.69297835</v>
      </c>
      <c r="K47" s="228"/>
      <c r="L47" s="228"/>
      <c r="Q47" s="249"/>
      <c r="R47" s="298"/>
      <c r="U47" s="233"/>
      <c r="V47" s="228"/>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3"/>
    </row>
    <row r="48" spans="1:69" ht="15">
      <c r="A48" s="296" t="s">
        <v>329</v>
      </c>
      <c r="B48" s="298"/>
      <c r="C48" s="228" t="s">
        <v>330</v>
      </c>
      <c r="D48" s="228"/>
      <c r="E48" s="228"/>
      <c r="F48" s="228"/>
      <c r="G48" s="228"/>
      <c r="H48" s="240" t="s">
        <v>331</v>
      </c>
      <c r="I48" s="240"/>
      <c r="J48" s="242">
        <f>IF(J47=0,0,J47/J20)</f>
        <v>3.5162451936269316E-2</v>
      </c>
      <c r="K48" s="242"/>
      <c r="L48" s="251">
        <f>J48</f>
        <v>3.5162451936269316E-2</v>
      </c>
      <c r="Q48" s="249"/>
      <c r="R48" s="298"/>
      <c r="S48" s="228"/>
      <c r="T48" s="228"/>
      <c r="U48" s="233"/>
      <c r="V48" s="228"/>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3"/>
    </row>
    <row r="49" spans="1:69" ht="15">
      <c r="A49" s="296"/>
      <c r="C49" s="228"/>
      <c r="D49" s="228"/>
      <c r="E49" s="228"/>
      <c r="F49" s="228"/>
      <c r="G49" s="228"/>
      <c r="H49" s="240"/>
      <c r="I49" s="240"/>
      <c r="J49" s="228"/>
      <c r="K49" s="228"/>
      <c r="L49" s="228"/>
      <c r="Q49" s="228"/>
      <c r="S49" s="225"/>
      <c r="T49" s="228"/>
      <c r="U49" s="225"/>
      <c r="V49" s="235"/>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3"/>
    </row>
    <row r="50" spans="1:69" ht="15">
      <c r="A50" s="296"/>
      <c r="C50" s="235" t="s">
        <v>332</v>
      </c>
      <c r="D50" s="235"/>
      <c r="E50" s="235"/>
      <c r="F50" s="235"/>
      <c r="G50" s="235"/>
      <c r="H50" s="250"/>
      <c r="I50" s="250"/>
      <c r="Q50" s="228"/>
      <c r="S50" s="228"/>
      <c r="T50" s="228"/>
      <c r="U50" s="228"/>
      <c r="V50" s="235"/>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3"/>
    </row>
    <row r="51" spans="1:69" ht="15">
      <c r="A51" s="296" t="s">
        <v>333</v>
      </c>
      <c r="C51" s="235" t="s">
        <v>334</v>
      </c>
      <c r="D51" s="235"/>
      <c r="E51" s="235"/>
      <c r="F51" s="235"/>
      <c r="G51" s="235"/>
      <c r="H51" s="240" t="s">
        <v>335</v>
      </c>
      <c r="I51" s="240"/>
      <c r="J51" s="275">
        <v>219704214.68949804</v>
      </c>
      <c r="K51" s="228"/>
      <c r="L51" s="228"/>
      <c r="Q51" s="228"/>
      <c r="S51" s="228"/>
      <c r="T51" s="228"/>
      <c r="U51" s="228"/>
      <c r="V51" s="235"/>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3"/>
    </row>
    <row r="52" spans="1:69" ht="15">
      <c r="A52" s="296" t="s">
        <v>336</v>
      </c>
      <c r="B52" s="298"/>
      <c r="C52" s="228" t="s">
        <v>337</v>
      </c>
      <c r="D52" s="228"/>
      <c r="E52" s="228"/>
      <c r="F52" s="228"/>
      <c r="G52" s="228"/>
      <c r="H52" s="240" t="s">
        <v>338</v>
      </c>
      <c r="I52" s="240"/>
      <c r="J52" s="251">
        <f>IF(J51=0,0,J51/J20)</f>
        <v>6.8727644403556332E-2</v>
      </c>
      <c r="K52" s="251"/>
      <c r="L52" s="251">
        <f>J52</f>
        <v>6.8727644403556332E-2</v>
      </c>
      <c r="Q52" s="228"/>
      <c r="T52" s="299"/>
      <c r="U52" s="233"/>
      <c r="V52" s="228"/>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3"/>
    </row>
    <row r="53" spans="1:69" ht="15">
      <c r="A53" s="296"/>
      <c r="C53" s="235"/>
      <c r="D53" s="235"/>
      <c r="E53" s="235"/>
      <c r="F53" s="235"/>
      <c r="G53" s="235"/>
      <c r="H53" s="240"/>
      <c r="I53" s="240"/>
      <c r="J53" s="228"/>
      <c r="K53" s="228"/>
      <c r="L53" s="228"/>
      <c r="Q53" s="228"/>
      <c r="R53" s="250"/>
      <c r="S53" s="228"/>
      <c r="T53" s="228"/>
      <c r="U53" s="228"/>
      <c r="V53" s="235"/>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3"/>
      <c r="BH53" s="253"/>
      <c r="BI53" s="253"/>
      <c r="BJ53" s="253"/>
      <c r="BK53" s="253"/>
      <c r="BL53" s="253"/>
      <c r="BM53" s="253"/>
      <c r="BN53" s="253"/>
      <c r="BO53" s="253"/>
      <c r="BP53" s="253"/>
      <c r="BQ53" s="253"/>
    </row>
    <row r="54" spans="1:69" ht="15">
      <c r="A54" s="234" t="s">
        <v>339</v>
      </c>
      <c r="B54" s="253"/>
      <c r="C54" s="235" t="s">
        <v>340</v>
      </c>
      <c r="D54" s="235"/>
      <c r="E54" s="235"/>
      <c r="F54" s="235"/>
      <c r="G54" s="235"/>
      <c r="H54" s="240" t="s">
        <v>341</v>
      </c>
      <c r="I54" s="240"/>
      <c r="J54" s="228"/>
      <c r="K54" s="228"/>
      <c r="L54" s="251">
        <f>L48+L52</f>
        <v>0.10389009633982565</v>
      </c>
      <c r="Q54" s="228"/>
      <c r="R54" s="250"/>
      <c r="S54" s="228"/>
      <c r="T54" s="228"/>
      <c r="U54" s="228"/>
      <c r="V54" s="235"/>
      <c r="W54" s="253"/>
      <c r="X54" s="253"/>
      <c r="Y54" s="253"/>
      <c r="Z54" s="253"/>
      <c r="AA54" s="253"/>
      <c r="AB54" s="253"/>
      <c r="AC54" s="253"/>
      <c r="AD54" s="253"/>
      <c r="AE54" s="253"/>
      <c r="AF54" s="253"/>
      <c r="AG54" s="253"/>
      <c r="AH54" s="253"/>
      <c r="AI54" s="253"/>
      <c r="AJ54" s="253"/>
      <c r="AK54" s="253"/>
      <c r="AL54" s="253"/>
      <c r="AM54" s="253"/>
      <c r="AN54" s="253"/>
      <c r="AO54" s="253"/>
      <c r="AP54" s="253"/>
      <c r="AQ54" s="253"/>
      <c r="AR54" s="253"/>
      <c r="AS54" s="253"/>
      <c r="AT54" s="253"/>
      <c r="AU54" s="253"/>
      <c r="AV54" s="253"/>
      <c r="AW54" s="253"/>
      <c r="AX54" s="253"/>
      <c r="AY54" s="253"/>
      <c r="AZ54" s="253"/>
      <c r="BA54" s="253"/>
      <c r="BB54" s="253"/>
      <c r="BC54" s="253"/>
      <c r="BD54" s="253"/>
      <c r="BE54" s="253"/>
      <c r="BF54" s="253"/>
      <c r="BG54" s="253"/>
      <c r="BH54" s="253"/>
      <c r="BI54" s="253"/>
      <c r="BJ54" s="253"/>
      <c r="BK54" s="253"/>
      <c r="BL54" s="253"/>
      <c r="BM54" s="253"/>
      <c r="BN54" s="253"/>
      <c r="BO54" s="253"/>
      <c r="BP54" s="253"/>
      <c r="BQ54" s="253"/>
    </row>
    <row r="55" spans="1:69" ht="15">
      <c r="Q55" s="252"/>
      <c r="R55" s="252"/>
      <c r="S55" s="228"/>
      <c r="T55" s="228"/>
      <c r="U55" s="228"/>
      <c r="V55" s="235"/>
      <c r="W55" s="253"/>
      <c r="X55" s="253"/>
      <c r="Y55" s="253"/>
      <c r="Z55" s="253"/>
      <c r="AA55" s="253"/>
      <c r="AB55" s="253"/>
      <c r="AC55" s="253"/>
      <c r="AD55" s="253"/>
      <c r="AE55" s="253"/>
      <c r="AF55" s="253"/>
      <c r="AG55" s="253"/>
      <c r="AH55" s="253"/>
      <c r="AI55" s="253"/>
      <c r="AJ55" s="253"/>
      <c r="AK55" s="253"/>
      <c r="AL55" s="253"/>
      <c r="AM55" s="253"/>
      <c r="AN55" s="253"/>
      <c r="AO55" s="253"/>
      <c r="AP55" s="253"/>
      <c r="AQ55" s="253"/>
      <c r="AR55" s="253"/>
      <c r="AS55" s="253"/>
      <c r="AT55" s="253"/>
      <c r="AU55" s="253"/>
      <c r="AV55" s="253"/>
      <c r="AW55" s="253"/>
      <c r="AX55" s="253"/>
      <c r="AY55" s="253"/>
      <c r="AZ55" s="253"/>
      <c r="BA55" s="253"/>
      <c r="BB55" s="253"/>
      <c r="BC55" s="253"/>
      <c r="BD55" s="253"/>
      <c r="BE55" s="253"/>
      <c r="BF55" s="253"/>
      <c r="BG55" s="253"/>
      <c r="BH55" s="253"/>
      <c r="BI55" s="253"/>
      <c r="BJ55" s="253"/>
      <c r="BK55" s="253"/>
      <c r="BL55" s="253"/>
      <c r="BM55" s="253"/>
      <c r="BN55" s="253"/>
      <c r="BO55" s="253"/>
      <c r="BP55" s="253"/>
      <c r="BQ55" s="253"/>
    </row>
    <row r="56" spans="1:69" ht="15">
      <c r="A56" s="291"/>
      <c r="C56" s="253"/>
      <c r="D56" s="253"/>
      <c r="E56" s="253"/>
      <c r="F56" s="253"/>
      <c r="G56" s="253"/>
      <c r="H56" s="253"/>
      <c r="I56" s="253"/>
      <c r="J56" s="228"/>
      <c r="K56" s="228"/>
      <c r="L56" s="253"/>
      <c r="M56" s="253"/>
      <c r="N56" s="253"/>
      <c r="O56" s="253"/>
      <c r="Q56" s="228"/>
      <c r="R56" s="228"/>
      <c r="S56" s="228"/>
      <c r="T56" s="228"/>
      <c r="U56" s="233"/>
      <c r="V56" s="228" t="s">
        <v>284</v>
      </c>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3"/>
      <c r="AY56" s="253"/>
      <c r="AZ56" s="253"/>
      <c r="BA56" s="253"/>
      <c r="BB56" s="253"/>
      <c r="BC56" s="253"/>
      <c r="BD56" s="253"/>
      <c r="BE56" s="253"/>
      <c r="BF56" s="253"/>
      <c r="BG56" s="253"/>
      <c r="BH56" s="253"/>
      <c r="BI56" s="253"/>
      <c r="BJ56" s="253"/>
      <c r="BK56" s="253"/>
      <c r="BL56" s="253"/>
      <c r="BM56" s="253"/>
      <c r="BN56" s="253"/>
      <c r="BO56" s="253"/>
      <c r="BP56" s="253"/>
      <c r="BQ56" s="253"/>
    </row>
    <row r="57" spans="1:69" hidden="1">
      <c r="R57" s="288"/>
    </row>
    <row r="58" spans="1:69" hidden="1">
      <c r="R58" s="288"/>
    </row>
    <row r="60" spans="1:69" ht="15">
      <c r="A60" s="291"/>
      <c r="C60" s="253"/>
      <c r="D60" s="253"/>
      <c r="E60" s="253"/>
      <c r="F60" s="253"/>
      <c r="G60" s="253"/>
      <c r="H60" s="253"/>
      <c r="I60" s="253"/>
      <c r="J60" s="228"/>
      <c r="K60" s="228"/>
      <c r="L60" s="253"/>
      <c r="M60" s="253"/>
      <c r="N60" s="253"/>
      <c r="O60" s="253"/>
      <c r="Q60" s="228"/>
      <c r="R60" s="288" t="s">
        <v>397</v>
      </c>
      <c r="S60" s="228"/>
      <c r="T60" s="225"/>
      <c r="U60" s="228"/>
      <c r="V60" s="235"/>
      <c r="W60" s="253"/>
      <c r="X60" s="253"/>
      <c r="Y60" s="253"/>
      <c r="Z60" s="253"/>
      <c r="AA60" s="253"/>
      <c r="AB60" s="253"/>
      <c r="AC60" s="253"/>
      <c r="AD60" s="253"/>
      <c r="AE60" s="253"/>
      <c r="AF60" s="253"/>
      <c r="AG60" s="253"/>
      <c r="AH60" s="253"/>
      <c r="AI60" s="253"/>
      <c r="AJ60" s="253"/>
      <c r="AK60" s="253"/>
      <c r="AL60" s="253"/>
      <c r="AM60" s="253"/>
      <c r="AN60" s="253"/>
      <c r="AO60" s="253"/>
      <c r="AP60" s="253"/>
      <c r="AQ60" s="253"/>
      <c r="AR60" s="253"/>
      <c r="AS60" s="253"/>
      <c r="AT60" s="253"/>
      <c r="AU60" s="253"/>
      <c r="AV60" s="253"/>
      <c r="AW60" s="253"/>
      <c r="AX60" s="253"/>
      <c r="AY60" s="253"/>
      <c r="AZ60" s="253"/>
      <c r="BA60" s="253"/>
      <c r="BB60" s="253"/>
      <c r="BC60" s="253"/>
      <c r="BD60" s="253"/>
      <c r="BE60" s="253"/>
      <c r="BF60" s="253"/>
      <c r="BG60" s="253"/>
      <c r="BH60" s="253"/>
      <c r="BI60" s="253"/>
      <c r="BJ60" s="253"/>
      <c r="BK60" s="253"/>
      <c r="BL60" s="253"/>
      <c r="BM60" s="253"/>
      <c r="BN60" s="253"/>
      <c r="BO60" s="253"/>
      <c r="BP60" s="253"/>
      <c r="BQ60" s="253"/>
    </row>
    <row r="61" spans="1:69" ht="15">
      <c r="A61" s="291"/>
      <c r="C61" s="235" t="str">
        <f>C5</f>
        <v>Formula Rate calculation</v>
      </c>
      <c r="D61" s="235"/>
      <c r="E61" s="235"/>
      <c r="F61" s="235"/>
      <c r="G61" s="235"/>
      <c r="H61" s="253"/>
      <c r="I61" s="253"/>
      <c r="J61" s="253" t="str">
        <f>J5</f>
        <v xml:space="preserve">     Rate Formula Template</v>
      </c>
      <c r="K61" s="253"/>
      <c r="L61" s="253"/>
      <c r="M61" s="253"/>
      <c r="N61" s="253"/>
      <c r="O61" s="253"/>
      <c r="Q61" s="228"/>
      <c r="R61" s="254" t="str">
        <f>R5</f>
        <v>For  the 12 months ended 12/31/2016</v>
      </c>
      <c r="S61" s="228"/>
      <c r="T61" s="225"/>
      <c r="U61" s="228"/>
      <c r="V61" s="235"/>
      <c r="W61" s="253"/>
      <c r="X61" s="253"/>
      <c r="Y61" s="253"/>
      <c r="Z61" s="253"/>
      <c r="AA61" s="253"/>
      <c r="AB61" s="253"/>
      <c r="AC61" s="253"/>
      <c r="AD61" s="253"/>
      <c r="AE61" s="253"/>
      <c r="AF61" s="253"/>
      <c r="AG61" s="253"/>
      <c r="AH61" s="253"/>
      <c r="AI61" s="253"/>
      <c r="AJ61" s="253"/>
      <c r="AK61" s="253"/>
      <c r="AL61" s="253"/>
      <c r="AM61" s="253"/>
      <c r="AN61" s="253"/>
      <c r="AO61" s="253"/>
      <c r="AP61" s="253"/>
      <c r="AQ61" s="253"/>
      <c r="AR61" s="253"/>
      <c r="AS61" s="253"/>
      <c r="AT61" s="253"/>
      <c r="AU61" s="253"/>
      <c r="AV61" s="253"/>
      <c r="AW61" s="253"/>
      <c r="AX61" s="253"/>
      <c r="AY61" s="253"/>
      <c r="AZ61" s="253"/>
      <c r="BA61" s="253"/>
      <c r="BB61" s="253"/>
      <c r="BC61" s="253"/>
      <c r="BD61" s="253"/>
      <c r="BE61" s="253"/>
      <c r="BF61" s="253"/>
      <c r="BG61" s="253"/>
      <c r="BH61" s="253"/>
      <c r="BI61" s="253"/>
      <c r="BJ61" s="253"/>
      <c r="BK61" s="253"/>
      <c r="BL61" s="253"/>
      <c r="BM61" s="253"/>
      <c r="BN61" s="253"/>
      <c r="BO61" s="253"/>
      <c r="BP61" s="253"/>
      <c r="BQ61" s="253"/>
    </row>
    <row r="62" spans="1:69" ht="15">
      <c r="A62" s="291"/>
      <c r="C62" s="235"/>
      <c r="D62" s="235"/>
      <c r="E62" s="235"/>
      <c r="F62" s="235"/>
      <c r="G62" s="235"/>
      <c r="H62" s="253"/>
      <c r="I62" s="253"/>
      <c r="J62" s="253" t="str">
        <f>J6</f>
        <v xml:space="preserve"> Utilizing Attachment O Data</v>
      </c>
      <c r="K62" s="253"/>
      <c r="L62" s="253"/>
      <c r="M62" s="253"/>
      <c r="N62" s="253"/>
      <c r="O62" s="253"/>
      <c r="P62" s="228"/>
      <c r="Q62" s="228"/>
      <c r="S62" s="228"/>
      <c r="T62" s="225"/>
      <c r="U62" s="228"/>
      <c r="V62" s="235"/>
      <c r="W62" s="253"/>
      <c r="X62" s="253"/>
      <c r="Y62" s="253"/>
      <c r="Z62" s="253"/>
      <c r="AA62" s="253"/>
      <c r="AB62" s="253"/>
      <c r="AC62" s="253"/>
      <c r="AD62" s="253"/>
      <c r="AE62" s="253"/>
      <c r="AF62" s="253"/>
      <c r="AG62" s="253"/>
      <c r="AH62" s="253"/>
      <c r="AI62" s="253"/>
      <c r="AJ62" s="253"/>
      <c r="AK62" s="253"/>
      <c r="AL62" s="253"/>
      <c r="AM62" s="253"/>
      <c r="AN62" s="253"/>
      <c r="AO62" s="253"/>
      <c r="AP62" s="253"/>
      <c r="AQ62" s="253"/>
      <c r="AR62" s="253"/>
      <c r="AS62" s="253"/>
      <c r="AT62" s="253"/>
      <c r="AU62" s="253"/>
      <c r="AV62" s="253"/>
      <c r="AW62" s="253"/>
      <c r="AX62" s="253"/>
      <c r="AY62" s="253"/>
      <c r="AZ62" s="253"/>
      <c r="BA62" s="253"/>
      <c r="BB62" s="253"/>
      <c r="BC62" s="253"/>
      <c r="BD62" s="253"/>
      <c r="BE62" s="253"/>
      <c r="BF62" s="253"/>
      <c r="BG62" s="253"/>
      <c r="BH62" s="253"/>
      <c r="BI62" s="253"/>
      <c r="BJ62" s="253"/>
      <c r="BK62" s="253"/>
      <c r="BL62" s="253"/>
      <c r="BM62" s="253"/>
      <c r="BN62" s="253"/>
      <c r="BO62" s="253"/>
      <c r="BP62" s="253"/>
      <c r="BQ62" s="253"/>
    </row>
    <row r="63" spans="1:69" ht="14.25" customHeight="1">
      <c r="A63" s="291"/>
      <c r="C63" s="253"/>
      <c r="D63" s="253"/>
      <c r="E63" s="253"/>
      <c r="F63" s="253"/>
      <c r="G63" s="253"/>
      <c r="H63" s="253"/>
      <c r="I63" s="253"/>
      <c r="J63" s="253"/>
      <c r="K63" s="253"/>
      <c r="L63" s="253"/>
      <c r="M63" s="253"/>
      <c r="N63" s="253"/>
      <c r="O63" s="253"/>
      <c r="Q63" s="228"/>
      <c r="R63" s="253" t="s">
        <v>342</v>
      </c>
      <c r="S63" s="228"/>
      <c r="T63" s="225"/>
      <c r="U63" s="228"/>
      <c r="V63" s="235"/>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3"/>
      <c r="AY63" s="253"/>
      <c r="AZ63" s="253"/>
      <c r="BA63" s="253"/>
      <c r="BB63" s="253"/>
      <c r="BC63" s="253"/>
      <c r="BD63" s="253"/>
      <c r="BE63" s="253"/>
      <c r="BF63" s="253"/>
      <c r="BG63" s="253"/>
      <c r="BH63" s="253"/>
      <c r="BI63" s="253"/>
      <c r="BJ63" s="253"/>
      <c r="BK63" s="253"/>
      <c r="BL63" s="253"/>
      <c r="BM63" s="253"/>
      <c r="BN63" s="253"/>
      <c r="BO63" s="253"/>
      <c r="BP63" s="253"/>
      <c r="BQ63" s="253"/>
    </row>
    <row r="64" spans="1:69" ht="15">
      <c r="A64" s="291"/>
      <c r="H64" s="253"/>
      <c r="I64" s="253"/>
      <c r="J64" s="253" t="str">
        <f>J8</f>
        <v>NSP Companies @ 12.38% ROE</v>
      </c>
      <c r="K64" s="253"/>
      <c r="L64" s="253"/>
      <c r="M64" s="253"/>
      <c r="N64" s="253"/>
      <c r="O64" s="253"/>
      <c r="P64" s="253"/>
      <c r="Q64" s="228"/>
      <c r="R64" s="228"/>
      <c r="S64" s="228"/>
      <c r="T64" s="225"/>
      <c r="U64" s="228"/>
      <c r="V64" s="235"/>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3"/>
    </row>
    <row r="65" spans="1:69" ht="15">
      <c r="A65" s="291"/>
      <c r="H65" s="235"/>
      <c r="I65" s="235"/>
      <c r="J65" s="235"/>
      <c r="K65" s="235"/>
      <c r="L65" s="235"/>
      <c r="M65" s="235"/>
      <c r="N65" s="235"/>
      <c r="O65" s="235"/>
      <c r="P65" s="235"/>
      <c r="Q65" s="235"/>
      <c r="R65" s="235"/>
      <c r="S65" s="228"/>
      <c r="T65" s="225"/>
      <c r="U65" s="228"/>
      <c r="V65" s="235"/>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row>
    <row r="66" spans="1:69" ht="15">
      <c r="A66" s="291"/>
      <c r="C66" s="253"/>
      <c r="D66" s="253"/>
      <c r="E66" s="253"/>
      <c r="F66" s="253"/>
      <c r="G66" s="253"/>
      <c r="H66" s="235" t="s">
        <v>426</v>
      </c>
      <c r="I66" s="235"/>
      <c r="L66" s="225"/>
      <c r="M66" s="225"/>
      <c r="N66" s="225"/>
      <c r="O66" s="225"/>
      <c r="P66" s="225"/>
      <c r="Q66" s="228"/>
      <c r="R66" s="228"/>
      <c r="S66" s="228"/>
      <c r="T66" s="225"/>
      <c r="U66" s="228"/>
      <c r="V66" s="235"/>
      <c r="W66" s="253"/>
      <c r="X66" s="253"/>
      <c r="Y66" s="253"/>
      <c r="Z66" s="253"/>
      <c r="AA66" s="253"/>
      <c r="AB66" s="253"/>
      <c r="AC66" s="253"/>
      <c r="AD66" s="253"/>
      <c r="AE66" s="253"/>
      <c r="AF66" s="253"/>
      <c r="AG66" s="253"/>
      <c r="AH66" s="253"/>
      <c r="AI66" s="253"/>
      <c r="AJ66" s="253"/>
      <c r="AK66" s="253"/>
      <c r="AL66" s="253"/>
      <c r="AM66" s="253"/>
      <c r="AN66" s="253"/>
      <c r="AO66" s="253"/>
      <c r="AP66" s="253"/>
      <c r="AQ66" s="253"/>
      <c r="AR66" s="253"/>
      <c r="AS66" s="253"/>
      <c r="AT66" s="253"/>
      <c r="AU66" s="253"/>
      <c r="AV66" s="253"/>
      <c r="AW66" s="253"/>
      <c r="AX66" s="253"/>
      <c r="AY66" s="253"/>
      <c r="AZ66" s="253"/>
      <c r="BA66" s="253"/>
      <c r="BB66" s="253"/>
      <c r="BC66" s="253"/>
      <c r="BD66" s="253"/>
      <c r="BE66" s="253"/>
      <c r="BF66" s="253"/>
      <c r="BG66" s="253"/>
      <c r="BH66" s="253"/>
      <c r="BI66" s="253"/>
      <c r="BJ66" s="253"/>
      <c r="BK66" s="253"/>
      <c r="BL66" s="253"/>
      <c r="BM66" s="253"/>
      <c r="BN66" s="253"/>
      <c r="BO66" s="253"/>
      <c r="BP66" s="253"/>
      <c r="BQ66" s="253"/>
    </row>
    <row r="67" spans="1:69" ht="15">
      <c r="A67" s="291"/>
      <c r="C67" s="253"/>
      <c r="D67" s="253"/>
      <c r="E67" s="253"/>
      <c r="F67" s="253"/>
      <c r="G67" s="253"/>
      <c r="H67" s="235"/>
      <c r="I67" s="235"/>
      <c r="L67" s="225"/>
      <c r="M67" s="225"/>
      <c r="N67" s="225"/>
      <c r="O67" s="225"/>
      <c r="P67" s="225"/>
      <c r="Q67" s="228"/>
      <c r="R67" s="228"/>
      <c r="S67" s="228"/>
      <c r="T67" s="225"/>
      <c r="U67" s="228"/>
      <c r="V67" s="235"/>
      <c r="W67" s="253"/>
      <c r="X67" s="253"/>
      <c r="Y67" s="253"/>
      <c r="Z67" s="253"/>
      <c r="AA67" s="253"/>
      <c r="AB67" s="253"/>
      <c r="AC67" s="253"/>
      <c r="AD67" s="253"/>
      <c r="AE67" s="253"/>
      <c r="AF67" s="253"/>
      <c r="AG67" s="253"/>
      <c r="AH67" s="253"/>
      <c r="AI67" s="253"/>
      <c r="AJ67" s="253"/>
      <c r="AK67" s="253"/>
      <c r="AL67" s="253"/>
      <c r="AM67" s="253"/>
      <c r="AN67" s="253"/>
      <c r="AO67" s="253"/>
      <c r="AP67" s="253"/>
      <c r="AQ67" s="253"/>
      <c r="AR67" s="253"/>
      <c r="AS67" s="253"/>
      <c r="AT67" s="253"/>
      <c r="AU67" s="253"/>
      <c r="AV67" s="253"/>
      <c r="AW67" s="253"/>
      <c r="AX67" s="253"/>
      <c r="AY67" s="253"/>
      <c r="AZ67" s="253"/>
      <c r="BA67" s="253"/>
      <c r="BB67" s="253"/>
      <c r="BC67" s="253"/>
      <c r="BD67" s="253"/>
      <c r="BE67" s="253"/>
      <c r="BF67" s="253"/>
      <c r="BG67" s="253"/>
      <c r="BH67" s="253"/>
      <c r="BI67" s="253"/>
      <c r="BJ67" s="253"/>
      <c r="BK67" s="253"/>
      <c r="BL67" s="253"/>
      <c r="BM67" s="253"/>
      <c r="BN67" s="253"/>
      <c r="BO67" s="253"/>
      <c r="BP67" s="253"/>
      <c r="BQ67" s="253"/>
    </row>
    <row r="68" spans="1:69" ht="15">
      <c r="A68" s="300"/>
      <c r="C68" s="301" t="s">
        <v>289</v>
      </c>
      <c r="D68" s="301" t="s">
        <v>290</v>
      </c>
      <c r="E68" s="301" t="s">
        <v>291</v>
      </c>
      <c r="F68" s="301" t="s">
        <v>292</v>
      </c>
      <c r="G68" s="301" t="s">
        <v>427</v>
      </c>
      <c r="H68" s="301" t="s">
        <v>428</v>
      </c>
      <c r="I68" s="301" t="s">
        <v>429</v>
      </c>
      <c r="J68" s="301" t="s">
        <v>430</v>
      </c>
      <c r="K68" s="301" t="s">
        <v>431</v>
      </c>
      <c r="L68" s="301" t="s">
        <v>432</v>
      </c>
      <c r="M68" s="301" t="s">
        <v>433</v>
      </c>
      <c r="N68" s="301" t="s">
        <v>434</v>
      </c>
      <c r="O68" s="301" t="s">
        <v>435</v>
      </c>
      <c r="P68" s="301" t="s">
        <v>436</v>
      </c>
      <c r="Q68" s="301" t="s">
        <v>437</v>
      </c>
      <c r="R68" s="301" t="s">
        <v>438</v>
      </c>
      <c r="S68" s="228"/>
      <c r="T68" s="225"/>
      <c r="U68" s="228"/>
      <c r="V68" s="235"/>
      <c r="W68" s="253"/>
      <c r="X68" s="253"/>
      <c r="Y68" s="253"/>
      <c r="Z68" s="253"/>
      <c r="AA68" s="253"/>
      <c r="AB68" s="253"/>
      <c r="AC68" s="253"/>
      <c r="AD68" s="253"/>
      <c r="AE68" s="253"/>
      <c r="AF68" s="253"/>
      <c r="AG68" s="253"/>
      <c r="AH68" s="253"/>
      <c r="AI68" s="253"/>
      <c r="AJ68" s="253"/>
      <c r="AK68" s="253"/>
      <c r="AL68" s="253"/>
      <c r="AM68" s="253"/>
      <c r="AN68" s="253"/>
      <c r="AO68" s="253"/>
      <c r="AP68" s="253"/>
      <c r="AQ68" s="253"/>
      <c r="AR68" s="253"/>
      <c r="AS68" s="253"/>
      <c r="AT68" s="253"/>
      <c r="AU68" s="253"/>
      <c r="AV68" s="253"/>
      <c r="AW68" s="253"/>
      <c r="AX68" s="253"/>
      <c r="AY68" s="253"/>
      <c r="AZ68" s="253"/>
      <c r="BA68" s="253"/>
      <c r="BB68" s="253"/>
      <c r="BC68" s="253"/>
      <c r="BD68" s="253"/>
      <c r="BE68" s="253"/>
      <c r="BF68" s="253"/>
      <c r="BG68" s="253"/>
      <c r="BH68" s="253"/>
      <c r="BI68" s="253"/>
      <c r="BJ68" s="253"/>
      <c r="BK68" s="253"/>
      <c r="BL68" s="253"/>
      <c r="BM68" s="253"/>
      <c r="BN68" s="253"/>
      <c r="BO68" s="253"/>
      <c r="BP68" s="253"/>
      <c r="BQ68" s="253"/>
    </row>
    <row r="69" spans="1:69" ht="75">
      <c r="A69" s="302" t="s">
        <v>344</v>
      </c>
      <c r="B69" s="303"/>
      <c r="C69" s="304" t="s">
        <v>345</v>
      </c>
      <c r="D69" s="304" t="s">
        <v>346</v>
      </c>
      <c r="E69" s="304" t="s">
        <v>439</v>
      </c>
      <c r="F69" s="304" t="s">
        <v>440</v>
      </c>
      <c r="G69" s="304" t="s">
        <v>441</v>
      </c>
      <c r="H69" s="305" t="s">
        <v>442</v>
      </c>
      <c r="I69" s="305" t="s">
        <v>443</v>
      </c>
      <c r="J69" s="306" t="s">
        <v>444</v>
      </c>
      <c r="K69" s="307" t="s">
        <v>348</v>
      </c>
      <c r="L69" s="305" t="s">
        <v>349</v>
      </c>
      <c r="M69" s="305" t="s">
        <v>340</v>
      </c>
      <c r="N69" s="307" t="s">
        <v>350</v>
      </c>
      <c r="O69" s="305" t="s">
        <v>351</v>
      </c>
      <c r="P69" s="264" t="s">
        <v>352</v>
      </c>
      <c r="Q69" s="308" t="s">
        <v>353</v>
      </c>
      <c r="R69" s="264" t="s">
        <v>445</v>
      </c>
      <c r="S69" s="228"/>
      <c r="T69" s="265"/>
      <c r="U69" s="228"/>
      <c r="V69" s="235"/>
      <c r="W69" s="253"/>
      <c r="X69" s="253"/>
      <c r="Y69" s="253"/>
      <c r="Z69" s="253"/>
      <c r="AA69" s="253"/>
      <c r="AB69" s="253"/>
      <c r="AC69" s="253"/>
      <c r="AD69" s="253"/>
      <c r="AE69" s="253"/>
      <c r="AF69" s="253"/>
      <c r="AG69" s="253"/>
      <c r="AH69" s="253"/>
      <c r="AI69" s="253"/>
      <c r="AJ69" s="253"/>
      <c r="AK69" s="253"/>
      <c r="AL69" s="253"/>
      <c r="AM69" s="253"/>
      <c r="AN69" s="253"/>
      <c r="AO69" s="253"/>
      <c r="AP69" s="253"/>
      <c r="AQ69" s="253"/>
      <c r="AR69" s="253"/>
      <c r="AS69" s="253"/>
      <c r="AT69" s="253"/>
      <c r="AU69" s="253"/>
      <c r="AV69" s="253"/>
      <c r="AW69" s="253"/>
      <c r="AX69" s="253"/>
      <c r="AY69" s="253"/>
      <c r="AZ69" s="253"/>
      <c r="BA69" s="253"/>
      <c r="BB69" s="253"/>
      <c r="BC69" s="253"/>
      <c r="BD69" s="253"/>
      <c r="BE69" s="253"/>
      <c r="BF69" s="253"/>
      <c r="BG69" s="253"/>
      <c r="BH69" s="253"/>
      <c r="BI69" s="253"/>
      <c r="BJ69" s="253"/>
      <c r="BK69" s="253"/>
      <c r="BL69" s="253"/>
      <c r="BM69" s="253"/>
      <c r="BN69" s="253"/>
      <c r="BO69" s="253"/>
      <c r="BP69" s="253"/>
      <c r="BQ69" s="253"/>
    </row>
    <row r="70" spans="1:69" s="312" customFormat="1" ht="46.5" customHeight="1">
      <c r="A70" s="279"/>
      <c r="B70" s="280"/>
      <c r="C70" s="280"/>
      <c r="D70" s="280"/>
      <c r="E70" s="281" t="s">
        <v>355</v>
      </c>
      <c r="F70" s="280"/>
      <c r="G70" s="280" t="s">
        <v>446</v>
      </c>
      <c r="H70" s="281" t="s">
        <v>447</v>
      </c>
      <c r="I70" s="282" t="s">
        <v>448</v>
      </c>
      <c r="J70" s="281" t="s">
        <v>449</v>
      </c>
      <c r="K70" s="283" t="s">
        <v>450</v>
      </c>
      <c r="L70" s="281" t="s">
        <v>451</v>
      </c>
      <c r="M70" s="282" t="s">
        <v>452</v>
      </c>
      <c r="N70" s="284" t="s">
        <v>453</v>
      </c>
      <c r="O70" s="282" t="s">
        <v>359</v>
      </c>
      <c r="P70" s="284" t="s">
        <v>454</v>
      </c>
      <c r="Q70" s="285" t="s">
        <v>361</v>
      </c>
      <c r="R70" s="286" t="s">
        <v>455</v>
      </c>
      <c r="S70" s="309"/>
      <c r="T70" s="264" t="s">
        <v>658</v>
      </c>
      <c r="U70" s="309"/>
      <c r="V70" s="311"/>
    </row>
    <row r="71" spans="1:69" s="376" customFormat="1" ht="15.75">
      <c r="A71" s="383" t="s">
        <v>456</v>
      </c>
      <c r="B71" s="382"/>
      <c r="C71" s="382"/>
      <c r="D71" s="382"/>
      <c r="E71" s="382"/>
      <c r="F71" s="382"/>
      <c r="G71" s="382"/>
      <c r="H71" s="382"/>
      <c r="I71" s="382"/>
      <c r="J71" s="382"/>
      <c r="K71" s="384"/>
      <c r="L71" s="382"/>
      <c r="M71" s="382"/>
      <c r="N71" s="384"/>
      <c r="O71" s="382"/>
      <c r="P71" s="384"/>
      <c r="Q71" s="385"/>
      <c r="R71" s="386"/>
      <c r="S71" s="385"/>
      <c r="T71" s="227"/>
      <c r="U71" s="385"/>
      <c r="V71" s="381"/>
      <c r="W71" s="380"/>
      <c r="X71" s="380"/>
      <c r="Y71" s="380"/>
      <c r="Z71" s="380"/>
      <c r="AA71" s="380"/>
      <c r="AB71" s="380"/>
      <c r="AC71" s="380"/>
      <c r="AD71" s="380"/>
      <c r="AE71" s="380"/>
      <c r="AF71" s="380"/>
      <c r="AG71" s="380"/>
      <c r="AH71" s="380"/>
      <c r="AI71" s="380"/>
      <c r="AJ71" s="380"/>
      <c r="AK71" s="380"/>
      <c r="AL71" s="380"/>
      <c r="AM71" s="380"/>
      <c r="AN71" s="380"/>
      <c r="AO71" s="380"/>
      <c r="AP71" s="380"/>
      <c r="AQ71" s="380"/>
      <c r="AR71" s="380"/>
      <c r="AS71" s="380"/>
      <c r="AT71" s="380"/>
      <c r="AU71" s="380"/>
      <c r="AV71" s="380"/>
      <c r="AW71" s="380"/>
      <c r="AX71" s="380"/>
      <c r="AY71" s="380"/>
      <c r="AZ71" s="380"/>
      <c r="BA71" s="380"/>
      <c r="BB71" s="380"/>
      <c r="BC71" s="380"/>
      <c r="BD71" s="380"/>
      <c r="BE71" s="380"/>
      <c r="BF71" s="380"/>
      <c r="BG71" s="380"/>
      <c r="BH71" s="380"/>
      <c r="BI71" s="380"/>
      <c r="BJ71" s="380"/>
      <c r="BK71" s="380"/>
      <c r="BL71" s="380"/>
      <c r="BM71" s="380"/>
      <c r="BN71" s="380"/>
      <c r="BO71" s="380"/>
      <c r="BP71" s="380"/>
      <c r="BQ71" s="380"/>
    </row>
    <row r="72" spans="1:69" s="376" customFormat="1" ht="15">
      <c r="A72" s="375" t="s">
        <v>363</v>
      </c>
      <c r="C72" s="387" t="s">
        <v>502</v>
      </c>
      <c r="D72" s="388">
        <v>1203</v>
      </c>
      <c r="E72" s="377">
        <f>'Attachment MM Supporting Data'!C23</f>
        <v>442686313.34455609</v>
      </c>
      <c r="F72" s="377">
        <f>'Attachment MM Supporting Data'!C39</f>
        <v>16897805.434046157</v>
      </c>
      <c r="G72" s="378">
        <f>ROUND($L$29,10)</f>
        <v>5.2239096899999997E-2</v>
      </c>
      <c r="H72" s="389">
        <f>F72*G72</f>
        <v>882726.09546648373</v>
      </c>
      <c r="I72" s="378">
        <f>ROUND($L$44,10)</f>
        <v>1.7145160100000001E-2</v>
      </c>
      <c r="J72" s="390">
        <f>E72*I72</f>
        <v>7589927.7163711814</v>
      </c>
      <c r="K72" s="379">
        <f>H72+J72</f>
        <v>8472653.8118376657</v>
      </c>
      <c r="L72" s="389">
        <f>E72-F72</f>
        <v>425788507.91050994</v>
      </c>
      <c r="M72" s="378">
        <f>ROUND($L$54,10)</f>
        <v>0.1038900963</v>
      </c>
      <c r="N72" s="391">
        <f>L72*M72</f>
        <v>44235209.090256192</v>
      </c>
      <c r="O72" s="377">
        <f>'Attachment MM Supporting Data'!C61</f>
        <v>8952334.306681348</v>
      </c>
      <c r="P72" s="391">
        <f>K72+N72+O72</f>
        <v>61660197.208775207</v>
      </c>
      <c r="Q72" s="618">
        <v>3449666</v>
      </c>
      <c r="R72" s="391">
        <f>P72+Q72</f>
        <v>65109863.208775207</v>
      </c>
      <c r="S72" s="380"/>
      <c r="T72" s="599">
        <v>66497984.804947674</v>
      </c>
      <c r="U72" s="380"/>
      <c r="V72" s="380"/>
      <c r="W72" s="380"/>
      <c r="X72" s="380"/>
      <c r="Y72" s="380"/>
    </row>
    <row r="73" spans="1:69" ht="14.25">
      <c r="A73" s="313"/>
      <c r="D73" s="314"/>
      <c r="K73" s="315"/>
      <c r="N73" s="315"/>
      <c r="P73" s="315"/>
      <c r="R73" s="315"/>
      <c r="S73" s="270"/>
      <c r="T73" s="310"/>
      <c r="U73" s="270"/>
      <c r="V73" s="270"/>
      <c r="W73" s="270"/>
      <c r="X73" s="270"/>
      <c r="Y73" s="270"/>
    </row>
    <row r="74" spans="1:69" ht="14.25">
      <c r="A74" s="313"/>
      <c r="D74" s="314"/>
      <c r="K74" s="315"/>
      <c r="N74" s="315"/>
      <c r="P74" s="315"/>
      <c r="R74" s="315"/>
      <c r="S74" s="270"/>
      <c r="T74" s="310"/>
      <c r="U74" s="270"/>
      <c r="V74" s="270"/>
      <c r="W74" s="270"/>
      <c r="X74" s="270"/>
      <c r="Y74" s="270"/>
    </row>
    <row r="75" spans="1:69" ht="14.25">
      <c r="A75" s="313"/>
      <c r="D75" s="314"/>
      <c r="K75" s="315"/>
      <c r="N75" s="315"/>
      <c r="P75" s="315"/>
      <c r="R75" s="315"/>
      <c r="S75" s="270"/>
      <c r="T75" s="310"/>
      <c r="U75" s="270"/>
      <c r="V75" s="270"/>
      <c r="W75" s="270"/>
      <c r="X75" s="270"/>
      <c r="Y75" s="270"/>
    </row>
    <row r="76" spans="1:69" ht="14.25">
      <c r="A76" s="313"/>
      <c r="D76" s="314"/>
      <c r="K76" s="315"/>
      <c r="N76" s="315"/>
      <c r="P76" s="315"/>
      <c r="R76" s="315"/>
      <c r="S76" s="270"/>
      <c r="T76" s="310"/>
      <c r="U76" s="270"/>
      <c r="V76" s="270"/>
      <c r="W76" s="270"/>
      <c r="X76" s="270"/>
      <c r="Y76" s="270"/>
    </row>
    <row r="77" spans="1:69" ht="14.25">
      <c r="A77" s="313"/>
      <c r="C77" s="270"/>
      <c r="D77" s="316"/>
      <c r="E77" s="270"/>
      <c r="F77" s="270"/>
      <c r="G77" s="270"/>
      <c r="H77" s="270"/>
      <c r="I77" s="270"/>
      <c r="J77" s="270"/>
      <c r="K77" s="317"/>
      <c r="L77" s="270"/>
      <c r="M77" s="270"/>
      <c r="N77" s="317"/>
      <c r="O77" s="270"/>
      <c r="P77" s="317"/>
      <c r="Q77" s="270"/>
      <c r="R77" s="317"/>
      <c r="S77" s="270"/>
      <c r="T77" s="310"/>
      <c r="U77" s="270"/>
      <c r="V77" s="270"/>
      <c r="W77" s="270"/>
      <c r="X77" s="270"/>
      <c r="Y77" s="270"/>
    </row>
    <row r="78" spans="1:69" ht="14.25">
      <c r="A78" s="313"/>
      <c r="C78" s="270"/>
      <c r="D78" s="316"/>
      <c r="E78" s="270"/>
      <c r="F78" s="270"/>
      <c r="G78" s="270"/>
      <c r="H78" s="270"/>
      <c r="I78" s="270"/>
      <c r="J78" s="270"/>
      <c r="K78" s="317"/>
      <c r="L78" s="270"/>
      <c r="M78" s="270"/>
      <c r="N78" s="317"/>
      <c r="O78" s="270"/>
      <c r="P78" s="317"/>
      <c r="Q78" s="270"/>
      <c r="R78" s="317"/>
      <c r="S78" s="270"/>
      <c r="T78" s="310"/>
      <c r="U78" s="270"/>
      <c r="V78" s="270"/>
      <c r="W78" s="270"/>
      <c r="X78" s="270"/>
      <c r="Y78" s="270"/>
    </row>
    <row r="79" spans="1:69" ht="14.25">
      <c r="A79" s="313"/>
      <c r="C79" s="270"/>
      <c r="D79" s="316"/>
      <c r="E79" s="270"/>
      <c r="F79" s="270"/>
      <c r="G79" s="270"/>
      <c r="H79" s="270"/>
      <c r="I79" s="270"/>
      <c r="J79" s="270"/>
      <c r="K79" s="317"/>
      <c r="L79" s="270"/>
      <c r="M79" s="270"/>
      <c r="N79" s="317"/>
      <c r="O79" s="270"/>
      <c r="P79" s="317"/>
      <c r="Q79" s="270"/>
      <c r="R79" s="317"/>
      <c r="S79" s="270"/>
      <c r="T79" s="310"/>
      <c r="U79" s="270"/>
      <c r="V79" s="270"/>
      <c r="W79" s="270"/>
      <c r="X79" s="270"/>
      <c r="Y79" s="270"/>
    </row>
    <row r="80" spans="1:69" ht="14.25">
      <c r="A80" s="313"/>
      <c r="C80" s="270"/>
      <c r="D80" s="316"/>
      <c r="E80" s="270"/>
      <c r="F80" s="270"/>
      <c r="G80" s="270"/>
      <c r="H80" s="270"/>
      <c r="I80" s="270"/>
      <c r="J80" s="270"/>
      <c r="K80" s="317"/>
      <c r="L80" s="270"/>
      <c r="M80" s="270"/>
      <c r="N80" s="317"/>
      <c r="O80" s="270"/>
      <c r="P80" s="317"/>
      <c r="Q80" s="270"/>
      <c r="R80" s="317"/>
      <c r="S80" s="270"/>
      <c r="T80" s="310"/>
      <c r="U80" s="270"/>
      <c r="V80" s="270"/>
      <c r="W80" s="270"/>
      <c r="X80" s="270"/>
      <c r="Y80" s="270"/>
    </row>
    <row r="81" spans="1:25" ht="14.25">
      <c r="A81" s="313"/>
      <c r="C81" s="270"/>
      <c r="D81" s="316"/>
      <c r="E81" s="270"/>
      <c r="F81" s="270"/>
      <c r="G81" s="270"/>
      <c r="H81" s="270"/>
      <c r="I81" s="270"/>
      <c r="J81" s="270"/>
      <c r="K81" s="317"/>
      <c r="L81" s="270"/>
      <c r="M81" s="270"/>
      <c r="N81" s="317"/>
      <c r="O81" s="270"/>
      <c r="P81" s="317"/>
      <c r="Q81" s="270"/>
      <c r="R81" s="317"/>
      <c r="S81" s="270"/>
      <c r="T81" s="310"/>
      <c r="U81" s="270"/>
      <c r="V81" s="270"/>
      <c r="W81" s="270"/>
      <c r="X81" s="270"/>
      <c r="Y81" s="270"/>
    </row>
    <row r="82" spans="1:25" ht="14.25">
      <c r="A82" s="313"/>
      <c r="C82" s="270"/>
      <c r="D82" s="316"/>
      <c r="E82" s="270"/>
      <c r="F82" s="270"/>
      <c r="G82" s="270"/>
      <c r="H82" s="270"/>
      <c r="I82" s="270"/>
      <c r="J82" s="270"/>
      <c r="K82" s="317"/>
      <c r="L82" s="270"/>
      <c r="M82" s="270"/>
      <c r="N82" s="317"/>
      <c r="O82" s="270"/>
      <c r="P82" s="317"/>
      <c r="Q82" s="270"/>
      <c r="R82" s="317"/>
      <c r="S82" s="270"/>
      <c r="T82" s="310"/>
      <c r="U82" s="270"/>
      <c r="V82" s="270"/>
      <c r="W82" s="270"/>
      <c r="X82" s="270"/>
      <c r="Y82" s="270"/>
    </row>
    <row r="83" spans="1:25" ht="14.25">
      <c r="A83" s="313"/>
      <c r="C83" s="270"/>
      <c r="D83" s="316"/>
      <c r="E83" s="270"/>
      <c r="F83" s="270"/>
      <c r="G83" s="270"/>
      <c r="H83" s="270"/>
      <c r="I83" s="270"/>
      <c r="J83" s="270"/>
      <c r="K83" s="317"/>
      <c r="L83" s="270"/>
      <c r="M83" s="270"/>
      <c r="N83" s="317"/>
      <c r="O83" s="270"/>
      <c r="P83" s="317"/>
      <c r="Q83" s="270"/>
      <c r="R83" s="317"/>
      <c r="S83" s="270"/>
      <c r="T83" s="310"/>
      <c r="U83" s="270"/>
      <c r="V83" s="270"/>
      <c r="W83" s="270"/>
      <c r="X83" s="270"/>
      <c r="Y83" s="270"/>
    </row>
    <row r="84" spans="1:25" ht="14.25">
      <c r="A84" s="313"/>
      <c r="C84" s="270"/>
      <c r="D84" s="316"/>
      <c r="E84" s="270"/>
      <c r="F84" s="270"/>
      <c r="G84" s="270"/>
      <c r="H84" s="270"/>
      <c r="I84" s="270"/>
      <c r="J84" s="270"/>
      <c r="K84" s="317"/>
      <c r="L84" s="270"/>
      <c r="M84" s="270"/>
      <c r="N84" s="317"/>
      <c r="O84" s="270"/>
      <c r="P84" s="317"/>
      <c r="Q84" s="270"/>
      <c r="R84" s="317"/>
      <c r="S84" s="270"/>
      <c r="T84" s="310"/>
      <c r="U84" s="270"/>
      <c r="V84" s="270"/>
      <c r="W84" s="270"/>
      <c r="X84" s="270"/>
      <c r="Y84" s="270"/>
    </row>
    <row r="85" spans="1:25" ht="14.25">
      <c r="A85" s="313"/>
      <c r="C85" s="270"/>
      <c r="D85" s="316"/>
      <c r="E85" s="270"/>
      <c r="F85" s="270"/>
      <c r="G85" s="270"/>
      <c r="H85" s="270"/>
      <c r="I85" s="270"/>
      <c r="J85" s="270"/>
      <c r="K85" s="317"/>
      <c r="L85" s="270"/>
      <c r="M85" s="270"/>
      <c r="N85" s="317"/>
      <c r="O85" s="270"/>
      <c r="P85" s="317"/>
      <c r="Q85" s="270"/>
      <c r="R85" s="317"/>
      <c r="S85" s="270"/>
      <c r="T85" s="310"/>
      <c r="U85" s="270"/>
      <c r="V85" s="270"/>
      <c r="W85" s="270"/>
      <c r="X85" s="270"/>
      <c r="Y85" s="270"/>
    </row>
    <row r="86" spans="1:25" ht="14.25">
      <c r="A86" s="313"/>
      <c r="C86" s="270"/>
      <c r="D86" s="316"/>
      <c r="E86" s="270"/>
      <c r="F86" s="270"/>
      <c r="G86" s="270"/>
      <c r="H86" s="270"/>
      <c r="I86" s="270"/>
      <c r="J86" s="270"/>
      <c r="K86" s="317"/>
      <c r="L86" s="270"/>
      <c r="M86" s="270"/>
      <c r="N86" s="317"/>
      <c r="O86" s="270"/>
      <c r="P86" s="317"/>
      <c r="Q86" s="270"/>
      <c r="R86" s="317"/>
      <c r="S86" s="270"/>
      <c r="T86" s="310"/>
      <c r="U86" s="270"/>
      <c r="V86" s="270"/>
      <c r="W86" s="270"/>
      <c r="X86" s="270"/>
      <c r="Y86" s="270"/>
    </row>
    <row r="87" spans="1:25" ht="14.25">
      <c r="A87" s="313"/>
      <c r="C87" s="270"/>
      <c r="D87" s="316"/>
      <c r="E87" s="270"/>
      <c r="F87" s="270"/>
      <c r="G87" s="270"/>
      <c r="H87" s="270"/>
      <c r="I87" s="270"/>
      <c r="J87" s="270"/>
      <c r="K87" s="317"/>
      <c r="L87" s="270"/>
      <c r="M87" s="270"/>
      <c r="N87" s="317"/>
      <c r="O87" s="270"/>
      <c r="P87" s="317"/>
      <c r="Q87" s="270"/>
      <c r="R87" s="317"/>
      <c r="S87" s="270"/>
      <c r="T87" s="310"/>
      <c r="U87" s="270"/>
      <c r="V87" s="270"/>
      <c r="W87" s="270"/>
      <c r="X87" s="270"/>
      <c r="Y87" s="270"/>
    </row>
    <row r="88" spans="1:25" ht="14.25">
      <c r="A88" s="318"/>
      <c r="B88" s="319"/>
      <c r="C88" s="320"/>
      <c r="D88" s="320"/>
      <c r="E88" s="320"/>
      <c r="F88" s="320"/>
      <c r="G88" s="320"/>
      <c r="H88" s="320"/>
      <c r="I88" s="320"/>
      <c r="J88" s="320"/>
      <c r="K88" s="321"/>
      <c r="L88" s="320"/>
      <c r="M88" s="320"/>
      <c r="N88" s="321"/>
      <c r="O88" s="320"/>
      <c r="P88" s="321"/>
      <c r="Q88" s="320"/>
      <c r="R88" s="321"/>
      <c r="S88" s="270"/>
      <c r="T88" s="310"/>
      <c r="U88" s="270"/>
      <c r="V88" s="270"/>
      <c r="W88" s="270"/>
      <c r="X88" s="270"/>
      <c r="Y88" s="270"/>
    </row>
    <row r="89" spans="1:25" ht="15">
      <c r="A89" s="234" t="s">
        <v>385</v>
      </c>
      <c r="B89" s="298"/>
      <c r="C89" s="235" t="s">
        <v>457</v>
      </c>
      <c r="D89" s="235"/>
      <c r="E89" s="235"/>
      <c r="F89" s="235"/>
      <c r="G89" s="235"/>
      <c r="H89" s="245"/>
      <c r="I89" s="245"/>
      <c r="J89" s="228"/>
      <c r="K89" s="228"/>
      <c r="L89" s="228"/>
      <c r="M89" s="228"/>
      <c r="N89" s="228"/>
      <c r="O89" s="228"/>
      <c r="P89" s="272">
        <f>SUM(P72:P88)</f>
        <v>61660197.208775207</v>
      </c>
      <c r="Q89" s="513">
        <f>SUM(Q72:Q88)</f>
        <v>3449666</v>
      </c>
      <c r="R89" s="272">
        <f>SUM(R72:R88)</f>
        <v>65109863.208775207</v>
      </c>
      <c r="S89" s="270"/>
      <c r="T89" s="329">
        <f>T72</f>
        <v>66497984.804947674</v>
      </c>
      <c r="U89" s="270"/>
      <c r="V89" s="270"/>
      <c r="W89" s="270"/>
      <c r="X89" s="270"/>
      <c r="Y89" s="270"/>
    </row>
    <row r="90" spans="1:25" ht="14.25">
      <c r="A90" s="270"/>
      <c r="B90" s="270"/>
      <c r="C90" s="270"/>
      <c r="D90" s="270"/>
      <c r="E90" s="270"/>
      <c r="F90" s="270"/>
      <c r="G90" s="270"/>
      <c r="H90" s="270"/>
      <c r="I90" s="270"/>
      <c r="J90" s="270"/>
      <c r="K90" s="270"/>
      <c r="L90" s="270"/>
      <c r="M90" s="270"/>
      <c r="N90" s="270"/>
      <c r="O90" s="270"/>
      <c r="P90" s="270"/>
      <c r="Q90" s="270"/>
      <c r="R90" s="270"/>
      <c r="S90" s="270"/>
      <c r="T90" s="310"/>
      <c r="U90" s="270"/>
      <c r="V90" s="270"/>
      <c r="W90" s="270"/>
      <c r="X90" s="270"/>
      <c r="Y90" s="270"/>
    </row>
    <row r="91" spans="1:25" ht="15">
      <c r="A91" s="271">
        <v>3</v>
      </c>
      <c r="B91" s="270"/>
      <c r="C91" s="253" t="s">
        <v>387</v>
      </c>
      <c r="D91" s="253"/>
      <c r="E91" s="253"/>
      <c r="F91" s="253"/>
      <c r="G91" s="270"/>
      <c r="H91" s="270"/>
      <c r="I91" s="270"/>
      <c r="J91" s="270"/>
      <c r="K91" s="270"/>
      <c r="L91" s="270"/>
      <c r="M91" s="270"/>
      <c r="N91" s="270"/>
      <c r="O91" s="270"/>
      <c r="P91" s="272">
        <f>P89</f>
        <v>61660197.208775207</v>
      </c>
      <c r="Q91" s="273"/>
      <c r="S91" s="270"/>
      <c r="T91" s="310"/>
      <c r="U91" s="270"/>
      <c r="V91" s="270"/>
      <c r="W91" s="270"/>
      <c r="X91" s="270"/>
      <c r="Y91" s="270"/>
    </row>
    <row r="92" spans="1:25" ht="14.25" hidden="1">
      <c r="A92" s="270"/>
      <c r="B92" s="270"/>
      <c r="C92" s="270"/>
      <c r="D92" s="270"/>
      <c r="E92" s="270"/>
      <c r="F92" s="270"/>
      <c r="G92" s="270"/>
      <c r="H92" s="270"/>
      <c r="I92" s="270"/>
      <c r="J92" s="270"/>
      <c r="K92" s="270"/>
      <c r="L92" s="270"/>
      <c r="M92" s="270"/>
      <c r="N92" s="270"/>
      <c r="O92" s="270"/>
      <c r="P92" s="270"/>
      <c r="Q92" s="270"/>
      <c r="R92" s="270"/>
      <c r="S92" s="270"/>
      <c r="T92" s="310"/>
      <c r="U92" s="270"/>
      <c r="V92" s="270"/>
      <c r="W92" s="270"/>
      <c r="X92" s="270"/>
      <c r="Y92" s="270"/>
    </row>
    <row r="93" spans="1:25" ht="14.25" hidden="1">
      <c r="A93" s="270"/>
      <c r="B93" s="270"/>
      <c r="C93" s="270"/>
      <c r="D93" s="270"/>
      <c r="E93" s="270"/>
      <c r="F93" s="270"/>
      <c r="G93" s="270"/>
      <c r="H93" s="270"/>
      <c r="I93" s="270"/>
      <c r="J93" s="270"/>
      <c r="K93" s="270"/>
      <c r="L93" s="270"/>
      <c r="M93" s="270"/>
      <c r="N93" s="270"/>
      <c r="O93" s="270"/>
      <c r="P93" s="270"/>
      <c r="Q93" s="270"/>
      <c r="R93" s="270"/>
      <c r="S93" s="270"/>
      <c r="T93" s="310"/>
      <c r="U93" s="270"/>
      <c r="V93" s="270"/>
      <c r="W93" s="270"/>
      <c r="X93" s="270"/>
      <c r="Y93" s="270"/>
    </row>
    <row r="94" spans="1:25" ht="15">
      <c r="A94" s="253" t="s">
        <v>388</v>
      </c>
      <c r="B94" s="270"/>
      <c r="C94" s="270"/>
      <c r="D94" s="270"/>
      <c r="E94" s="270"/>
      <c r="F94" s="270"/>
      <c r="G94" s="270"/>
      <c r="H94" s="270"/>
      <c r="I94" s="270"/>
      <c r="J94" s="270"/>
      <c r="K94" s="270"/>
      <c r="L94" s="270"/>
      <c r="M94" s="270"/>
      <c r="N94" s="270"/>
      <c r="O94" s="270"/>
      <c r="P94" s="270"/>
      <c r="Q94" s="270"/>
      <c r="R94" s="270"/>
      <c r="S94" s="270"/>
      <c r="T94" s="511"/>
      <c r="U94" s="270"/>
      <c r="V94" s="270"/>
      <c r="W94" s="270"/>
      <c r="X94" s="270"/>
      <c r="Y94" s="270"/>
    </row>
    <row r="95" spans="1:25" ht="15.75" thickBot="1">
      <c r="A95" s="274" t="s">
        <v>389</v>
      </c>
      <c r="B95" s="270"/>
      <c r="C95" s="270"/>
      <c r="D95" s="270"/>
      <c r="E95" s="270"/>
      <c r="F95" s="270"/>
      <c r="G95" s="270"/>
      <c r="H95" s="270"/>
      <c r="I95" s="270"/>
      <c r="J95" s="270"/>
      <c r="K95" s="270"/>
      <c r="L95" s="270"/>
      <c r="M95" s="270"/>
      <c r="N95" s="270"/>
      <c r="O95" s="270"/>
      <c r="P95" s="270"/>
      <c r="Q95" s="270"/>
      <c r="R95" s="270"/>
      <c r="S95" s="270"/>
      <c r="T95" s="511">
        <f>T89-Q89</f>
        <v>63048318.804947674</v>
      </c>
      <c r="U95" s="270"/>
      <c r="V95" s="270"/>
      <c r="W95" s="270"/>
      <c r="X95" s="270"/>
      <c r="Y95" s="270"/>
    </row>
    <row r="96" spans="1:25" s="312" customFormat="1" ht="17.100000000000001" customHeight="1">
      <c r="A96" s="322" t="s">
        <v>37</v>
      </c>
      <c r="C96" s="703" t="s">
        <v>458</v>
      </c>
      <c r="D96" s="703"/>
      <c r="E96" s="703"/>
      <c r="F96" s="703"/>
      <c r="G96" s="703"/>
      <c r="H96" s="703"/>
      <c r="I96" s="703"/>
      <c r="J96" s="703"/>
      <c r="K96" s="703"/>
      <c r="L96" s="703"/>
      <c r="M96" s="703"/>
      <c r="N96" s="703"/>
      <c r="O96" s="703"/>
      <c r="P96" s="703"/>
      <c r="Q96" s="703"/>
      <c r="R96" s="703"/>
      <c r="T96" s="511"/>
    </row>
    <row r="97" spans="1:25" s="312" customFormat="1" ht="17.100000000000001" customHeight="1">
      <c r="A97" s="322"/>
      <c r="C97" s="324" t="s">
        <v>459</v>
      </c>
      <c r="D97" s="323"/>
      <c r="E97" s="323"/>
      <c r="F97" s="323"/>
      <c r="G97" s="323"/>
      <c r="H97" s="323"/>
      <c r="I97" s="323"/>
      <c r="J97" s="323"/>
      <c r="K97" s="323"/>
      <c r="L97" s="323"/>
      <c r="M97" s="323"/>
      <c r="N97" s="323"/>
      <c r="O97" s="323"/>
      <c r="P97" s="323"/>
      <c r="Q97" s="323"/>
      <c r="R97" s="323"/>
      <c r="T97" s="310"/>
    </row>
    <row r="98" spans="1:25" s="312" customFormat="1" ht="17.100000000000001" customHeight="1">
      <c r="A98" s="322" t="s">
        <v>38</v>
      </c>
      <c r="C98" s="703" t="s">
        <v>460</v>
      </c>
      <c r="D98" s="703"/>
      <c r="E98" s="703"/>
      <c r="F98" s="703"/>
      <c r="G98" s="703"/>
      <c r="H98" s="703"/>
      <c r="I98" s="703"/>
      <c r="J98" s="703"/>
      <c r="K98" s="703"/>
      <c r="L98" s="703"/>
      <c r="M98" s="703"/>
      <c r="N98" s="703"/>
      <c r="O98" s="703"/>
      <c r="P98" s="703"/>
      <c r="Q98" s="703"/>
      <c r="R98" s="703"/>
      <c r="T98" s="310"/>
    </row>
    <row r="99" spans="1:25" s="312" customFormat="1" ht="17.100000000000001" customHeight="1">
      <c r="A99" s="322" t="s">
        <v>39</v>
      </c>
      <c r="C99" s="703" t="s">
        <v>461</v>
      </c>
      <c r="D99" s="703"/>
      <c r="E99" s="703"/>
      <c r="F99" s="703"/>
      <c r="G99" s="703"/>
      <c r="H99" s="703"/>
      <c r="I99" s="703"/>
      <c r="J99" s="703"/>
      <c r="K99" s="703"/>
      <c r="L99" s="703"/>
      <c r="M99" s="703"/>
      <c r="N99" s="703"/>
      <c r="O99" s="703"/>
      <c r="P99" s="703"/>
      <c r="Q99" s="703"/>
      <c r="R99" s="703"/>
      <c r="T99" s="310"/>
    </row>
    <row r="100" spans="1:25" s="312" customFormat="1" ht="17.100000000000001" customHeight="1">
      <c r="A100" s="322"/>
      <c r="C100" s="703" t="s">
        <v>462</v>
      </c>
      <c r="D100" s="703"/>
      <c r="E100" s="703"/>
      <c r="F100" s="703"/>
      <c r="G100" s="703"/>
      <c r="H100" s="703"/>
      <c r="I100" s="703"/>
      <c r="J100" s="703"/>
      <c r="K100" s="703"/>
      <c r="L100" s="703"/>
      <c r="M100" s="703"/>
      <c r="N100" s="703"/>
      <c r="O100" s="703"/>
      <c r="P100" s="703"/>
      <c r="Q100" s="703"/>
      <c r="R100" s="703"/>
      <c r="T100" s="310"/>
    </row>
    <row r="101" spans="1:25" s="312" customFormat="1" ht="17.100000000000001" customHeight="1">
      <c r="A101" s="322" t="s">
        <v>391</v>
      </c>
      <c r="C101" s="703" t="s">
        <v>463</v>
      </c>
      <c r="D101" s="703"/>
      <c r="E101" s="703"/>
      <c r="F101" s="703"/>
      <c r="G101" s="703"/>
      <c r="H101" s="703"/>
      <c r="I101" s="703"/>
      <c r="J101" s="703"/>
      <c r="K101" s="703"/>
      <c r="L101" s="703"/>
      <c r="M101" s="703"/>
      <c r="N101" s="703"/>
      <c r="O101" s="703"/>
      <c r="P101" s="703"/>
      <c r="Q101" s="703"/>
      <c r="R101" s="703"/>
    </row>
    <row r="102" spans="1:25" s="312" customFormat="1" ht="17.100000000000001" customHeight="1">
      <c r="A102" s="325" t="s">
        <v>40</v>
      </c>
      <c r="C102" s="703" t="s">
        <v>393</v>
      </c>
      <c r="D102" s="703"/>
      <c r="E102" s="703"/>
      <c r="F102" s="703"/>
      <c r="G102" s="703"/>
      <c r="H102" s="703"/>
      <c r="I102" s="703"/>
      <c r="J102" s="703"/>
      <c r="K102" s="703"/>
      <c r="L102" s="703"/>
      <c r="M102" s="703"/>
      <c r="N102" s="703"/>
      <c r="O102" s="703"/>
      <c r="P102" s="703"/>
      <c r="Q102" s="703"/>
      <c r="R102" s="703"/>
    </row>
    <row r="103" spans="1:25" s="312" customFormat="1" ht="17.100000000000001" customHeight="1">
      <c r="A103" s="325" t="s">
        <v>53</v>
      </c>
      <c r="C103" s="703" t="s">
        <v>464</v>
      </c>
      <c r="D103" s="703"/>
      <c r="E103" s="703"/>
      <c r="F103" s="703"/>
      <c r="G103" s="703"/>
      <c r="H103" s="703"/>
      <c r="I103" s="703"/>
      <c r="J103" s="703"/>
      <c r="K103" s="703"/>
      <c r="L103" s="703"/>
      <c r="M103" s="703"/>
      <c r="N103" s="703"/>
      <c r="O103" s="703"/>
      <c r="P103" s="703"/>
      <c r="Q103" s="703"/>
      <c r="R103" s="703"/>
    </row>
    <row r="104" spans="1:25" s="312" customFormat="1" ht="17.100000000000001" customHeight="1">
      <c r="A104" s="325" t="s">
        <v>54</v>
      </c>
      <c r="C104" s="703" t="s">
        <v>465</v>
      </c>
      <c r="D104" s="703"/>
      <c r="E104" s="703"/>
      <c r="F104" s="703"/>
      <c r="G104" s="703"/>
      <c r="H104" s="703"/>
      <c r="I104" s="703"/>
      <c r="J104" s="703"/>
      <c r="K104" s="703"/>
      <c r="L104" s="703"/>
      <c r="M104" s="703"/>
      <c r="N104" s="703"/>
      <c r="O104" s="703"/>
      <c r="P104" s="703"/>
      <c r="Q104" s="703"/>
      <c r="R104" s="703"/>
    </row>
    <row r="105" spans="1:25" s="312" customFormat="1" ht="17.100000000000001" customHeight="1">
      <c r="A105" s="325" t="s">
        <v>395</v>
      </c>
      <c r="C105" s="704" t="s">
        <v>466</v>
      </c>
      <c r="D105" s="704"/>
      <c r="E105" s="704"/>
      <c r="F105" s="704"/>
      <c r="G105" s="704"/>
      <c r="H105" s="704"/>
      <c r="I105" s="704"/>
      <c r="J105" s="704"/>
      <c r="K105" s="704"/>
      <c r="L105" s="704"/>
      <c r="M105" s="704"/>
      <c r="N105" s="704"/>
      <c r="O105" s="704"/>
      <c r="P105" s="704"/>
      <c r="Q105" s="704"/>
      <c r="R105" s="704"/>
    </row>
    <row r="106" spans="1:25" ht="17.100000000000001" customHeight="1">
      <c r="A106" s="326"/>
      <c r="B106" s="270"/>
      <c r="C106" s="270"/>
      <c r="D106" s="270"/>
      <c r="E106" s="270"/>
      <c r="F106" s="270"/>
      <c r="G106" s="270"/>
      <c r="H106" s="270"/>
      <c r="I106" s="270"/>
      <c r="J106" s="270"/>
      <c r="K106" s="270"/>
      <c r="L106" s="270"/>
      <c r="M106" s="270"/>
      <c r="N106" s="270"/>
      <c r="O106" s="270"/>
      <c r="P106" s="270"/>
      <c r="Q106" s="270"/>
      <c r="R106" s="270"/>
      <c r="S106" s="270"/>
      <c r="T106" s="270"/>
      <c r="U106" s="270"/>
      <c r="V106" s="270"/>
      <c r="W106" s="270"/>
      <c r="X106" s="270"/>
      <c r="Y106" s="270"/>
    </row>
    <row r="107" spans="1:25" ht="17.100000000000001" customHeight="1">
      <c r="A107" s="327"/>
      <c r="B107" s="253"/>
      <c r="C107" s="234"/>
      <c r="D107" s="234"/>
      <c r="E107" s="234"/>
      <c r="F107" s="234"/>
      <c r="G107" s="234"/>
      <c r="H107" s="245"/>
      <c r="I107" s="245"/>
      <c r="J107" s="228"/>
      <c r="K107" s="228"/>
      <c r="L107" s="253"/>
      <c r="M107" s="253"/>
      <c r="N107" s="242"/>
      <c r="O107" s="253"/>
      <c r="Q107" s="228"/>
      <c r="R107" s="328"/>
      <c r="S107" s="270"/>
      <c r="T107" s="270"/>
      <c r="U107" s="270"/>
      <c r="V107" s="270"/>
      <c r="W107" s="270"/>
      <c r="X107" s="270"/>
      <c r="Y107" s="270"/>
    </row>
    <row r="108" spans="1:25" ht="15">
      <c r="A108" s="327"/>
      <c r="B108" s="253"/>
      <c r="C108" s="234"/>
      <c r="D108" s="234"/>
      <c r="E108" s="234"/>
      <c r="F108" s="234"/>
      <c r="G108" s="234"/>
      <c r="H108" s="245"/>
      <c r="I108" s="245"/>
      <c r="J108" s="228"/>
      <c r="K108" s="228"/>
      <c r="L108" s="253"/>
      <c r="M108" s="253"/>
      <c r="N108" s="242"/>
      <c r="O108" s="253"/>
      <c r="P108" s="272"/>
      <c r="Q108" s="272"/>
      <c r="R108" s="272"/>
      <c r="S108" s="270"/>
      <c r="T108" s="329"/>
      <c r="U108" s="270"/>
      <c r="V108" s="270"/>
      <c r="W108" s="270"/>
      <c r="X108" s="270"/>
      <c r="Y108" s="270"/>
    </row>
    <row r="109" spans="1:25" ht="15">
      <c r="C109" s="270"/>
      <c r="D109" s="270"/>
      <c r="E109" s="270"/>
      <c r="F109" s="270"/>
      <c r="G109" s="270"/>
      <c r="H109" s="270"/>
      <c r="I109" s="270"/>
      <c r="J109" s="270"/>
      <c r="K109" s="270"/>
      <c r="L109" s="270"/>
      <c r="M109" s="270"/>
      <c r="N109" s="270"/>
      <c r="O109" s="270"/>
      <c r="P109" s="272"/>
      <c r="Q109" s="272"/>
      <c r="R109" s="272"/>
      <c r="S109" s="272"/>
      <c r="T109" s="272"/>
      <c r="U109" s="270"/>
      <c r="V109" s="270"/>
      <c r="W109" s="270"/>
      <c r="X109" s="270"/>
      <c r="Y109" s="270"/>
    </row>
    <row r="110" spans="1:25">
      <c r="C110" s="270"/>
      <c r="D110" s="270"/>
      <c r="E110" s="270"/>
      <c r="F110" s="270"/>
      <c r="G110" s="270"/>
      <c r="H110" s="270"/>
      <c r="I110" s="270"/>
      <c r="J110" s="270"/>
      <c r="K110" s="270"/>
      <c r="L110" s="270"/>
      <c r="M110" s="270"/>
      <c r="N110" s="270"/>
      <c r="O110" s="270"/>
      <c r="P110" s="270"/>
      <c r="Q110" s="270"/>
      <c r="R110" s="270"/>
      <c r="S110" s="270"/>
      <c r="T110" s="270"/>
      <c r="U110" s="270"/>
      <c r="V110" s="270"/>
      <c r="W110" s="270"/>
      <c r="X110" s="270"/>
      <c r="Y110" s="270"/>
    </row>
    <row r="111" spans="1:25">
      <c r="C111" s="270"/>
      <c r="D111" s="270"/>
      <c r="E111" s="270"/>
      <c r="F111" s="270"/>
      <c r="G111" s="270"/>
      <c r="H111" s="270"/>
      <c r="I111" s="270"/>
      <c r="J111" s="270"/>
      <c r="K111" s="270"/>
      <c r="L111" s="270"/>
      <c r="M111" s="270"/>
      <c r="N111" s="270"/>
      <c r="O111" s="270"/>
      <c r="P111" s="270"/>
      <c r="Q111" s="270"/>
      <c r="R111" s="270"/>
      <c r="S111" s="270"/>
      <c r="T111" s="270"/>
      <c r="U111" s="270"/>
      <c r="V111" s="270"/>
      <c r="W111" s="270"/>
      <c r="X111" s="270"/>
      <c r="Y111" s="270"/>
    </row>
    <row r="112" spans="1:25">
      <c r="C112" s="270"/>
      <c r="D112" s="270"/>
      <c r="E112" s="270"/>
      <c r="F112" s="270"/>
      <c r="G112" s="270"/>
      <c r="H112" s="270"/>
      <c r="I112" s="270"/>
      <c r="J112" s="270"/>
      <c r="K112" s="270"/>
      <c r="L112" s="270"/>
      <c r="M112" s="270"/>
      <c r="N112" s="270"/>
      <c r="O112" s="270"/>
      <c r="P112" s="270"/>
      <c r="Q112" s="270"/>
      <c r="R112" s="270"/>
      <c r="S112" s="270"/>
      <c r="T112" s="270"/>
      <c r="U112" s="270"/>
      <c r="V112" s="270"/>
      <c r="W112" s="270"/>
      <c r="X112" s="270"/>
      <c r="Y112" s="270"/>
    </row>
    <row r="113" spans="3:25">
      <c r="C113" s="270"/>
      <c r="D113" s="270"/>
      <c r="E113" s="270"/>
      <c r="F113" s="270"/>
      <c r="G113" s="270"/>
      <c r="H113" s="270"/>
      <c r="I113" s="270"/>
      <c r="J113" s="270"/>
      <c r="K113" s="270"/>
      <c r="L113" s="270"/>
      <c r="M113" s="270"/>
      <c r="N113" s="270"/>
      <c r="O113" s="270"/>
      <c r="P113" s="270"/>
      <c r="Q113" s="270"/>
      <c r="R113" s="270"/>
      <c r="S113" s="270"/>
      <c r="T113" s="270"/>
      <c r="U113" s="270"/>
      <c r="V113" s="270"/>
      <c r="W113" s="270"/>
      <c r="X113" s="270"/>
      <c r="Y113" s="270"/>
    </row>
    <row r="114" spans="3:25">
      <c r="C114" s="270"/>
      <c r="D114" s="270"/>
      <c r="E114" s="270"/>
      <c r="F114" s="270"/>
      <c r="G114" s="270"/>
      <c r="H114" s="270"/>
      <c r="I114" s="270"/>
      <c r="J114" s="270"/>
      <c r="K114" s="270"/>
      <c r="L114" s="270"/>
      <c r="M114" s="270"/>
      <c r="N114" s="270"/>
      <c r="O114" s="270"/>
      <c r="P114" s="270"/>
      <c r="Q114" s="270"/>
      <c r="R114" s="270"/>
      <c r="S114" s="270"/>
      <c r="T114" s="270"/>
      <c r="U114" s="270"/>
      <c r="V114" s="270"/>
      <c r="W114" s="270"/>
      <c r="X114" s="270"/>
      <c r="Y114" s="270"/>
    </row>
    <row r="115" spans="3:25">
      <c r="C115" s="270"/>
      <c r="D115" s="270"/>
      <c r="E115" s="270"/>
      <c r="F115" s="270"/>
      <c r="G115" s="270"/>
      <c r="H115" s="270"/>
      <c r="I115" s="270"/>
      <c r="J115" s="270"/>
      <c r="K115" s="270"/>
      <c r="L115" s="270"/>
      <c r="M115" s="270"/>
      <c r="N115" s="270"/>
      <c r="O115" s="270"/>
      <c r="P115" s="270"/>
      <c r="Q115" s="270"/>
      <c r="R115" s="270"/>
      <c r="S115" s="270"/>
      <c r="T115" s="270"/>
      <c r="U115" s="270"/>
      <c r="V115" s="270"/>
      <c r="W115" s="270"/>
      <c r="X115" s="270"/>
      <c r="Y115" s="270"/>
    </row>
    <row r="116" spans="3:25">
      <c r="C116" s="270"/>
      <c r="D116" s="270"/>
      <c r="E116" s="270"/>
      <c r="F116" s="270"/>
      <c r="G116" s="270"/>
      <c r="H116" s="270"/>
      <c r="I116" s="270"/>
      <c r="J116" s="270"/>
      <c r="K116" s="270"/>
      <c r="L116" s="270"/>
      <c r="M116" s="270"/>
      <c r="N116" s="270"/>
      <c r="O116" s="270"/>
      <c r="P116" s="270"/>
      <c r="Q116" s="270"/>
      <c r="R116" s="270"/>
      <c r="S116" s="270"/>
      <c r="T116" s="270"/>
      <c r="U116" s="270"/>
      <c r="V116" s="270"/>
      <c r="W116" s="270"/>
      <c r="X116" s="270"/>
      <c r="Y116" s="270"/>
    </row>
    <row r="117" spans="3:25">
      <c r="C117" s="270"/>
      <c r="D117" s="270"/>
      <c r="E117" s="270"/>
      <c r="F117" s="270"/>
      <c r="G117" s="270"/>
      <c r="H117" s="270"/>
      <c r="I117" s="270"/>
      <c r="J117" s="270"/>
      <c r="K117" s="270"/>
      <c r="L117" s="270"/>
      <c r="M117" s="270"/>
      <c r="N117" s="270"/>
      <c r="O117" s="270"/>
      <c r="P117" s="270"/>
      <c r="Q117" s="270"/>
      <c r="R117" s="270"/>
      <c r="S117" s="270"/>
      <c r="T117" s="270"/>
      <c r="U117" s="270"/>
      <c r="V117" s="270"/>
      <c r="W117" s="270"/>
      <c r="X117" s="270"/>
      <c r="Y117" s="270"/>
    </row>
    <row r="118" spans="3:25">
      <c r="C118" s="270"/>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row>
    <row r="119" spans="3:25">
      <c r="C119" s="270"/>
      <c r="D119" s="270"/>
      <c r="E119" s="270"/>
      <c r="F119" s="270"/>
      <c r="G119" s="270"/>
      <c r="H119" s="270"/>
      <c r="I119" s="270"/>
      <c r="J119" s="270"/>
      <c r="K119" s="270"/>
      <c r="L119" s="270"/>
      <c r="M119" s="270"/>
      <c r="N119" s="270"/>
      <c r="O119" s="270"/>
      <c r="P119" s="270"/>
      <c r="Q119" s="270"/>
      <c r="R119" s="270"/>
      <c r="S119" s="270"/>
      <c r="T119" s="270"/>
      <c r="U119" s="270"/>
      <c r="V119" s="270"/>
      <c r="W119" s="270"/>
      <c r="X119" s="270"/>
      <c r="Y119" s="270"/>
    </row>
    <row r="120" spans="3:25">
      <c r="C120" s="270"/>
      <c r="D120" s="270"/>
      <c r="E120" s="270"/>
      <c r="F120" s="270"/>
      <c r="G120" s="270"/>
      <c r="H120" s="270"/>
      <c r="I120" s="270"/>
      <c r="J120" s="270"/>
      <c r="K120" s="270"/>
      <c r="L120" s="270"/>
      <c r="M120" s="270"/>
      <c r="N120" s="270"/>
      <c r="O120" s="270"/>
      <c r="P120" s="270"/>
      <c r="Q120" s="270"/>
      <c r="R120" s="270"/>
      <c r="S120" s="270"/>
      <c r="T120" s="270"/>
      <c r="U120" s="270"/>
      <c r="V120" s="270"/>
      <c r="W120" s="270"/>
      <c r="X120" s="270"/>
      <c r="Y120" s="270"/>
    </row>
    <row r="121" spans="3:25">
      <c r="C121" s="270"/>
      <c r="D121" s="270"/>
      <c r="E121" s="270"/>
      <c r="F121" s="270"/>
      <c r="G121" s="270"/>
      <c r="H121" s="270"/>
      <c r="I121" s="270"/>
      <c r="J121" s="270"/>
      <c r="K121" s="270"/>
      <c r="L121" s="270"/>
      <c r="M121" s="270"/>
      <c r="N121" s="270"/>
      <c r="O121" s="270"/>
      <c r="P121" s="270"/>
      <c r="Q121" s="270"/>
      <c r="R121" s="270"/>
      <c r="S121" s="270"/>
      <c r="T121" s="270"/>
      <c r="U121" s="270"/>
      <c r="V121" s="270"/>
      <c r="W121" s="270"/>
      <c r="X121" s="270"/>
      <c r="Y121" s="270"/>
    </row>
    <row r="122" spans="3:25">
      <c r="C122" s="270"/>
      <c r="D122" s="270"/>
      <c r="E122" s="270"/>
      <c r="F122" s="270"/>
      <c r="G122" s="270"/>
      <c r="H122" s="270"/>
      <c r="I122" s="270"/>
      <c r="J122" s="270"/>
      <c r="K122" s="270"/>
      <c r="L122" s="270"/>
      <c r="M122" s="270"/>
      <c r="N122" s="270"/>
      <c r="O122" s="270"/>
      <c r="P122" s="270"/>
      <c r="Q122" s="270"/>
      <c r="R122" s="270"/>
      <c r="S122" s="270"/>
      <c r="T122" s="270"/>
      <c r="U122" s="270"/>
      <c r="V122" s="270"/>
      <c r="W122" s="270"/>
      <c r="X122" s="270"/>
      <c r="Y122" s="270"/>
    </row>
    <row r="123" spans="3:25">
      <c r="C123" s="270"/>
      <c r="D123" s="270"/>
      <c r="E123" s="270"/>
      <c r="F123" s="270"/>
      <c r="G123" s="270"/>
      <c r="H123" s="270"/>
      <c r="I123" s="270"/>
      <c r="J123" s="270"/>
      <c r="K123" s="270"/>
      <c r="L123" s="270"/>
      <c r="M123" s="270"/>
      <c r="N123" s="270"/>
      <c r="O123" s="270"/>
      <c r="P123" s="270"/>
      <c r="Q123" s="270"/>
      <c r="R123" s="270"/>
      <c r="S123" s="270"/>
      <c r="T123" s="270"/>
      <c r="U123" s="270"/>
      <c r="V123" s="270"/>
      <c r="W123" s="270"/>
      <c r="X123" s="270"/>
      <c r="Y123" s="270"/>
    </row>
    <row r="124" spans="3:25">
      <c r="C124" s="270"/>
      <c r="D124" s="270"/>
      <c r="E124" s="270"/>
      <c r="F124" s="270"/>
      <c r="G124" s="270"/>
      <c r="H124" s="270"/>
      <c r="I124" s="270"/>
      <c r="J124" s="270"/>
      <c r="K124" s="270"/>
      <c r="L124" s="270"/>
      <c r="M124" s="270"/>
      <c r="N124" s="270"/>
      <c r="O124" s="270"/>
      <c r="P124" s="270"/>
      <c r="Q124" s="270"/>
      <c r="R124" s="270"/>
      <c r="S124" s="270"/>
      <c r="T124" s="270"/>
      <c r="U124" s="270"/>
      <c r="V124" s="270"/>
      <c r="W124" s="270"/>
      <c r="X124" s="270"/>
      <c r="Y124" s="270"/>
    </row>
    <row r="125" spans="3:25">
      <c r="C125" s="270"/>
      <c r="D125" s="270"/>
      <c r="E125" s="270"/>
      <c r="F125" s="270"/>
      <c r="G125" s="270"/>
      <c r="H125" s="270"/>
      <c r="I125" s="270"/>
      <c r="J125" s="270"/>
      <c r="K125" s="270"/>
      <c r="L125" s="270"/>
      <c r="M125" s="270"/>
      <c r="N125" s="270"/>
      <c r="O125" s="270"/>
      <c r="P125" s="270"/>
      <c r="Q125" s="270"/>
      <c r="R125" s="270"/>
      <c r="S125" s="270"/>
      <c r="T125" s="270"/>
      <c r="U125" s="270"/>
      <c r="V125" s="270"/>
      <c r="W125" s="270"/>
      <c r="X125" s="270"/>
      <c r="Y125" s="270"/>
    </row>
    <row r="126" spans="3:25">
      <c r="C126" s="270"/>
      <c r="D126" s="270"/>
      <c r="E126" s="270"/>
      <c r="F126" s="270"/>
      <c r="G126" s="270"/>
      <c r="H126" s="270"/>
      <c r="I126" s="270"/>
      <c r="J126" s="270"/>
      <c r="K126" s="270"/>
      <c r="L126" s="270"/>
      <c r="M126" s="270"/>
      <c r="N126" s="270"/>
      <c r="O126" s="270"/>
      <c r="P126" s="270"/>
      <c r="Q126" s="270"/>
      <c r="R126" s="270"/>
      <c r="S126" s="270"/>
      <c r="T126" s="270"/>
      <c r="U126" s="270"/>
      <c r="V126" s="270"/>
      <c r="W126" s="270"/>
      <c r="X126" s="270"/>
      <c r="Y126" s="270"/>
    </row>
    <row r="127" spans="3:25">
      <c r="C127" s="270"/>
      <c r="D127" s="270"/>
      <c r="E127" s="270"/>
      <c r="F127" s="270"/>
      <c r="G127" s="270"/>
      <c r="H127" s="270"/>
      <c r="I127" s="270"/>
      <c r="J127" s="270"/>
      <c r="K127" s="270"/>
      <c r="L127" s="270"/>
      <c r="M127" s="270"/>
      <c r="N127" s="270"/>
      <c r="O127" s="270"/>
      <c r="P127" s="270"/>
      <c r="Q127" s="270"/>
      <c r="R127" s="270"/>
      <c r="S127" s="270"/>
      <c r="T127" s="270"/>
      <c r="U127" s="270"/>
      <c r="V127" s="270"/>
      <c r="W127" s="270"/>
      <c r="X127" s="270"/>
      <c r="Y127" s="270"/>
    </row>
    <row r="128" spans="3:25">
      <c r="C128" s="270"/>
      <c r="D128" s="270"/>
      <c r="E128" s="270"/>
      <c r="F128" s="270"/>
      <c r="G128" s="270"/>
      <c r="H128" s="270"/>
      <c r="I128" s="270"/>
      <c r="J128" s="270"/>
      <c r="K128" s="270"/>
      <c r="L128" s="270"/>
      <c r="M128" s="270"/>
      <c r="N128" s="270"/>
      <c r="O128" s="270"/>
      <c r="P128" s="270"/>
      <c r="Q128" s="270"/>
      <c r="R128" s="270"/>
      <c r="S128" s="270"/>
      <c r="T128" s="270"/>
      <c r="U128" s="270"/>
      <c r="V128" s="270"/>
      <c r="W128" s="270"/>
      <c r="X128" s="270"/>
      <c r="Y128" s="270"/>
    </row>
    <row r="129" spans="3:25">
      <c r="C129" s="270"/>
      <c r="D129" s="270"/>
      <c r="E129" s="270"/>
      <c r="F129" s="270"/>
      <c r="G129" s="270"/>
      <c r="H129" s="270"/>
      <c r="I129" s="270"/>
      <c r="J129" s="270"/>
      <c r="K129" s="270"/>
      <c r="L129" s="270"/>
      <c r="M129" s="270"/>
      <c r="N129" s="270"/>
      <c r="O129" s="270"/>
      <c r="P129" s="270"/>
      <c r="Q129" s="270"/>
      <c r="R129" s="270"/>
      <c r="S129" s="270"/>
      <c r="T129" s="270"/>
      <c r="U129" s="270"/>
      <c r="V129" s="270"/>
      <c r="W129" s="270"/>
      <c r="X129" s="270"/>
      <c r="Y129" s="270"/>
    </row>
    <row r="130" spans="3:25">
      <c r="C130" s="270"/>
      <c r="D130" s="270"/>
      <c r="E130" s="270"/>
      <c r="F130" s="270"/>
      <c r="G130" s="270"/>
      <c r="H130" s="270"/>
      <c r="I130" s="270"/>
      <c r="J130" s="270"/>
      <c r="K130" s="270"/>
      <c r="L130" s="270"/>
      <c r="M130" s="270"/>
      <c r="N130" s="270"/>
      <c r="O130" s="270"/>
      <c r="P130" s="270"/>
      <c r="Q130" s="270"/>
      <c r="R130" s="270"/>
      <c r="S130" s="270"/>
      <c r="T130" s="270"/>
      <c r="U130" s="270"/>
      <c r="V130" s="270"/>
      <c r="W130" s="270"/>
      <c r="X130" s="270"/>
      <c r="Y130" s="270"/>
    </row>
    <row r="131" spans="3:25">
      <c r="C131" s="270"/>
      <c r="D131" s="270"/>
      <c r="E131" s="270"/>
      <c r="F131" s="270"/>
      <c r="G131" s="270"/>
      <c r="H131" s="270"/>
      <c r="I131" s="270"/>
      <c r="J131" s="270"/>
      <c r="K131" s="270"/>
      <c r="L131" s="270"/>
      <c r="M131" s="270"/>
      <c r="N131" s="270"/>
      <c r="O131" s="270"/>
      <c r="P131" s="270"/>
      <c r="Q131" s="270"/>
      <c r="R131" s="270"/>
      <c r="S131" s="270"/>
      <c r="T131" s="270"/>
      <c r="U131" s="270"/>
      <c r="V131" s="270"/>
      <c r="W131" s="270"/>
      <c r="X131" s="270"/>
      <c r="Y131" s="270"/>
    </row>
    <row r="132" spans="3:25">
      <c r="C132" s="270"/>
      <c r="D132" s="270"/>
      <c r="E132" s="270"/>
      <c r="F132" s="270"/>
      <c r="G132" s="270"/>
      <c r="H132" s="270"/>
      <c r="I132" s="270"/>
      <c r="J132" s="270"/>
      <c r="K132" s="270"/>
      <c r="L132" s="270"/>
      <c r="M132" s="270"/>
      <c r="N132" s="270"/>
      <c r="O132" s="270"/>
      <c r="P132" s="270"/>
      <c r="Q132" s="270"/>
      <c r="R132" s="270"/>
      <c r="S132" s="270"/>
      <c r="T132" s="270"/>
      <c r="U132" s="270"/>
      <c r="V132" s="270"/>
      <c r="W132" s="270"/>
      <c r="X132" s="270"/>
      <c r="Y132" s="270"/>
    </row>
    <row r="133" spans="3:25">
      <c r="C133" s="270"/>
      <c r="D133" s="270"/>
      <c r="E133" s="270"/>
      <c r="F133" s="270"/>
      <c r="G133" s="270"/>
      <c r="H133" s="270"/>
      <c r="I133" s="270"/>
      <c r="J133" s="270"/>
      <c r="K133" s="270"/>
      <c r="L133" s="270"/>
      <c r="M133" s="270"/>
      <c r="N133" s="270"/>
      <c r="O133" s="270"/>
      <c r="P133" s="270"/>
      <c r="Q133" s="270"/>
      <c r="R133" s="270"/>
      <c r="S133" s="270"/>
      <c r="T133" s="270"/>
      <c r="U133" s="270"/>
      <c r="V133" s="270"/>
      <c r="W133" s="270"/>
      <c r="X133" s="270"/>
      <c r="Y133" s="270"/>
    </row>
    <row r="134" spans="3:25">
      <c r="C134" s="270"/>
      <c r="D134" s="270"/>
      <c r="E134" s="270"/>
      <c r="F134" s="270"/>
      <c r="G134" s="270"/>
      <c r="H134" s="270"/>
      <c r="I134" s="270"/>
      <c r="J134" s="270"/>
      <c r="K134" s="270"/>
      <c r="L134" s="270"/>
      <c r="M134" s="270"/>
      <c r="N134" s="270"/>
      <c r="O134" s="270"/>
      <c r="P134" s="270"/>
      <c r="Q134" s="270"/>
      <c r="R134" s="270"/>
      <c r="S134" s="270"/>
      <c r="T134" s="270"/>
      <c r="U134" s="270"/>
      <c r="V134" s="270"/>
      <c r="W134" s="270"/>
      <c r="X134" s="270"/>
      <c r="Y134" s="270"/>
    </row>
    <row r="135" spans="3:25">
      <c r="C135" s="270"/>
      <c r="D135" s="270"/>
      <c r="E135" s="270"/>
      <c r="F135" s="270"/>
      <c r="G135" s="270"/>
      <c r="H135" s="270"/>
      <c r="I135" s="270"/>
      <c r="J135" s="270"/>
      <c r="K135" s="270"/>
      <c r="L135" s="270"/>
      <c r="M135" s="270"/>
      <c r="N135" s="270"/>
      <c r="O135" s="270"/>
      <c r="P135" s="270"/>
      <c r="Q135" s="270"/>
      <c r="R135" s="270"/>
      <c r="S135" s="270"/>
      <c r="T135" s="270"/>
      <c r="U135" s="270"/>
      <c r="V135" s="270"/>
      <c r="W135" s="270"/>
      <c r="X135" s="270"/>
      <c r="Y135" s="270"/>
    </row>
    <row r="136" spans="3:25">
      <c r="C136" s="270"/>
      <c r="D136" s="270"/>
      <c r="E136" s="270"/>
      <c r="F136" s="270"/>
      <c r="G136" s="270"/>
      <c r="H136" s="270"/>
      <c r="I136" s="270"/>
      <c r="J136" s="270"/>
      <c r="K136" s="270"/>
      <c r="L136" s="270"/>
      <c r="M136" s="270"/>
      <c r="N136" s="270"/>
      <c r="O136" s="270"/>
      <c r="P136" s="270"/>
      <c r="Q136" s="270"/>
      <c r="R136" s="270"/>
      <c r="S136" s="270"/>
      <c r="T136" s="270"/>
      <c r="U136" s="270"/>
      <c r="V136" s="270"/>
      <c r="W136" s="270"/>
      <c r="X136" s="270"/>
      <c r="Y136" s="270"/>
    </row>
    <row r="137" spans="3:25">
      <c r="C137" s="270"/>
      <c r="D137" s="270"/>
      <c r="E137" s="270"/>
      <c r="F137" s="270"/>
      <c r="G137" s="270"/>
      <c r="H137" s="270"/>
      <c r="I137" s="270"/>
      <c r="J137" s="270"/>
      <c r="K137" s="270"/>
      <c r="L137" s="270"/>
      <c r="M137" s="270"/>
      <c r="N137" s="270"/>
      <c r="O137" s="270"/>
      <c r="P137" s="270"/>
      <c r="Q137" s="270"/>
      <c r="R137" s="270"/>
      <c r="S137" s="270"/>
      <c r="T137" s="270"/>
      <c r="U137" s="270"/>
      <c r="V137" s="270"/>
      <c r="W137" s="270"/>
      <c r="X137" s="270"/>
      <c r="Y137" s="270"/>
    </row>
    <row r="138" spans="3:25">
      <c r="C138" s="270"/>
      <c r="D138" s="270"/>
      <c r="E138" s="270"/>
      <c r="F138" s="270"/>
      <c r="G138" s="270"/>
      <c r="H138" s="270"/>
      <c r="I138" s="270"/>
      <c r="J138" s="270"/>
      <c r="K138" s="270"/>
      <c r="L138" s="270"/>
      <c r="M138" s="270"/>
      <c r="N138" s="270"/>
      <c r="O138" s="270"/>
      <c r="P138" s="270"/>
      <c r="Q138" s="270"/>
      <c r="R138" s="270"/>
      <c r="S138" s="270"/>
      <c r="T138" s="270"/>
      <c r="U138" s="270"/>
      <c r="V138" s="270"/>
      <c r="W138" s="270"/>
      <c r="X138" s="270"/>
      <c r="Y138" s="270"/>
    </row>
    <row r="139" spans="3:25">
      <c r="C139" s="270"/>
      <c r="D139" s="270"/>
      <c r="E139" s="270"/>
      <c r="F139" s="270"/>
      <c r="G139" s="270"/>
      <c r="H139" s="270"/>
      <c r="I139" s="270"/>
      <c r="J139" s="270"/>
      <c r="K139" s="270"/>
      <c r="L139" s="270"/>
      <c r="M139" s="270"/>
      <c r="N139" s="270"/>
      <c r="O139" s="270"/>
      <c r="P139" s="270"/>
      <c r="Q139" s="270"/>
      <c r="R139" s="270"/>
      <c r="S139" s="270"/>
      <c r="T139" s="270"/>
      <c r="U139" s="270"/>
      <c r="V139" s="270"/>
      <c r="W139" s="270"/>
      <c r="X139" s="270"/>
      <c r="Y139" s="270"/>
    </row>
    <row r="140" spans="3:25">
      <c r="C140" s="270"/>
      <c r="D140" s="270"/>
      <c r="E140" s="270"/>
      <c r="F140" s="270"/>
      <c r="G140" s="270"/>
      <c r="H140" s="270"/>
      <c r="I140" s="270"/>
      <c r="J140" s="270"/>
      <c r="K140" s="270"/>
      <c r="L140" s="270"/>
      <c r="M140" s="270"/>
      <c r="N140" s="270"/>
      <c r="O140" s="270"/>
      <c r="P140" s="270"/>
      <c r="Q140" s="270"/>
      <c r="R140" s="270"/>
      <c r="S140" s="270"/>
      <c r="T140" s="270"/>
      <c r="U140" s="270"/>
      <c r="V140" s="270"/>
      <c r="W140" s="270"/>
      <c r="X140" s="270"/>
      <c r="Y140" s="270"/>
    </row>
    <row r="141" spans="3:25">
      <c r="C141" s="270"/>
      <c r="D141" s="270"/>
      <c r="E141" s="270"/>
      <c r="F141" s="270"/>
      <c r="G141" s="270"/>
      <c r="H141" s="270"/>
      <c r="I141" s="270"/>
      <c r="J141" s="270"/>
      <c r="K141" s="270"/>
      <c r="L141" s="270"/>
      <c r="M141" s="270"/>
      <c r="N141" s="270"/>
      <c r="O141" s="270"/>
      <c r="P141" s="270"/>
      <c r="Q141" s="270"/>
      <c r="R141" s="270"/>
      <c r="S141" s="270"/>
      <c r="T141" s="270"/>
      <c r="U141" s="270"/>
      <c r="V141" s="270"/>
      <c r="W141" s="270"/>
      <c r="X141" s="270"/>
      <c r="Y141" s="270"/>
    </row>
    <row r="142" spans="3:25">
      <c r="C142" s="270"/>
      <c r="D142" s="270"/>
      <c r="E142" s="270"/>
      <c r="F142" s="270"/>
      <c r="G142" s="270"/>
      <c r="H142" s="270"/>
      <c r="I142" s="270"/>
      <c r="J142" s="270"/>
      <c r="K142" s="270"/>
      <c r="L142" s="270"/>
      <c r="M142" s="270"/>
      <c r="N142" s="270"/>
      <c r="O142" s="270"/>
      <c r="P142" s="270"/>
      <c r="Q142" s="270"/>
      <c r="R142" s="270"/>
      <c r="S142" s="270"/>
      <c r="T142" s="270"/>
      <c r="U142" s="270"/>
      <c r="V142" s="270"/>
      <c r="W142" s="270"/>
      <c r="X142" s="270"/>
      <c r="Y142" s="270"/>
    </row>
    <row r="143" spans="3:25">
      <c r="C143" s="270"/>
      <c r="D143" s="270"/>
      <c r="E143" s="270"/>
      <c r="F143" s="270"/>
      <c r="G143" s="270"/>
      <c r="H143" s="270"/>
      <c r="I143" s="270"/>
      <c r="J143" s="270"/>
      <c r="K143" s="270"/>
      <c r="L143" s="270"/>
      <c r="M143" s="270"/>
      <c r="N143" s="270"/>
      <c r="O143" s="270"/>
      <c r="P143" s="270"/>
      <c r="Q143" s="270"/>
      <c r="R143" s="270"/>
      <c r="S143" s="270"/>
      <c r="T143" s="270"/>
      <c r="U143" s="270"/>
      <c r="V143" s="270"/>
      <c r="W143" s="270"/>
      <c r="X143" s="270"/>
      <c r="Y143" s="270"/>
    </row>
    <row r="144" spans="3:25">
      <c r="C144" s="270"/>
      <c r="D144" s="270"/>
      <c r="E144" s="270"/>
      <c r="F144" s="270"/>
      <c r="G144" s="270"/>
      <c r="H144" s="270"/>
      <c r="I144" s="270"/>
      <c r="J144" s="270"/>
      <c r="K144" s="270"/>
      <c r="L144" s="270"/>
      <c r="M144" s="270"/>
      <c r="N144" s="270"/>
      <c r="O144" s="270"/>
      <c r="P144" s="270"/>
      <c r="Q144" s="270"/>
      <c r="R144" s="270"/>
      <c r="S144" s="270"/>
      <c r="T144" s="270"/>
      <c r="U144" s="270"/>
      <c r="V144" s="270"/>
      <c r="W144" s="270"/>
      <c r="X144" s="270"/>
      <c r="Y144" s="270"/>
    </row>
    <row r="145" spans="3:25">
      <c r="C145" s="270"/>
      <c r="D145" s="270"/>
      <c r="E145" s="270"/>
      <c r="F145" s="270"/>
      <c r="G145" s="270"/>
      <c r="H145" s="270"/>
      <c r="I145" s="270"/>
      <c r="J145" s="270"/>
      <c r="K145" s="270"/>
      <c r="L145" s="270"/>
      <c r="M145" s="270"/>
      <c r="N145" s="270"/>
      <c r="O145" s="270"/>
      <c r="P145" s="270"/>
      <c r="Q145" s="270"/>
      <c r="R145" s="270"/>
      <c r="S145" s="270"/>
      <c r="T145" s="270"/>
      <c r="U145" s="270"/>
      <c r="V145" s="270"/>
      <c r="W145" s="270"/>
      <c r="X145" s="270"/>
      <c r="Y145" s="270"/>
    </row>
    <row r="146" spans="3:25">
      <c r="C146" s="270"/>
      <c r="D146" s="270"/>
      <c r="E146" s="270"/>
      <c r="F146" s="270"/>
      <c r="G146" s="270"/>
      <c r="H146" s="270"/>
      <c r="I146" s="270"/>
      <c r="J146" s="270"/>
      <c r="K146" s="270"/>
      <c r="L146" s="270"/>
      <c r="M146" s="270"/>
      <c r="N146" s="270"/>
      <c r="O146" s="270"/>
      <c r="P146" s="270"/>
      <c r="Q146" s="270"/>
      <c r="R146" s="270"/>
      <c r="S146" s="270"/>
      <c r="T146" s="270"/>
      <c r="U146" s="270"/>
      <c r="V146" s="270"/>
      <c r="W146" s="270"/>
      <c r="X146" s="270"/>
      <c r="Y146" s="270"/>
    </row>
    <row r="147" spans="3:25">
      <c r="C147" s="270"/>
      <c r="D147" s="270"/>
      <c r="E147" s="270"/>
      <c r="F147" s="270"/>
      <c r="G147" s="270"/>
      <c r="H147" s="270"/>
      <c r="I147" s="270"/>
      <c r="J147" s="270"/>
      <c r="K147" s="270"/>
      <c r="L147" s="270"/>
      <c r="M147" s="270"/>
      <c r="N147" s="270"/>
      <c r="O147" s="270"/>
      <c r="P147" s="270"/>
      <c r="Q147" s="270"/>
      <c r="R147" s="270"/>
      <c r="S147" s="270"/>
      <c r="T147" s="270"/>
      <c r="U147" s="270"/>
      <c r="V147" s="270"/>
      <c r="W147" s="270"/>
      <c r="X147" s="270"/>
      <c r="Y147" s="270"/>
    </row>
    <row r="148" spans="3:25">
      <c r="C148" s="270"/>
      <c r="D148" s="270"/>
      <c r="E148" s="270"/>
      <c r="F148" s="270"/>
      <c r="G148" s="270"/>
      <c r="H148" s="270"/>
      <c r="I148" s="270"/>
      <c r="J148" s="270"/>
      <c r="K148" s="270"/>
      <c r="L148" s="270"/>
      <c r="M148" s="270"/>
      <c r="N148" s="270"/>
      <c r="O148" s="270"/>
      <c r="P148" s="270"/>
      <c r="Q148" s="270"/>
      <c r="R148" s="270"/>
      <c r="S148" s="270"/>
      <c r="T148" s="270"/>
      <c r="U148" s="270"/>
      <c r="V148" s="270"/>
      <c r="W148" s="270"/>
      <c r="X148" s="270"/>
      <c r="Y148" s="270"/>
    </row>
    <row r="149" spans="3:25">
      <c r="C149" s="270"/>
      <c r="D149" s="270"/>
      <c r="E149" s="270"/>
      <c r="F149" s="270"/>
      <c r="G149" s="270"/>
      <c r="H149" s="270"/>
      <c r="I149" s="270"/>
      <c r="J149" s="270"/>
      <c r="K149" s="270"/>
      <c r="L149" s="270"/>
      <c r="M149" s="270"/>
      <c r="N149" s="270"/>
      <c r="O149" s="270"/>
      <c r="P149" s="270"/>
      <c r="Q149" s="270"/>
      <c r="R149" s="270"/>
      <c r="S149" s="270"/>
      <c r="T149" s="270"/>
      <c r="U149" s="270"/>
      <c r="V149" s="270"/>
      <c r="W149" s="270"/>
      <c r="X149" s="270"/>
      <c r="Y149" s="270"/>
    </row>
    <row r="150" spans="3:25">
      <c r="C150" s="270"/>
      <c r="D150" s="270"/>
      <c r="E150" s="270"/>
      <c r="F150" s="270"/>
      <c r="G150" s="270"/>
      <c r="H150" s="270"/>
      <c r="I150" s="270"/>
      <c r="J150" s="270"/>
      <c r="K150" s="270"/>
      <c r="L150" s="270"/>
      <c r="M150" s="270"/>
      <c r="N150" s="270"/>
      <c r="O150" s="270"/>
      <c r="P150" s="270"/>
      <c r="Q150" s="270"/>
      <c r="R150" s="270"/>
      <c r="S150" s="270"/>
      <c r="T150" s="270"/>
      <c r="U150" s="270"/>
      <c r="V150" s="270"/>
      <c r="W150" s="270"/>
      <c r="X150" s="270"/>
      <c r="Y150" s="270"/>
    </row>
    <row r="151" spans="3:25">
      <c r="C151" s="270"/>
      <c r="D151" s="270"/>
      <c r="E151" s="270"/>
      <c r="F151" s="270"/>
      <c r="G151" s="270"/>
      <c r="H151" s="270"/>
      <c r="I151" s="270"/>
      <c r="J151" s="270"/>
      <c r="K151" s="270"/>
      <c r="L151" s="270"/>
      <c r="M151" s="270"/>
      <c r="N151" s="270"/>
      <c r="O151" s="270"/>
      <c r="P151" s="270"/>
      <c r="Q151" s="270"/>
      <c r="R151" s="270"/>
      <c r="S151" s="270"/>
      <c r="T151" s="270"/>
      <c r="U151" s="270"/>
      <c r="V151" s="270"/>
      <c r="W151" s="270"/>
      <c r="X151" s="270"/>
      <c r="Y151" s="270"/>
    </row>
    <row r="152" spans="3:25">
      <c r="C152" s="270"/>
      <c r="D152" s="270"/>
      <c r="E152" s="270"/>
      <c r="F152" s="270"/>
      <c r="G152" s="270"/>
      <c r="H152" s="270"/>
      <c r="I152" s="270"/>
      <c r="J152" s="270"/>
      <c r="K152" s="270"/>
      <c r="L152" s="270"/>
      <c r="M152" s="270"/>
      <c r="N152" s="270"/>
      <c r="O152" s="270"/>
      <c r="P152" s="270"/>
      <c r="Q152" s="270"/>
      <c r="R152" s="270"/>
      <c r="S152" s="270"/>
      <c r="T152" s="270"/>
      <c r="U152" s="270"/>
      <c r="V152" s="270"/>
      <c r="W152" s="270"/>
      <c r="X152" s="270"/>
      <c r="Y152" s="270"/>
    </row>
    <row r="153" spans="3:25">
      <c r="C153" s="270"/>
      <c r="D153" s="270"/>
      <c r="E153" s="270"/>
      <c r="F153" s="270"/>
      <c r="G153" s="270"/>
      <c r="H153" s="270"/>
      <c r="I153" s="270"/>
      <c r="J153" s="270"/>
      <c r="K153" s="270"/>
      <c r="L153" s="270"/>
      <c r="M153" s="270"/>
      <c r="N153" s="270"/>
      <c r="O153" s="270"/>
      <c r="P153" s="270"/>
      <c r="Q153" s="270"/>
      <c r="R153" s="270"/>
      <c r="S153" s="270"/>
      <c r="T153" s="270"/>
      <c r="U153" s="270"/>
      <c r="V153" s="270"/>
      <c r="W153" s="270"/>
      <c r="X153" s="270"/>
      <c r="Y153" s="270"/>
    </row>
    <row r="154" spans="3:25">
      <c r="C154" s="270"/>
      <c r="D154" s="270"/>
      <c r="E154" s="270"/>
      <c r="F154" s="270"/>
      <c r="G154" s="270"/>
      <c r="H154" s="270"/>
      <c r="I154" s="270"/>
      <c r="J154" s="270"/>
      <c r="K154" s="270"/>
      <c r="L154" s="270"/>
      <c r="M154" s="270"/>
      <c r="N154" s="270"/>
      <c r="O154" s="270"/>
      <c r="P154" s="270"/>
      <c r="Q154" s="270"/>
      <c r="R154" s="270"/>
      <c r="S154" s="270"/>
      <c r="T154" s="270"/>
      <c r="U154" s="270"/>
      <c r="V154" s="270"/>
      <c r="W154" s="270"/>
      <c r="X154" s="270"/>
      <c r="Y154" s="270"/>
    </row>
    <row r="155" spans="3:25">
      <c r="C155" s="270"/>
      <c r="D155" s="270"/>
      <c r="E155" s="270"/>
      <c r="F155" s="270"/>
      <c r="G155" s="270"/>
      <c r="H155" s="270"/>
      <c r="I155" s="270"/>
      <c r="J155" s="270"/>
      <c r="K155" s="270"/>
      <c r="L155" s="270"/>
      <c r="M155" s="270"/>
      <c r="N155" s="270"/>
      <c r="O155" s="270"/>
      <c r="P155" s="270"/>
      <c r="Q155" s="270"/>
      <c r="R155" s="270"/>
      <c r="S155" s="270"/>
      <c r="T155" s="270"/>
      <c r="U155" s="270"/>
      <c r="V155" s="270"/>
      <c r="W155" s="270"/>
      <c r="X155" s="270"/>
      <c r="Y155" s="270"/>
    </row>
    <row r="156" spans="3:25">
      <c r="C156" s="270"/>
      <c r="D156" s="270"/>
      <c r="E156" s="270"/>
      <c r="F156" s="270"/>
      <c r="G156" s="270"/>
      <c r="H156" s="270"/>
      <c r="I156" s="270"/>
      <c r="J156" s="270"/>
      <c r="K156" s="270"/>
      <c r="L156" s="270"/>
      <c r="M156" s="270"/>
      <c r="N156" s="270"/>
      <c r="O156" s="270"/>
      <c r="P156" s="270"/>
      <c r="Q156" s="270"/>
      <c r="R156" s="270"/>
      <c r="S156" s="270"/>
      <c r="T156" s="270"/>
      <c r="U156" s="270"/>
      <c r="V156" s="270"/>
      <c r="W156" s="270"/>
      <c r="X156" s="270"/>
      <c r="Y156" s="270"/>
    </row>
    <row r="157" spans="3:25">
      <c r="C157" s="270"/>
      <c r="D157" s="270"/>
      <c r="E157" s="270"/>
      <c r="F157" s="270"/>
      <c r="G157" s="270"/>
      <c r="H157" s="270"/>
      <c r="I157" s="270"/>
      <c r="J157" s="270"/>
      <c r="K157" s="270"/>
      <c r="L157" s="270"/>
      <c r="M157" s="270"/>
      <c r="N157" s="270"/>
      <c r="O157" s="270"/>
      <c r="P157" s="270"/>
      <c r="Q157" s="270"/>
      <c r="R157" s="270"/>
      <c r="S157" s="270"/>
      <c r="T157" s="270"/>
      <c r="U157" s="270"/>
      <c r="V157" s="270"/>
      <c r="W157" s="270"/>
      <c r="X157" s="270"/>
      <c r="Y157" s="270"/>
    </row>
    <row r="158" spans="3:25">
      <c r="C158" s="270"/>
      <c r="D158" s="270"/>
      <c r="E158" s="270"/>
      <c r="F158" s="270"/>
      <c r="G158" s="270"/>
      <c r="H158" s="270"/>
      <c r="I158" s="270"/>
      <c r="J158" s="270"/>
      <c r="K158" s="270"/>
      <c r="L158" s="270"/>
      <c r="M158" s="270"/>
      <c r="N158" s="270"/>
      <c r="O158" s="270"/>
      <c r="P158" s="270"/>
      <c r="Q158" s="270"/>
      <c r="R158" s="270"/>
      <c r="S158" s="270"/>
      <c r="T158" s="270"/>
      <c r="U158" s="270"/>
      <c r="V158" s="270"/>
      <c r="W158" s="270"/>
      <c r="X158" s="270"/>
      <c r="Y158" s="270"/>
    </row>
    <row r="159" spans="3:25">
      <c r="C159" s="270"/>
      <c r="D159" s="270"/>
      <c r="E159" s="270"/>
      <c r="F159" s="270"/>
      <c r="G159" s="270"/>
      <c r="H159" s="270"/>
      <c r="I159" s="270"/>
      <c r="J159" s="270"/>
      <c r="K159" s="270"/>
      <c r="L159" s="270"/>
      <c r="M159" s="270"/>
      <c r="N159" s="270"/>
      <c r="O159" s="270"/>
      <c r="P159" s="270"/>
      <c r="Q159" s="270"/>
      <c r="R159" s="270"/>
      <c r="S159" s="270"/>
      <c r="T159" s="270"/>
      <c r="U159" s="270"/>
      <c r="V159" s="270"/>
      <c r="W159" s="270"/>
      <c r="X159" s="270"/>
      <c r="Y159" s="270"/>
    </row>
    <row r="160" spans="3:25">
      <c r="C160" s="270"/>
      <c r="D160" s="270"/>
      <c r="E160" s="270"/>
      <c r="F160" s="270"/>
      <c r="G160" s="270"/>
      <c r="H160" s="270"/>
      <c r="I160" s="270"/>
      <c r="J160" s="270"/>
      <c r="K160" s="270"/>
      <c r="L160" s="270"/>
      <c r="M160" s="270"/>
      <c r="N160" s="270"/>
      <c r="O160" s="270"/>
      <c r="P160" s="270"/>
      <c r="Q160" s="270"/>
      <c r="R160" s="270"/>
      <c r="S160" s="270"/>
      <c r="T160" s="270"/>
      <c r="U160" s="270"/>
      <c r="V160" s="270"/>
      <c r="W160" s="270"/>
      <c r="X160" s="270"/>
      <c r="Y160" s="270"/>
    </row>
    <row r="161" spans="3:25">
      <c r="C161" s="270"/>
      <c r="D161" s="270"/>
      <c r="E161" s="270"/>
      <c r="F161" s="270"/>
      <c r="G161" s="270"/>
      <c r="H161" s="270"/>
      <c r="I161" s="270"/>
      <c r="J161" s="270"/>
      <c r="K161" s="270"/>
      <c r="L161" s="270"/>
      <c r="M161" s="270"/>
      <c r="N161" s="270"/>
      <c r="O161" s="270"/>
      <c r="P161" s="270"/>
      <c r="Q161" s="270"/>
      <c r="R161" s="270"/>
      <c r="S161" s="270"/>
      <c r="T161" s="270"/>
      <c r="U161" s="270"/>
      <c r="V161" s="270"/>
      <c r="W161" s="270"/>
      <c r="X161" s="270"/>
      <c r="Y161" s="270"/>
    </row>
    <row r="162" spans="3:25">
      <c r="C162" s="270"/>
      <c r="D162" s="270"/>
      <c r="E162" s="270"/>
      <c r="F162" s="270"/>
      <c r="G162" s="270"/>
      <c r="H162" s="270"/>
      <c r="I162" s="270"/>
      <c r="J162" s="270"/>
      <c r="K162" s="270"/>
      <c r="L162" s="270"/>
      <c r="M162" s="270"/>
      <c r="N162" s="270"/>
      <c r="O162" s="270"/>
      <c r="P162" s="270"/>
      <c r="Q162" s="270"/>
      <c r="R162" s="270"/>
      <c r="S162" s="270"/>
      <c r="T162" s="270"/>
      <c r="U162" s="270"/>
      <c r="V162" s="270"/>
      <c r="W162" s="270"/>
      <c r="X162" s="270"/>
      <c r="Y162" s="270"/>
    </row>
    <row r="163" spans="3:25">
      <c r="C163" s="270"/>
      <c r="D163" s="270"/>
      <c r="E163" s="270"/>
      <c r="F163" s="270"/>
      <c r="G163" s="270"/>
      <c r="H163" s="270"/>
      <c r="I163" s="270"/>
      <c r="J163" s="270"/>
      <c r="K163" s="270"/>
      <c r="L163" s="270"/>
      <c r="M163" s="270"/>
      <c r="N163" s="270"/>
      <c r="O163" s="270"/>
      <c r="P163" s="270"/>
      <c r="Q163" s="270"/>
      <c r="R163" s="270"/>
      <c r="S163" s="270"/>
      <c r="T163" s="270"/>
      <c r="U163" s="270"/>
      <c r="V163" s="270"/>
      <c r="W163" s="270"/>
      <c r="X163" s="270"/>
      <c r="Y163" s="270"/>
    </row>
    <row r="164" spans="3:25">
      <c r="C164" s="270"/>
      <c r="D164" s="270"/>
      <c r="E164" s="270"/>
      <c r="F164" s="270"/>
      <c r="G164" s="270"/>
      <c r="H164" s="270"/>
      <c r="I164" s="270"/>
      <c r="J164" s="270"/>
      <c r="K164" s="270"/>
      <c r="L164" s="270"/>
      <c r="M164" s="270"/>
      <c r="N164" s="270"/>
      <c r="O164" s="270"/>
      <c r="P164" s="270"/>
      <c r="Q164" s="270"/>
      <c r="R164" s="270"/>
      <c r="S164" s="270"/>
      <c r="T164" s="270"/>
      <c r="U164" s="270"/>
      <c r="V164" s="270"/>
      <c r="W164" s="270"/>
      <c r="X164" s="270"/>
      <c r="Y164" s="270"/>
    </row>
    <row r="165" spans="3:25">
      <c r="C165" s="270"/>
      <c r="D165" s="270"/>
      <c r="E165" s="270"/>
      <c r="F165" s="270"/>
      <c r="G165" s="270"/>
      <c r="H165" s="270"/>
      <c r="I165" s="270"/>
      <c r="J165" s="270"/>
      <c r="K165" s="270"/>
      <c r="L165" s="270"/>
      <c r="M165" s="270"/>
      <c r="N165" s="270"/>
      <c r="O165" s="270"/>
      <c r="P165" s="270"/>
      <c r="Q165" s="270"/>
      <c r="R165" s="270"/>
      <c r="S165" s="270"/>
      <c r="T165" s="270"/>
      <c r="U165" s="270"/>
      <c r="V165" s="270"/>
      <c r="W165" s="270"/>
      <c r="X165" s="270"/>
      <c r="Y165" s="270"/>
    </row>
    <row r="166" spans="3:25">
      <c r="C166" s="270"/>
      <c r="D166" s="270"/>
      <c r="E166" s="270"/>
      <c r="F166" s="270"/>
      <c r="G166" s="270"/>
      <c r="H166" s="270"/>
      <c r="I166" s="270"/>
      <c r="J166" s="270"/>
      <c r="K166" s="270"/>
      <c r="L166" s="270"/>
      <c r="M166" s="270"/>
      <c r="N166" s="270"/>
      <c r="O166" s="270"/>
      <c r="P166" s="270"/>
      <c r="Q166" s="270"/>
      <c r="R166" s="270"/>
      <c r="S166" s="270"/>
      <c r="T166" s="270"/>
      <c r="U166" s="270"/>
      <c r="V166" s="270"/>
      <c r="W166" s="270"/>
      <c r="X166" s="270"/>
      <c r="Y166" s="270"/>
    </row>
    <row r="167" spans="3:25">
      <c r="C167" s="270"/>
      <c r="D167" s="270"/>
      <c r="E167" s="270"/>
      <c r="F167" s="270"/>
      <c r="G167" s="270"/>
      <c r="H167" s="270"/>
      <c r="I167" s="270"/>
      <c r="J167" s="270"/>
      <c r="K167" s="270"/>
      <c r="L167" s="270"/>
      <c r="M167" s="270"/>
      <c r="N167" s="270"/>
      <c r="O167" s="270"/>
      <c r="P167" s="270"/>
      <c r="Q167" s="270"/>
      <c r="R167" s="270"/>
      <c r="S167" s="270"/>
      <c r="T167" s="270"/>
      <c r="U167" s="270"/>
      <c r="V167" s="270"/>
      <c r="W167" s="270"/>
      <c r="X167" s="270"/>
      <c r="Y167" s="270"/>
    </row>
    <row r="168" spans="3:25">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row>
    <row r="169" spans="3:25">
      <c r="C169" s="270"/>
      <c r="D169" s="270"/>
      <c r="E169" s="270"/>
      <c r="F169" s="270"/>
      <c r="G169" s="270"/>
      <c r="H169" s="270"/>
      <c r="I169" s="270"/>
      <c r="J169" s="270"/>
      <c r="K169" s="270"/>
      <c r="L169" s="270"/>
      <c r="M169" s="270"/>
      <c r="N169" s="270"/>
      <c r="O169" s="270"/>
      <c r="P169" s="270"/>
      <c r="Q169" s="270"/>
      <c r="R169" s="270"/>
      <c r="S169" s="270"/>
      <c r="T169" s="270"/>
      <c r="U169" s="270"/>
      <c r="V169" s="270"/>
      <c r="W169" s="270"/>
      <c r="X169" s="270"/>
      <c r="Y169" s="270"/>
    </row>
    <row r="170" spans="3:25">
      <c r="C170" s="270"/>
      <c r="D170" s="270"/>
      <c r="E170" s="270"/>
      <c r="F170" s="270"/>
      <c r="G170" s="270"/>
      <c r="H170" s="270"/>
      <c r="I170" s="270"/>
      <c r="J170" s="270"/>
      <c r="K170" s="270"/>
      <c r="L170" s="270"/>
      <c r="M170" s="270"/>
      <c r="N170" s="270"/>
      <c r="O170" s="270"/>
      <c r="P170" s="270"/>
      <c r="Q170" s="270"/>
      <c r="R170" s="270"/>
      <c r="S170" s="270"/>
      <c r="T170" s="270"/>
      <c r="U170" s="270"/>
      <c r="V170" s="270"/>
      <c r="W170" s="270"/>
      <c r="X170" s="270"/>
      <c r="Y170" s="270"/>
    </row>
    <row r="171" spans="3:25">
      <c r="C171" s="270"/>
      <c r="D171" s="270"/>
      <c r="E171" s="270"/>
      <c r="F171" s="270"/>
      <c r="G171" s="270"/>
      <c r="H171" s="270"/>
      <c r="I171" s="270"/>
      <c r="J171" s="270"/>
      <c r="K171" s="270"/>
      <c r="L171" s="270"/>
      <c r="M171" s="270"/>
      <c r="N171" s="270"/>
      <c r="O171" s="270"/>
      <c r="P171" s="270"/>
      <c r="Q171" s="270"/>
      <c r="R171" s="270"/>
      <c r="S171" s="270"/>
      <c r="T171" s="270"/>
      <c r="U171" s="270"/>
      <c r="V171" s="270"/>
      <c r="W171" s="270"/>
      <c r="X171" s="270"/>
      <c r="Y171" s="270"/>
    </row>
    <row r="172" spans="3:25">
      <c r="C172" s="270"/>
      <c r="D172" s="270"/>
      <c r="E172" s="270"/>
      <c r="F172" s="270"/>
      <c r="G172" s="270"/>
      <c r="H172" s="270"/>
      <c r="I172" s="270"/>
      <c r="J172" s="270"/>
      <c r="K172" s="270"/>
      <c r="L172" s="270"/>
      <c r="M172" s="270"/>
      <c r="N172" s="270"/>
      <c r="O172" s="270"/>
      <c r="P172" s="270"/>
      <c r="Q172" s="270"/>
      <c r="R172" s="270"/>
      <c r="S172" s="270"/>
      <c r="T172" s="270"/>
      <c r="U172" s="270"/>
      <c r="V172" s="270"/>
      <c r="W172" s="270"/>
      <c r="X172" s="270"/>
      <c r="Y172" s="270"/>
    </row>
    <row r="173" spans="3:25">
      <c r="C173" s="270"/>
      <c r="D173" s="270"/>
      <c r="E173" s="270"/>
      <c r="F173" s="270"/>
      <c r="G173" s="270"/>
      <c r="H173" s="270"/>
      <c r="I173" s="270"/>
      <c r="J173" s="270"/>
      <c r="K173" s="270"/>
      <c r="L173" s="270"/>
      <c r="M173" s="270"/>
      <c r="N173" s="270"/>
      <c r="O173" s="270"/>
      <c r="P173" s="270"/>
      <c r="Q173" s="270"/>
      <c r="R173" s="270"/>
      <c r="S173" s="270"/>
      <c r="T173" s="270"/>
      <c r="U173" s="270"/>
      <c r="V173" s="270"/>
      <c r="W173" s="270"/>
      <c r="X173" s="270"/>
      <c r="Y173" s="270"/>
    </row>
    <row r="174" spans="3:25">
      <c r="C174" s="270"/>
      <c r="D174" s="270"/>
      <c r="E174" s="270"/>
      <c r="F174" s="270"/>
      <c r="G174" s="270"/>
      <c r="H174" s="270"/>
      <c r="I174" s="270"/>
      <c r="J174" s="270"/>
      <c r="K174" s="270"/>
      <c r="L174" s="270"/>
      <c r="M174" s="270"/>
      <c r="N174" s="270"/>
      <c r="O174" s="270"/>
      <c r="P174" s="270"/>
      <c r="Q174" s="270"/>
      <c r="R174" s="270"/>
      <c r="S174" s="270"/>
      <c r="T174" s="270"/>
      <c r="U174" s="270"/>
      <c r="V174" s="270"/>
      <c r="W174" s="270"/>
      <c r="X174" s="270"/>
      <c r="Y174" s="270"/>
    </row>
    <row r="175" spans="3:25">
      <c r="C175" s="270"/>
      <c r="D175" s="270"/>
      <c r="E175" s="270"/>
      <c r="F175" s="270"/>
      <c r="G175" s="270"/>
      <c r="H175" s="270"/>
      <c r="I175" s="270"/>
      <c r="J175" s="270"/>
      <c r="K175" s="270"/>
      <c r="L175" s="270"/>
      <c r="M175" s="270"/>
      <c r="N175" s="270"/>
      <c r="O175" s="270"/>
      <c r="P175" s="270"/>
      <c r="Q175" s="270"/>
      <c r="R175" s="270"/>
      <c r="S175" s="270"/>
      <c r="T175" s="270"/>
      <c r="U175" s="270"/>
      <c r="V175" s="270"/>
      <c r="W175" s="270"/>
      <c r="X175" s="270"/>
      <c r="Y175" s="270"/>
    </row>
    <row r="176" spans="3:25">
      <c r="C176" s="270"/>
      <c r="D176" s="270"/>
      <c r="E176" s="270"/>
      <c r="F176" s="270"/>
      <c r="G176" s="270"/>
      <c r="H176" s="270"/>
      <c r="I176" s="270"/>
      <c r="J176" s="270"/>
      <c r="K176" s="270"/>
      <c r="L176" s="270"/>
      <c r="M176" s="270"/>
      <c r="N176" s="270"/>
      <c r="O176" s="270"/>
      <c r="P176" s="270"/>
      <c r="Q176" s="270"/>
      <c r="R176" s="270"/>
      <c r="S176" s="270"/>
      <c r="T176" s="270"/>
      <c r="U176" s="270"/>
      <c r="V176" s="270"/>
      <c r="W176" s="270"/>
      <c r="X176" s="270"/>
      <c r="Y176" s="270"/>
    </row>
    <row r="177" spans="3:25">
      <c r="C177" s="270"/>
      <c r="D177" s="270"/>
      <c r="E177" s="270"/>
      <c r="F177" s="270"/>
      <c r="G177" s="270"/>
      <c r="H177" s="270"/>
      <c r="I177" s="270"/>
      <c r="J177" s="270"/>
      <c r="K177" s="270"/>
      <c r="L177" s="270"/>
      <c r="M177" s="270"/>
      <c r="N177" s="270"/>
      <c r="O177" s="270"/>
      <c r="P177" s="270"/>
      <c r="Q177" s="270"/>
      <c r="R177" s="270"/>
      <c r="S177" s="270"/>
      <c r="T177" s="270"/>
      <c r="U177" s="270"/>
      <c r="V177" s="270"/>
      <c r="W177" s="270"/>
      <c r="X177" s="270"/>
      <c r="Y177" s="270"/>
    </row>
    <row r="178" spans="3:25">
      <c r="C178" s="270"/>
      <c r="D178" s="270"/>
      <c r="E178" s="270"/>
      <c r="F178" s="270"/>
      <c r="G178" s="270"/>
      <c r="H178" s="270"/>
      <c r="I178" s="270"/>
      <c r="J178" s="270"/>
      <c r="K178" s="270"/>
      <c r="L178" s="270"/>
      <c r="M178" s="270"/>
      <c r="N178" s="270"/>
      <c r="O178" s="270"/>
      <c r="P178" s="270"/>
      <c r="Q178" s="270"/>
      <c r="R178" s="270"/>
      <c r="S178" s="270"/>
      <c r="T178" s="270"/>
      <c r="U178" s="270"/>
      <c r="V178" s="270"/>
      <c r="W178" s="270"/>
      <c r="X178" s="270"/>
      <c r="Y178" s="270"/>
    </row>
    <row r="179" spans="3:25">
      <c r="C179" s="270"/>
      <c r="D179" s="270"/>
      <c r="E179" s="270"/>
      <c r="F179" s="270"/>
      <c r="G179" s="270"/>
      <c r="H179" s="270"/>
      <c r="I179" s="270"/>
      <c r="J179" s="270"/>
      <c r="K179" s="270"/>
      <c r="L179" s="270"/>
      <c r="M179" s="270"/>
      <c r="N179" s="270"/>
      <c r="O179" s="270"/>
      <c r="P179" s="270"/>
      <c r="Q179" s="270"/>
      <c r="R179" s="270"/>
      <c r="S179" s="270"/>
      <c r="T179" s="270"/>
      <c r="U179" s="270"/>
      <c r="V179" s="270"/>
      <c r="W179" s="270"/>
      <c r="X179" s="270"/>
      <c r="Y179" s="270"/>
    </row>
    <row r="180" spans="3:25">
      <c r="C180" s="270"/>
      <c r="D180" s="270"/>
      <c r="E180" s="270"/>
      <c r="F180" s="270"/>
      <c r="G180" s="270"/>
      <c r="H180" s="270"/>
      <c r="I180" s="270"/>
      <c r="J180" s="270"/>
      <c r="K180" s="270"/>
      <c r="L180" s="270"/>
      <c r="M180" s="270"/>
      <c r="N180" s="270"/>
      <c r="O180" s="270"/>
      <c r="P180" s="270"/>
      <c r="Q180" s="270"/>
      <c r="R180" s="270"/>
      <c r="S180" s="270"/>
      <c r="T180" s="270"/>
      <c r="U180" s="270"/>
      <c r="V180" s="270"/>
      <c r="W180" s="270"/>
      <c r="X180" s="270"/>
      <c r="Y180" s="270"/>
    </row>
    <row r="181" spans="3:25">
      <c r="C181" s="270"/>
      <c r="D181" s="270"/>
      <c r="E181" s="270"/>
      <c r="F181" s="270"/>
      <c r="G181" s="270"/>
      <c r="H181" s="270"/>
      <c r="I181" s="270"/>
      <c r="J181" s="270"/>
      <c r="K181" s="270"/>
      <c r="L181" s="270"/>
      <c r="M181" s="270"/>
      <c r="N181" s="270"/>
      <c r="O181" s="270"/>
      <c r="P181" s="270"/>
      <c r="Q181" s="270"/>
      <c r="R181" s="270"/>
      <c r="S181" s="270"/>
      <c r="T181" s="270"/>
      <c r="U181" s="270"/>
      <c r="V181" s="270"/>
      <c r="W181" s="270"/>
      <c r="X181" s="270"/>
      <c r="Y181" s="270"/>
    </row>
    <row r="182" spans="3:25">
      <c r="C182" s="270"/>
      <c r="D182" s="270"/>
      <c r="E182" s="270"/>
      <c r="F182" s="270"/>
      <c r="G182" s="270"/>
      <c r="H182" s="270"/>
      <c r="I182" s="270"/>
      <c r="J182" s="270"/>
      <c r="K182" s="270"/>
      <c r="L182" s="270"/>
      <c r="M182" s="270"/>
      <c r="N182" s="270"/>
      <c r="O182" s="270"/>
      <c r="P182" s="270"/>
      <c r="Q182" s="270"/>
      <c r="R182" s="270"/>
      <c r="S182" s="270"/>
      <c r="T182" s="270"/>
      <c r="U182" s="270"/>
      <c r="V182" s="270"/>
      <c r="W182" s="270"/>
      <c r="X182" s="270"/>
      <c r="Y182" s="270"/>
    </row>
    <row r="183" spans="3:25">
      <c r="C183" s="270"/>
      <c r="D183" s="270"/>
      <c r="E183" s="270"/>
      <c r="F183" s="270"/>
      <c r="G183" s="270"/>
      <c r="H183" s="270"/>
      <c r="I183" s="270"/>
      <c r="J183" s="270"/>
      <c r="K183" s="270"/>
      <c r="L183" s="270"/>
      <c r="M183" s="270"/>
      <c r="N183" s="270"/>
      <c r="O183" s="270"/>
      <c r="P183" s="270"/>
      <c r="Q183" s="270"/>
      <c r="R183" s="270"/>
      <c r="S183" s="270"/>
      <c r="T183" s="270"/>
      <c r="U183" s="270"/>
      <c r="V183" s="270"/>
      <c r="W183" s="270"/>
      <c r="X183" s="270"/>
      <c r="Y183" s="270"/>
    </row>
    <row r="184" spans="3:25">
      <c r="C184" s="270"/>
      <c r="D184" s="270"/>
      <c r="E184" s="270"/>
      <c r="F184" s="270"/>
      <c r="G184" s="270"/>
      <c r="H184" s="270"/>
      <c r="I184" s="270"/>
      <c r="J184" s="270"/>
      <c r="K184" s="270"/>
      <c r="L184" s="270"/>
      <c r="M184" s="270"/>
      <c r="N184" s="270"/>
      <c r="O184" s="270"/>
      <c r="P184" s="270"/>
      <c r="Q184" s="270"/>
      <c r="R184" s="270"/>
      <c r="S184" s="270"/>
      <c r="T184" s="270"/>
      <c r="U184" s="270"/>
      <c r="V184" s="270"/>
      <c r="W184" s="270"/>
      <c r="X184" s="270"/>
      <c r="Y184" s="270"/>
    </row>
    <row r="185" spans="3:25">
      <c r="C185" s="270"/>
      <c r="D185" s="270"/>
      <c r="E185" s="270"/>
      <c r="F185" s="270"/>
      <c r="G185" s="270"/>
      <c r="H185" s="270"/>
      <c r="I185" s="270"/>
      <c r="J185" s="270"/>
      <c r="K185" s="270"/>
      <c r="L185" s="270"/>
      <c r="M185" s="270"/>
      <c r="N185" s="270"/>
      <c r="O185" s="270"/>
      <c r="P185" s="270"/>
      <c r="Q185" s="270"/>
      <c r="R185" s="270"/>
      <c r="S185" s="270"/>
      <c r="T185" s="270"/>
      <c r="U185" s="270"/>
      <c r="V185" s="270"/>
      <c r="W185" s="270"/>
      <c r="X185" s="270"/>
      <c r="Y185" s="270"/>
    </row>
    <row r="186" spans="3:25">
      <c r="C186" s="270"/>
      <c r="D186" s="270"/>
      <c r="E186" s="270"/>
      <c r="F186" s="270"/>
      <c r="G186" s="270"/>
      <c r="H186" s="270"/>
      <c r="I186" s="270"/>
      <c r="J186" s="270"/>
      <c r="K186" s="270"/>
      <c r="L186" s="270"/>
      <c r="M186" s="270"/>
      <c r="N186" s="270"/>
      <c r="O186" s="270"/>
      <c r="P186" s="270"/>
      <c r="Q186" s="270"/>
      <c r="R186" s="270"/>
      <c r="S186" s="270"/>
      <c r="T186" s="270"/>
      <c r="U186" s="270"/>
      <c r="V186" s="270"/>
      <c r="W186" s="270"/>
      <c r="X186" s="270"/>
      <c r="Y186" s="270"/>
    </row>
    <row r="187" spans="3:25">
      <c r="C187" s="270"/>
      <c r="D187" s="270"/>
      <c r="E187" s="270"/>
      <c r="F187" s="270"/>
      <c r="G187" s="270"/>
      <c r="H187" s="270"/>
      <c r="I187" s="270"/>
      <c r="J187" s="270"/>
      <c r="K187" s="270"/>
      <c r="L187" s="270"/>
      <c r="M187" s="270"/>
      <c r="N187" s="270"/>
      <c r="O187" s="270"/>
      <c r="P187" s="270"/>
      <c r="Q187" s="270"/>
      <c r="R187" s="270"/>
      <c r="S187" s="270"/>
      <c r="T187" s="270"/>
      <c r="U187" s="270"/>
      <c r="V187" s="270"/>
      <c r="W187" s="270"/>
      <c r="X187" s="270"/>
      <c r="Y187" s="270"/>
    </row>
    <row r="188" spans="3:25">
      <c r="C188" s="270"/>
      <c r="D188" s="270"/>
      <c r="E188" s="270"/>
      <c r="F188" s="270"/>
      <c r="G188" s="270"/>
      <c r="H188" s="270"/>
      <c r="I188" s="270"/>
      <c r="J188" s="270"/>
      <c r="K188" s="270"/>
      <c r="L188" s="270"/>
      <c r="M188" s="270"/>
      <c r="N188" s="270"/>
      <c r="O188" s="270"/>
      <c r="P188" s="270"/>
      <c r="Q188" s="270"/>
      <c r="R188" s="270"/>
      <c r="S188" s="270"/>
      <c r="T188" s="270"/>
      <c r="U188" s="270"/>
      <c r="V188" s="270"/>
      <c r="W188" s="270"/>
      <c r="X188" s="270"/>
      <c r="Y188" s="270"/>
    </row>
    <row r="189" spans="3:25">
      <c r="C189" s="270"/>
      <c r="D189" s="270"/>
      <c r="E189" s="270"/>
      <c r="F189" s="270"/>
      <c r="G189" s="270"/>
      <c r="H189" s="270"/>
      <c r="I189" s="270"/>
      <c r="J189" s="270"/>
      <c r="K189" s="270"/>
      <c r="L189" s="270"/>
      <c r="M189" s="270"/>
      <c r="N189" s="270"/>
      <c r="O189" s="270"/>
      <c r="P189" s="270"/>
      <c r="Q189" s="270"/>
      <c r="R189" s="270"/>
      <c r="S189" s="270"/>
      <c r="T189" s="270"/>
      <c r="U189" s="270"/>
      <c r="V189" s="270"/>
      <c r="W189" s="270"/>
      <c r="X189" s="270"/>
      <c r="Y189" s="270"/>
    </row>
    <row r="190" spans="3:25">
      <c r="C190" s="270"/>
      <c r="D190" s="270"/>
      <c r="E190" s="270"/>
      <c r="F190" s="270"/>
      <c r="G190" s="270"/>
      <c r="H190" s="270"/>
      <c r="I190" s="270"/>
      <c r="J190" s="270"/>
      <c r="K190" s="270"/>
      <c r="L190" s="270"/>
      <c r="M190" s="270"/>
      <c r="N190" s="270"/>
      <c r="O190" s="270"/>
      <c r="P190" s="270"/>
      <c r="Q190" s="270"/>
      <c r="R190" s="270"/>
      <c r="S190" s="270"/>
      <c r="T190" s="270"/>
      <c r="U190" s="270"/>
      <c r="V190" s="270"/>
      <c r="W190" s="270"/>
      <c r="X190" s="270"/>
      <c r="Y190" s="270"/>
    </row>
    <row r="191" spans="3:25">
      <c r="C191" s="270"/>
      <c r="D191" s="270"/>
      <c r="E191" s="270"/>
      <c r="F191" s="270"/>
      <c r="G191" s="270"/>
      <c r="H191" s="270"/>
      <c r="I191" s="270"/>
      <c r="J191" s="270"/>
      <c r="K191" s="270"/>
      <c r="L191" s="270"/>
      <c r="M191" s="270"/>
      <c r="N191" s="270"/>
      <c r="O191" s="270"/>
      <c r="P191" s="270"/>
      <c r="Q191" s="270"/>
      <c r="R191" s="270"/>
      <c r="S191" s="270"/>
      <c r="T191" s="270"/>
      <c r="U191" s="270"/>
      <c r="V191" s="270"/>
      <c r="W191" s="270"/>
      <c r="X191" s="270"/>
      <c r="Y191" s="270"/>
    </row>
    <row r="192" spans="3:25">
      <c r="C192" s="270"/>
      <c r="D192" s="270"/>
      <c r="E192" s="270"/>
      <c r="F192" s="270"/>
      <c r="G192" s="270"/>
      <c r="H192" s="270"/>
      <c r="I192" s="270"/>
      <c r="J192" s="270"/>
      <c r="K192" s="270"/>
      <c r="L192" s="270"/>
      <c r="M192" s="270"/>
      <c r="N192" s="270"/>
      <c r="O192" s="270"/>
      <c r="P192" s="270"/>
      <c r="Q192" s="270"/>
      <c r="R192" s="270"/>
      <c r="S192" s="270"/>
      <c r="T192" s="270"/>
      <c r="U192" s="270"/>
      <c r="V192" s="270"/>
      <c r="W192" s="270"/>
      <c r="X192" s="270"/>
      <c r="Y192" s="270"/>
    </row>
    <row r="193" spans="3:25">
      <c r="C193" s="270"/>
      <c r="D193" s="270"/>
      <c r="E193" s="270"/>
      <c r="F193" s="270"/>
      <c r="G193" s="270"/>
      <c r="H193" s="270"/>
      <c r="I193" s="270"/>
      <c r="J193" s="270"/>
      <c r="K193" s="270"/>
      <c r="L193" s="270"/>
      <c r="M193" s="270"/>
      <c r="N193" s="270"/>
      <c r="O193" s="270"/>
      <c r="P193" s="270"/>
      <c r="Q193" s="270"/>
      <c r="R193" s="270"/>
      <c r="S193" s="270"/>
      <c r="T193" s="270"/>
      <c r="U193" s="270"/>
      <c r="V193" s="270"/>
      <c r="W193" s="270"/>
      <c r="X193" s="270"/>
      <c r="Y193" s="270"/>
    </row>
    <row r="194" spans="3:25">
      <c r="C194" s="270"/>
      <c r="D194" s="270"/>
      <c r="E194" s="270"/>
      <c r="F194" s="270"/>
      <c r="G194" s="270"/>
      <c r="H194" s="270"/>
      <c r="I194" s="270"/>
      <c r="J194" s="270"/>
      <c r="K194" s="270"/>
      <c r="L194" s="270"/>
      <c r="M194" s="270"/>
      <c r="N194" s="270"/>
      <c r="O194" s="270"/>
      <c r="P194" s="270"/>
      <c r="Q194" s="270"/>
      <c r="R194" s="270"/>
      <c r="S194" s="270"/>
      <c r="T194" s="270"/>
      <c r="U194" s="270"/>
      <c r="V194" s="270"/>
      <c r="W194" s="270"/>
      <c r="X194" s="270"/>
      <c r="Y194" s="270"/>
    </row>
    <row r="195" spans="3:25">
      <c r="C195" s="270"/>
      <c r="D195" s="270"/>
      <c r="E195" s="270"/>
      <c r="F195" s="270"/>
      <c r="G195" s="270"/>
      <c r="H195" s="270"/>
      <c r="I195" s="270"/>
      <c r="J195" s="270"/>
      <c r="K195" s="270"/>
      <c r="L195" s="270"/>
      <c r="M195" s="270"/>
      <c r="N195" s="270"/>
      <c r="O195" s="270"/>
      <c r="P195" s="270"/>
      <c r="Q195" s="270"/>
      <c r="R195" s="270"/>
      <c r="S195" s="270"/>
      <c r="T195" s="270"/>
      <c r="U195" s="270"/>
      <c r="V195" s="270"/>
      <c r="W195" s="270"/>
      <c r="X195" s="270"/>
      <c r="Y195" s="270"/>
    </row>
    <row r="196" spans="3:25">
      <c r="C196" s="270"/>
      <c r="D196" s="270"/>
      <c r="E196" s="270"/>
      <c r="F196" s="270"/>
      <c r="G196" s="270"/>
      <c r="H196" s="270"/>
      <c r="I196" s="270"/>
      <c r="J196" s="270"/>
      <c r="K196" s="270"/>
      <c r="L196" s="270"/>
      <c r="M196" s="270"/>
      <c r="N196" s="270"/>
      <c r="O196" s="270"/>
      <c r="P196" s="270"/>
      <c r="Q196" s="270"/>
      <c r="R196" s="270"/>
      <c r="S196" s="270"/>
      <c r="T196" s="270"/>
      <c r="U196" s="270"/>
      <c r="V196" s="270"/>
      <c r="W196" s="270"/>
      <c r="X196" s="270"/>
      <c r="Y196" s="270"/>
    </row>
    <row r="197" spans="3:25">
      <c r="C197" s="270"/>
      <c r="D197" s="270"/>
      <c r="E197" s="270"/>
      <c r="F197" s="270"/>
      <c r="G197" s="270"/>
      <c r="H197" s="270"/>
      <c r="I197" s="270"/>
      <c r="J197" s="270"/>
      <c r="K197" s="270"/>
      <c r="L197" s="270"/>
      <c r="M197" s="270"/>
      <c r="N197" s="270"/>
      <c r="O197" s="270"/>
      <c r="P197" s="270"/>
      <c r="Q197" s="270"/>
      <c r="R197" s="270"/>
      <c r="S197" s="270"/>
      <c r="T197" s="270"/>
      <c r="U197" s="270"/>
      <c r="V197" s="270"/>
      <c r="W197" s="270"/>
      <c r="X197" s="270"/>
      <c r="Y197" s="270"/>
    </row>
    <row r="198" spans="3:25">
      <c r="C198" s="270"/>
      <c r="D198" s="270"/>
      <c r="E198" s="270"/>
      <c r="F198" s="270"/>
      <c r="G198" s="270"/>
      <c r="H198" s="270"/>
      <c r="I198" s="270"/>
      <c r="J198" s="270"/>
      <c r="K198" s="270"/>
      <c r="L198" s="270"/>
      <c r="M198" s="270"/>
      <c r="N198" s="270"/>
      <c r="O198" s="270"/>
      <c r="P198" s="270"/>
      <c r="Q198" s="270"/>
      <c r="R198" s="270"/>
      <c r="S198" s="270"/>
      <c r="T198" s="270"/>
      <c r="U198" s="270"/>
      <c r="V198" s="270"/>
      <c r="W198" s="270"/>
      <c r="X198" s="270"/>
      <c r="Y198" s="270"/>
    </row>
    <row r="199" spans="3:25">
      <c r="C199" s="270"/>
      <c r="D199" s="270"/>
      <c r="E199" s="270"/>
      <c r="F199" s="270"/>
      <c r="G199" s="270"/>
      <c r="H199" s="270"/>
      <c r="I199" s="270"/>
      <c r="J199" s="270"/>
      <c r="K199" s="270"/>
      <c r="L199" s="270"/>
      <c r="M199" s="270"/>
      <c r="N199" s="270"/>
      <c r="O199" s="270"/>
      <c r="P199" s="270"/>
      <c r="Q199" s="270"/>
      <c r="R199" s="270"/>
      <c r="S199" s="270"/>
      <c r="T199" s="270"/>
      <c r="U199" s="270"/>
      <c r="V199" s="270"/>
      <c r="W199" s="270"/>
      <c r="X199" s="270"/>
      <c r="Y199" s="270"/>
    </row>
    <row r="200" spans="3:25">
      <c r="C200" s="270"/>
      <c r="D200" s="270"/>
      <c r="E200" s="270"/>
      <c r="F200" s="270"/>
      <c r="G200" s="270"/>
      <c r="H200" s="270"/>
      <c r="I200" s="270"/>
      <c r="J200" s="270"/>
      <c r="K200" s="270"/>
      <c r="L200" s="270"/>
      <c r="M200" s="270"/>
      <c r="N200" s="270"/>
      <c r="O200" s="270"/>
      <c r="P200" s="270"/>
      <c r="Q200" s="270"/>
      <c r="R200" s="270"/>
      <c r="S200" s="270"/>
      <c r="T200" s="270"/>
      <c r="U200" s="270"/>
      <c r="V200" s="270"/>
      <c r="W200" s="270"/>
      <c r="X200" s="270"/>
      <c r="Y200" s="270"/>
    </row>
    <row r="201" spans="3:25">
      <c r="C201" s="270"/>
      <c r="D201" s="270"/>
      <c r="E201" s="270"/>
      <c r="F201" s="270"/>
      <c r="G201" s="270"/>
      <c r="H201" s="270"/>
      <c r="I201" s="270"/>
      <c r="J201" s="270"/>
      <c r="K201" s="270"/>
      <c r="L201" s="270"/>
      <c r="M201" s="270"/>
      <c r="N201" s="270"/>
      <c r="O201" s="270"/>
      <c r="P201" s="270"/>
      <c r="Q201" s="270"/>
      <c r="R201" s="270"/>
      <c r="S201" s="270"/>
      <c r="T201" s="270"/>
      <c r="U201" s="270"/>
      <c r="V201" s="270"/>
      <c r="W201" s="270"/>
      <c r="X201" s="270"/>
      <c r="Y201" s="270"/>
    </row>
    <row r="202" spans="3:25">
      <c r="C202" s="270"/>
      <c r="D202" s="270"/>
      <c r="E202" s="270"/>
      <c r="F202" s="270"/>
      <c r="G202" s="270"/>
      <c r="H202" s="270"/>
      <c r="I202" s="270"/>
      <c r="J202" s="270"/>
      <c r="K202" s="270"/>
      <c r="L202" s="270"/>
      <c r="M202" s="270"/>
      <c r="N202" s="270"/>
      <c r="O202" s="270"/>
      <c r="P202" s="270"/>
      <c r="Q202" s="270"/>
      <c r="R202" s="270"/>
      <c r="S202" s="270"/>
      <c r="T202" s="270"/>
      <c r="U202" s="270"/>
      <c r="V202" s="270"/>
      <c r="W202" s="270"/>
      <c r="X202" s="270"/>
      <c r="Y202" s="270"/>
    </row>
    <row r="203" spans="3:25">
      <c r="C203" s="270"/>
      <c r="D203" s="270"/>
      <c r="E203" s="270"/>
      <c r="F203" s="270"/>
      <c r="G203" s="270"/>
      <c r="H203" s="270"/>
      <c r="I203" s="270"/>
      <c r="J203" s="270"/>
      <c r="K203" s="270"/>
      <c r="L203" s="270"/>
      <c r="M203" s="270"/>
      <c r="N203" s="270"/>
      <c r="O203" s="270"/>
      <c r="P203" s="270"/>
      <c r="Q203" s="270"/>
      <c r="R203" s="270"/>
      <c r="S203" s="270"/>
      <c r="T203" s="270"/>
      <c r="U203" s="270"/>
      <c r="V203" s="270"/>
      <c r="W203" s="270"/>
      <c r="X203" s="270"/>
      <c r="Y203" s="270"/>
    </row>
    <row r="204" spans="3:25">
      <c r="C204" s="270"/>
      <c r="D204" s="270"/>
      <c r="E204" s="270"/>
      <c r="F204" s="270"/>
      <c r="G204" s="270"/>
      <c r="H204" s="270"/>
      <c r="I204" s="270"/>
      <c r="J204" s="270"/>
      <c r="K204" s="270"/>
      <c r="L204" s="270"/>
      <c r="M204" s="270"/>
      <c r="N204" s="270"/>
      <c r="O204" s="270"/>
      <c r="P204" s="270"/>
      <c r="Q204" s="270"/>
      <c r="R204" s="270"/>
      <c r="S204" s="270"/>
      <c r="T204" s="270"/>
      <c r="U204" s="270"/>
      <c r="V204" s="270"/>
      <c r="W204" s="270"/>
      <c r="X204" s="270"/>
      <c r="Y204" s="270"/>
    </row>
    <row r="205" spans="3:25">
      <c r="C205" s="270"/>
      <c r="D205" s="270"/>
      <c r="E205" s="270"/>
      <c r="F205" s="270"/>
      <c r="G205" s="270"/>
      <c r="H205" s="270"/>
      <c r="I205" s="270"/>
      <c r="J205" s="270"/>
      <c r="K205" s="270"/>
      <c r="L205" s="270"/>
      <c r="M205" s="270"/>
      <c r="N205" s="270"/>
      <c r="O205" s="270"/>
      <c r="P205" s="270"/>
      <c r="Q205" s="270"/>
      <c r="R205" s="270"/>
      <c r="S205" s="270"/>
      <c r="T205" s="270"/>
      <c r="U205" s="270"/>
      <c r="V205" s="270"/>
      <c r="W205" s="270"/>
      <c r="X205" s="270"/>
      <c r="Y205" s="270"/>
    </row>
    <row r="206" spans="3:25">
      <c r="C206" s="270"/>
      <c r="D206" s="270"/>
      <c r="E206" s="270"/>
      <c r="F206" s="270"/>
      <c r="G206" s="270"/>
      <c r="H206" s="270"/>
      <c r="I206" s="270"/>
      <c r="J206" s="270"/>
      <c r="K206" s="270"/>
      <c r="L206" s="270"/>
      <c r="M206" s="270"/>
      <c r="N206" s="270"/>
      <c r="O206" s="270"/>
      <c r="P206" s="270"/>
      <c r="Q206" s="270"/>
      <c r="R206" s="270"/>
      <c r="S206" s="270"/>
      <c r="T206" s="270"/>
      <c r="U206" s="270"/>
      <c r="V206" s="270"/>
      <c r="W206" s="270"/>
      <c r="X206" s="270"/>
      <c r="Y206" s="270"/>
    </row>
    <row r="207" spans="3:25">
      <c r="C207" s="270"/>
      <c r="D207" s="270"/>
      <c r="E207" s="270"/>
      <c r="F207" s="270"/>
      <c r="G207" s="270"/>
      <c r="H207" s="270"/>
      <c r="I207" s="270"/>
      <c r="J207" s="270"/>
      <c r="K207" s="270"/>
      <c r="L207" s="270"/>
      <c r="M207" s="270"/>
      <c r="N207" s="270"/>
      <c r="O207" s="270"/>
      <c r="P207" s="270"/>
      <c r="Q207" s="270"/>
      <c r="R207" s="270"/>
      <c r="S207" s="270"/>
      <c r="T207" s="270"/>
      <c r="U207" s="270"/>
      <c r="V207" s="270"/>
      <c r="W207" s="270"/>
      <c r="X207" s="270"/>
      <c r="Y207" s="270"/>
    </row>
    <row r="208" spans="3:25">
      <c r="C208" s="270"/>
      <c r="D208" s="270"/>
      <c r="E208" s="270"/>
      <c r="F208" s="270"/>
      <c r="G208" s="270"/>
      <c r="H208" s="270"/>
      <c r="I208" s="270"/>
      <c r="J208" s="270"/>
      <c r="K208" s="270"/>
      <c r="L208" s="270"/>
      <c r="M208" s="270"/>
      <c r="N208" s="270"/>
      <c r="O208" s="270"/>
      <c r="P208" s="270"/>
      <c r="Q208" s="270"/>
      <c r="R208" s="270"/>
      <c r="S208" s="270"/>
      <c r="T208" s="270"/>
      <c r="U208" s="270"/>
      <c r="V208" s="270"/>
      <c r="W208" s="270"/>
      <c r="X208" s="270"/>
      <c r="Y208" s="270"/>
    </row>
    <row r="209" spans="3:25">
      <c r="C209" s="270"/>
      <c r="D209" s="270"/>
      <c r="E209" s="270"/>
      <c r="F209" s="270"/>
      <c r="G209" s="270"/>
      <c r="H209" s="270"/>
      <c r="I209" s="270"/>
      <c r="J209" s="270"/>
      <c r="K209" s="270"/>
      <c r="L209" s="270"/>
      <c r="M209" s="270"/>
      <c r="N209" s="270"/>
      <c r="O209" s="270"/>
      <c r="P209" s="270"/>
      <c r="Q209" s="270"/>
      <c r="R209" s="270"/>
      <c r="S209" s="270"/>
      <c r="T209" s="270"/>
      <c r="U209" s="270"/>
      <c r="V209" s="270"/>
      <c r="W209" s="270"/>
      <c r="X209" s="270"/>
      <c r="Y209" s="270"/>
    </row>
    <row r="210" spans="3:25">
      <c r="C210" s="270"/>
      <c r="D210" s="270"/>
      <c r="E210" s="270"/>
      <c r="F210" s="270"/>
      <c r="G210" s="270"/>
      <c r="H210" s="270"/>
      <c r="I210" s="270"/>
      <c r="J210" s="270"/>
      <c r="K210" s="270"/>
      <c r="L210" s="270"/>
      <c r="M210" s="270"/>
      <c r="N210" s="270"/>
      <c r="O210" s="270"/>
      <c r="P210" s="270"/>
      <c r="Q210" s="270"/>
      <c r="R210" s="270"/>
      <c r="S210" s="270"/>
      <c r="T210" s="270"/>
      <c r="U210" s="270"/>
      <c r="V210" s="270"/>
      <c r="W210" s="270"/>
      <c r="X210" s="270"/>
      <c r="Y210" s="270"/>
    </row>
    <row r="211" spans="3:25">
      <c r="C211" s="270"/>
      <c r="D211" s="270"/>
      <c r="E211" s="270"/>
      <c r="F211" s="270"/>
      <c r="G211" s="270"/>
      <c r="H211" s="270"/>
      <c r="I211" s="270"/>
      <c r="J211" s="270"/>
      <c r="K211" s="270"/>
      <c r="L211" s="270"/>
      <c r="M211" s="270"/>
      <c r="N211" s="270"/>
      <c r="O211" s="270"/>
      <c r="P211" s="270"/>
      <c r="Q211" s="270"/>
      <c r="R211" s="270"/>
      <c r="S211" s="270"/>
      <c r="T211" s="270"/>
      <c r="U211" s="270"/>
      <c r="V211" s="270"/>
      <c r="W211" s="270"/>
      <c r="X211" s="270"/>
      <c r="Y211" s="270"/>
    </row>
    <row r="212" spans="3:25">
      <c r="C212" s="270"/>
      <c r="D212" s="270"/>
      <c r="E212" s="270"/>
      <c r="F212" s="270"/>
      <c r="G212" s="270"/>
      <c r="H212" s="270"/>
      <c r="I212" s="270"/>
      <c r="J212" s="270"/>
      <c r="K212" s="270"/>
      <c r="L212" s="270"/>
      <c r="M212" s="270"/>
      <c r="N212" s="270"/>
      <c r="O212" s="270"/>
      <c r="P212" s="270"/>
      <c r="Q212" s="270"/>
      <c r="R212" s="270"/>
      <c r="S212" s="270"/>
      <c r="T212" s="270"/>
      <c r="U212" s="270"/>
      <c r="V212" s="270"/>
      <c r="W212" s="270"/>
      <c r="X212" s="270"/>
      <c r="Y212" s="270"/>
    </row>
    <row r="213" spans="3:25">
      <c r="C213" s="270"/>
      <c r="D213" s="270"/>
      <c r="E213" s="270"/>
      <c r="F213" s="270"/>
      <c r="G213" s="270"/>
      <c r="H213" s="270"/>
      <c r="I213" s="270"/>
      <c r="J213" s="270"/>
      <c r="K213" s="270"/>
      <c r="L213" s="270"/>
      <c r="M213" s="270"/>
      <c r="N213" s="270"/>
      <c r="O213" s="270"/>
      <c r="P213" s="270"/>
      <c r="Q213" s="270"/>
      <c r="R213" s="270"/>
      <c r="S213" s="270"/>
      <c r="T213" s="270"/>
      <c r="U213" s="270"/>
      <c r="V213" s="270"/>
      <c r="W213" s="270"/>
      <c r="X213" s="270"/>
      <c r="Y213" s="270"/>
    </row>
    <row r="214" spans="3:25">
      <c r="C214" s="270"/>
      <c r="D214" s="270"/>
      <c r="E214" s="270"/>
      <c r="F214" s="270"/>
      <c r="G214" s="270"/>
      <c r="H214" s="270"/>
      <c r="I214" s="270"/>
      <c r="J214" s="270"/>
      <c r="K214" s="270"/>
      <c r="L214" s="270"/>
      <c r="M214" s="270"/>
      <c r="N214" s="270"/>
      <c r="O214" s="270"/>
      <c r="P214" s="270"/>
      <c r="Q214" s="270"/>
      <c r="R214" s="270"/>
      <c r="S214" s="270"/>
      <c r="T214" s="270"/>
      <c r="U214" s="270"/>
      <c r="V214" s="270"/>
      <c r="W214" s="270"/>
      <c r="X214" s="270"/>
      <c r="Y214" s="270"/>
    </row>
    <row r="215" spans="3:25">
      <c r="C215" s="270"/>
      <c r="D215" s="270"/>
      <c r="E215" s="270"/>
      <c r="F215" s="270"/>
      <c r="G215" s="270"/>
      <c r="H215" s="270"/>
      <c r="I215" s="270"/>
      <c r="J215" s="270"/>
      <c r="K215" s="270"/>
      <c r="L215" s="270"/>
      <c r="M215" s="270"/>
      <c r="N215" s="270"/>
      <c r="O215" s="270"/>
      <c r="P215" s="270"/>
      <c r="Q215" s="270"/>
      <c r="R215" s="270"/>
      <c r="S215" s="270"/>
      <c r="T215" s="270"/>
      <c r="U215" s="270"/>
      <c r="V215" s="270"/>
      <c r="W215" s="270"/>
      <c r="X215" s="270"/>
      <c r="Y215" s="270"/>
    </row>
    <row r="216" spans="3:25">
      <c r="C216" s="270"/>
      <c r="D216" s="270"/>
      <c r="E216" s="270"/>
      <c r="F216" s="270"/>
      <c r="G216" s="270"/>
      <c r="H216" s="270"/>
      <c r="I216" s="270"/>
      <c r="J216" s="270"/>
      <c r="K216" s="270"/>
      <c r="L216" s="270"/>
      <c r="M216" s="270"/>
      <c r="N216" s="270"/>
      <c r="O216" s="270"/>
      <c r="P216" s="270"/>
      <c r="Q216" s="270"/>
      <c r="R216" s="270"/>
      <c r="S216" s="270"/>
      <c r="T216" s="270"/>
      <c r="U216" s="270"/>
      <c r="V216" s="270"/>
      <c r="W216" s="270"/>
      <c r="X216" s="270"/>
      <c r="Y216" s="270"/>
    </row>
    <row r="217" spans="3:25">
      <c r="C217" s="270"/>
      <c r="D217" s="270"/>
      <c r="E217" s="270"/>
      <c r="F217" s="270"/>
      <c r="G217" s="270"/>
      <c r="H217" s="270"/>
      <c r="I217" s="270"/>
      <c r="J217" s="270"/>
      <c r="K217" s="270"/>
      <c r="L217" s="270"/>
      <c r="M217" s="270"/>
      <c r="N217" s="270"/>
      <c r="O217" s="270"/>
      <c r="P217" s="270"/>
      <c r="Q217" s="270"/>
      <c r="R217" s="270"/>
      <c r="S217" s="270"/>
      <c r="T217" s="270"/>
      <c r="U217" s="270"/>
      <c r="V217" s="270"/>
      <c r="W217" s="270"/>
      <c r="X217" s="270"/>
      <c r="Y217" s="270"/>
    </row>
    <row r="218" spans="3:25">
      <c r="C218" s="270"/>
      <c r="D218" s="270"/>
      <c r="E218" s="270"/>
      <c r="F218" s="270"/>
      <c r="G218" s="270"/>
      <c r="H218" s="270"/>
      <c r="I218" s="270"/>
      <c r="J218" s="270"/>
      <c r="K218" s="270"/>
      <c r="L218" s="270"/>
      <c r="M218" s="270"/>
      <c r="N218" s="270"/>
      <c r="O218" s="270"/>
      <c r="P218" s="270"/>
      <c r="Q218" s="270"/>
      <c r="R218" s="270"/>
      <c r="S218" s="270"/>
      <c r="T218" s="270"/>
      <c r="U218" s="270"/>
      <c r="V218" s="270"/>
      <c r="W218" s="270"/>
      <c r="X218" s="270"/>
      <c r="Y218" s="270"/>
    </row>
    <row r="219" spans="3:25">
      <c r="C219" s="270"/>
      <c r="D219" s="270"/>
      <c r="E219" s="270"/>
      <c r="F219" s="270"/>
      <c r="G219" s="270"/>
      <c r="H219" s="270"/>
      <c r="I219" s="270"/>
      <c r="J219" s="270"/>
      <c r="K219" s="270"/>
      <c r="L219" s="270"/>
      <c r="M219" s="270"/>
      <c r="N219" s="270"/>
      <c r="O219" s="270"/>
      <c r="P219" s="270"/>
      <c r="Q219" s="270"/>
      <c r="R219" s="270"/>
      <c r="S219" s="270"/>
      <c r="T219" s="270"/>
      <c r="U219" s="270"/>
      <c r="V219" s="270"/>
      <c r="W219" s="270"/>
      <c r="X219" s="270"/>
      <c r="Y219" s="270"/>
    </row>
    <row r="220" spans="3:25">
      <c r="C220" s="270"/>
      <c r="D220" s="270"/>
      <c r="E220" s="270"/>
      <c r="F220" s="270"/>
      <c r="G220" s="270"/>
      <c r="H220" s="270"/>
      <c r="I220" s="270"/>
      <c r="J220" s="270"/>
      <c r="K220" s="270"/>
      <c r="L220" s="270"/>
      <c r="M220" s="270"/>
      <c r="N220" s="270"/>
      <c r="O220" s="270"/>
      <c r="P220" s="270"/>
      <c r="Q220" s="270"/>
      <c r="R220" s="270"/>
      <c r="S220" s="270"/>
      <c r="T220" s="270"/>
      <c r="U220" s="270"/>
      <c r="V220" s="270"/>
      <c r="W220" s="270"/>
      <c r="X220" s="270"/>
      <c r="Y220" s="270"/>
    </row>
    <row r="221" spans="3:25">
      <c r="C221" s="270"/>
      <c r="D221" s="270"/>
      <c r="E221" s="270"/>
      <c r="F221" s="270"/>
      <c r="G221" s="270"/>
      <c r="H221" s="270"/>
      <c r="I221" s="270"/>
      <c r="J221" s="270"/>
      <c r="K221" s="270"/>
      <c r="L221" s="270"/>
      <c r="M221" s="270"/>
      <c r="N221" s="270"/>
      <c r="O221" s="270"/>
      <c r="P221" s="270"/>
      <c r="Q221" s="270"/>
      <c r="R221" s="270"/>
      <c r="S221" s="270"/>
      <c r="T221" s="270"/>
      <c r="U221" s="270"/>
      <c r="V221" s="270"/>
      <c r="W221" s="270"/>
      <c r="X221" s="270"/>
      <c r="Y221" s="270"/>
    </row>
    <row r="222" spans="3:25">
      <c r="C222" s="270"/>
      <c r="D222" s="270"/>
      <c r="E222" s="270"/>
      <c r="F222" s="270"/>
      <c r="G222" s="270"/>
      <c r="H222" s="270"/>
      <c r="I222" s="270"/>
      <c r="J222" s="270"/>
      <c r="K222" s="270"/>
      <c r="L222" s="270"/>
      <c r="M222" s="270"/>
      <c r="N222" s="270"/>
      <c r="O222" s="270"/>
      <c r="P222" s="270"/>
      <c r="Q222" s="270"/>
      <c r="R222" s="270"/>
      <c r="S222" s="270"/>
      <c r="T222" s="270"/>
      <c r="U222" s="270"/>
      <c r="V222" s="270"/>
      <c r="W222" s="270"/>
      <c r="X222" s="270"/>
      <c r="Y222" s="270"/>
    </row>
    <row r="223" spans="3:25">
      <c r="C223" s="270"/>
      <c r="D223" s="270"/>
      <c r="E223" s="270"/>
      <c r="F223" s="270"/>
      <c r="G223" s="270"/>
      <c r="H223" s="270"/>
      <c r="I223" s="270"/>
      <c r="J223" s="270"/>
      <c r="K223" s="270"/>
      <c r="L223" s="270"/>
      <c r="M223" s="270"/>
      <c r="N223" s="270"/>
      <c r="O223" s="270"/>
      <c r="P223" s="270"/>
      <c r="Q223" s="270"/>
      <c r="R223" s="270"/>
      <c r="S223" s="270"/>
      <c r="T223" s="270"/>
      <c r="U223" s="270"/>
      <c r="V223" s="270"/>
      <c r="W223" s="270"/>
      <c r="X223" s="270"/>
      <c r="Y223" s="270"/>
    </row>
    <row r="224" spans="3:25">
      <c r="C224" s="270"/>
      <c r="D224" s="270"/>
      <c r="E224" s="270"/>
      <c r="F224" s="270"/>
      <c r="G224" s="270"/>
      <c r="H224" s="270"/>
      <c r="I224" s="270"/>
      <c r="J224" s="270"/>
      <c r="K224" s="270"/>
      <c r="L224" s="270"/>
      <c r="M224" s="270"/>
      <c r="N224" s="270"/>
      <c r="O224" s="270"/>
      <c r="P224" s="270"/>
      <c r="Q224" s="270"/>
      <c r="R224" s="270"/>
      <c r="S224" s="270"/>
      <c r="T224" s="270"/>
      <c r="U224" s="270"/>
      <c r="V224" s="270"/>
      <c r="W224" s="270"/>
      <c r="X224" s="270"/>
      <c r="Y224" s="270"/>
    </row>
    <row r="225" spans="3:25">
      <c r="C225" s="270"/>
      <c r="D225" s="270"/>
      <c r="E225" s="270"/>
      <c r="F225" s="270"/>
      <c r="G225" s="270"/>
      <c r="H225" s="270"/>
      <c r="I225" s="270"/>
      <c r="J225" s="270"/>
      <c r="K225" s="270"/>
      <c r="L225" s="270"/>
      <c r="M225" s="270"/>
      <c r="N225" s="270"/>
      <c r="O225" s="270"/>
      <c r="P225" s="270"/>
      <c r="Q225" s="270"/>
      <c r="R225" s="270"/>
      <c r="S225" s="270"/>
      <c r="T225" s="270"/>
      <c r="U225" s="270"/>
      <c r="V225" s="270"/>
      <c r="W225" s="270"/>
      <c r="X225" s="270"/>
      <c r="Y225" s="270"/>
    </row>
    <row r="226" spans="3:25">
      <c r="C226" s="270"/>
      <c r="D226" s="270"/>
      <c r="E226" s="270"/>
      <c r="F226" s="270"/>
      <c r="G226" s="270"/>
      <c r="H226" s="270"/>
      <c r="I226" s="270"/>
      <c r="J226" s="270"/>
      <c r="K226" s="270"/>
      <c r="L226" s="270"/>
      <c r="M226" s="270"/>
      <c r="N226" s="270"/>
      <c r="O226" s="270"/>
      <c r="P226" s="270"/>
      <c r="Q226" s="270"/>
      <c r="R226" s="270"/>
      <c r="S226" s="270"/>
      <c r="T226" s="270"/>
      <c r="U226" s="270"/>
      <c r="V226" s="270"/>
      <c r="W226" s="270"/>
      <c r="X226" s="270"/>
      <c r="Y226" s="270"/>
    </row>
    <row r="227" spans="3:25">
      <c r="C227" s="270"/>
      <c r="D227" s="270"/>
      <c r="E227" s="270"/>
      <c r="F227" s="270"/>
      <c r="G227" s="270"/>
      <c r="H227" s="270"/>
      <c r="I227" s="270"/>
      <c r="J227" s="270"/>
      <c r="K227" s="270"/>
      <c r="L227" s="270"/>
      <c r="M227" s="270"/>
      <c r="N227" s="270"/>
      <c r="O227" s="270"/>
      <c r="P227" s="270"/>
      <c r="Q227" s="270"/>
      <c r="R227" s="270"/>
      <c r="S227" s="270"/>
      <c r="T227" s="270"/>
      <c r="U227" s="270"/>
      <c r="V227" s="270"/>
      <c r="W227" s="270"/>
      <c r="X227" s="270"/>
      <c r="Y227" s="270"/>
    </row>
    <row r="228" spans="3:25">
      <c r="C228" s="270"/>
      <c r="D228" s="270"/>
      <c r="E228" s="270"/>
      <c r="F228" s="270"/>
      <c r="G228" s="270"/>
      <c r="H228" s="270"/>
      <c r="I228" s="270"/>
      <c r="J228" s="270"/>
      <c r="K228" s="270"/>
      <c r="L228" s="270"/>
      <c r="M228" s="270"/>
      <c r="N228" s="270"/>
      <c r="O228" s="270"/>
      <c r="P228" s="270"/>
      <c r="Q228" s="270"/>
      <c r="R228" s="270"/>
      <c r="S228" s="270"/>
      <c r="T228" s="270"/>
      <c r="U228" s="270"/>
      <c r="V228" s="270"/>
      <c r="W228" s="270"/>
      <c r="X228" s="270"/>
      <c r="Y228" s="270"/>
    </row>
    <row r="229" spans="3:25">
      <c r="C229" s="270"/>
      <c r="D229" s="270"/>
      <c r="E229" s="270"/>
      <c r="F229" s="270"/>
      <c r="G229" s="270"/>
      <c r="H229" s="270"/>
      <c r="I229" s="270"/>
      <c r="J229" s="270"/>
      <c r="K229" s="270"/>
      <c r="L229" s="270"/>
      <c r="M229" s="270"/>
      <c r="N229" s="270"/>
      <c r="O229" s="270"/>
      <c r="P229" s="270"/>
      <c r="Q229" s="270"/>
      <c r="R229" s="270"/>
      <c r="S229" s="270"/>
      <c r="T229" s="270"/>
      <c r="U229" s="270"/>
      <c r="V229" s="270"/>
      <c r="W229" s="270"/>
      <c r="X229" s="270"/>
      <c r="Y229" s="270"/>
    </row>
    <row r="230" spans="3:25">
      <c r="C230" s="270"/>
      <c r="D230" s="270"/>
      <c r="E230" s="270"/>
      <c r="F230" s="270"/>
      <c r="G230" s="270"/>
      <c r="H230" s="270"/>
      <c r="I230" s="270"/>
      <c r="J230" s="270"/>
      <c r="K230" s="270"/>
      <c r="L230" s="270"/>
      <c r="M230" s="270"/>
      <c r="N230" s="270"/>
      <c r="O230" s="270"/>
      <c r="P230" s="270"/>
      <c r="Q230" s="270"/>
      <c r="R230" s="270"/>
      <c r="S230" s="270"/>
      <c r="T230" s="270"/>
      <c r="U230" s="270"/>
      <c r="V230" s="270"/>
      <c r="W230" s="270"/>
      <c r="X230" s="270"/>
      <c r="Y230" s="270"/>
    </row>
    <row r="231" spans="3:25">
      <c r="C231" s="270"/>
      <c r="D231" s="270"/>
      <c r="E231" s="270"/>
      <c r="F231" s="270"/>
      <c r="G231" s="270"/>
      <c r="H231" s="270"/>
      <c r="I231" s="270"/>
      <c r="J231" s="270"/>
      <c r="K231" s="270"/>
      <c r="L231" s="270"/>
      <c r="M231" s="270"/>
      <c r="N231" s="270"/>
      <c r="O231" s="270"/>
      <c r="P231" s="270"/>
      <c r="Q231" s="270"/>
      <c r="R231" s="270"/>
      <c r="S231" s="270"/>
      <c r="T231" s="270"/>
      <c r="U231" s="270"/>
      <c r="V231" s="270"/>
      <c r="W231" s="270"/>
      <c r="X231" s="270"/>
      <c r="Y231" s="270"/>
    </row>
    <row r="232" spans="3:25">
      <c r="C232" s="270"/>
      <c r="D232" s="270"/>
      <c r="E232" s="270"/>
      <c r="F232" s="270"/>
      <c r="G232" s="270"/>
      <c r="H232" s="270"/>
      <c r="I232" s="270"/>
      <c r="J232" s="270"/>
      <c r="K232" s="270"/>
      <c r="L232" s="270"/>
      <c r="M232" s="270"/>
      <c r="N232" s="270"/>
      <c r="O232" s="270"/>
      <c r="P232" s="270"/>
      <c r="Q232" s="270"/>
      <c r="R232" s="270"/>
      <c r="S232" s="270"/>
      <c r="T232" s="270"/>
      <c r="U232" s="270"/>
      <c r="V232" s="270"/>
      <c r="W232" s="270"/>
      <c r="X232" s="270"/>
      <c r="Y232" s="270"/>
    </row>
    <row r="233" spans="3:25">
      <c r="C233" s="270"/>
      <c r="D233" s="270"/>
      <c r="E233" s="270"/>
      <c r="F233" s="270"/>
      <c r="G233" s="270"/>
      <c r="H233" s="270"/>
      <c r="I233" s="270"/>
      <c r="J233" s="270"/>
      <c r="K233" s="270"/>
      <c r="L233" s="270"/>
      <c r="M233" s="270"/>
      <c r="N233" s="270"/>
      <c r="O233" s="270"/>
      <c r="P233" s="270"/>
      <c r="Q233" s="270"/>
      <c r="R233" s="270"/>
      <c r="S233" s="270"/>
      <c r="T233" s="270"/>
      <c r="U233" s="270"/>
      <c r="V233" s="270"/>
      <c r="W233" s="270"/>
      <c r="X233" s="270"/>
      <c r="Y233" s="270"/>
    </row>
    <row r="234" spans="3:25">
      <c r="C234" s="270"/>
      <c r="D234" s="270"/>
      <c r="E234" s="270"/>
      <c r="F234" s="270"/>
      <c r="G234" s="270"/>
      <c r="H234" s="270"/>
      <c r="I234" s="270"/>
      <c r="J234" s="270"/>
      <c r="K234" s="270"/>
      <c r="L234" s="270"/>
      <c r="M234" s="270"/>
      <c r="N234" s="270"/>
      <c r="O234" s="270"/>
      <c r="P234" s="270"/>
      <c r="Q234" s="270"/>
      <c r="R234" s="270"/>
      <c r="S234" s="270"/>
      <c r="T234" s="270"/>
      <c r="U234" s="270"/>
      <c r="V234" s="270"/>
      <c r="W234" s="270"/>
      <c r="X234" s="270"/>
      <c r="Y234" s="270"/>
    </row>
    <row r="235" spans="3:25">
      <c r="C235" s="270"/>
      <c r="D235" s="270"/>
      <c r="E235" s="270"/>
      <c r="F235" s="270"/>
      <c r="G235" s="270"/>
      <c r="H235" s="270"/>
      <c r="I235" s="270"/>
      <c r="J235" s="270"/>
      <c r="K235" s="270"/>
      <c r="L235" s="270"/>
      <c r="M235" s="270"/>
      <c r="N235" s="270"/>
      <c r="O235" s="270"/>
      <c r="P235" s="270"/>
      <c r="Q235" s="270"/>
      <c r="R235" s="270"/>
      <c r="S235" s="270"/>
      <c r="T235" s="270"/>
      <c r="U235" s="270"/>
      <c r="V235" s="270"/>
      <c r="W235" s="270"/>
      <c r="X235" s="270"/>
      <c r="Y235" s="270"/>
    </row>
    <row r="236" spans="3:25">
      <c r="C236" s="270"/>
      <c r="D236" s="270"/>
      <c r="E236" s="270"/>
      <c r="F236" s="270"/>
      <c r="G236" s="270"/>
      <c r="H236" s="270"/>
      <c r="I236" s="270"/>
      <c r="J236" s="270"/>
      <c r="K236" s="270"/>
      <c r="L236" s="270"/>
      <c r="M236" s="270"/>
      <c r="N236" s="270"/>
      <c r="O236" s="270"/>
      <c r="P236" s="270"/>
      <c r="Q236" s="270"/>
      <c r="R236" s="270"/>
      <c r="S236" s="270"/>
      <c r="T236" s="270"/>
      <c r="U236" s="270"/>
      <c r="V236" s="270"/>
      <c r="W236" s="270"/>
      <c r="X236" s="270"/>
      <c r="Y236" s="270"/>
    </row>
    <row r="237" spans="3:25">
      <c r="C237" s="270"/>
      <c r="D237" s="270"/>
      <c r="E237" s="270"/>
      <c r="F237" s="270"/>
      <c r="G237" s="270"/>
      <c r="H237" s="270"/>
      <c r="I237" s="270"/>
      <c r="J237" s="270"/>
      <c r="K237" s="270"/>
      <c r="L237" s="270"/>
      <c r="M237" s="270"/>
      <c r="N237" s="270"/>
      <c r="O237" s="270"/>
      <c r="P237" s="270"/>
      <c r="Q237" s="270"/>
      <c r="R237" s="270"/>
      <c r="S237" s="270"/>
      <c r="T237" s="270"/>
      <c r="U237" s="270"/>
      <c r="V237" s="270"/>
      <c r="W237" s="270"/>
      <c r="X237" s="270"/>
      <c r="Y237" s="270"/>
    </row>
    <row r="238" spans="3:25">
      <c r="C238" s="270"/>
      <c r="D238" s="270"/>
      <c r="E238" s="270"/>
      <c r="F238" s="270"/>
      <c r="G238" s="270"/>
      <c r="H238" s="270"/>
      <c r="I238" s="270"/>
      <c r="J238" s="270"/>
      <c r="K238" s="270"/>
      <c r="L238" s="270"/>
      <c r="M238" s="270"/>
      <c r="N238" s="270"/>
      <c r="O238" s="270"/>
      <c r="P238" s="270"/>
      <c r="Q238" s="270"/>
      <c r="R238" s="270"/>
      <c r="S238" s="270"/>
      <c r="T238" s="270"/>
      <c r="U238" s="270"/>
      <c r="V238" s="270"/>
      <c r="W238" s="270"/>
      <c r="X238" s="270"/>
      <c r="Y238" s="270"/>
    </row>
    <row r="239" spans="3:25">
      <c r="C239" s="270"/>
      <c r="D239" s="270"/>
      <c r="E239" s="270"/>
      <c r="F239" s="270"/>
      <c r="G239" s="270"/>
      <c r="H239" s="270"/>
      <c r="I239" s="270"/>
      <c r="J239" s="270"/>
      <c r="K239" s="270"/>
      <c r="L239" s="270"/>
      <c r="M239" s="270"/>
      <c r="N239" s="270"/>
      <c r="O239" s="270"/>
      <c r="P239" s="270"/>
      <c r="Q239" s="270"/>
      <c r="R239" s="270"/>
      <c r="S239" s="270"/>
      <c r="T239" s="270"/>
      <c r="U239" s="270"/>
      <c r="V239" s="270"/>
      <c r="W239" s="270"/>
      <c r="X239" s="270"/>
      <c r="Y239" s="270"/>
    </row>
    <row r="240" spans="3:25">
      <c r="C240" s="270"/>
      <c r="D240" s="270"/>
      <c r="E240" s="270"/>
      <c r="F240" s="270"/>
      <c r="G240" s="270"/>
      <c r="H240" s="270"/>
      <c r="I240" s="270"/>
      <c r="J240" s="270"/>
      <c r="K240" s="270"/>
      <c r="L240" s="270"/>
      <c r="M240" s="270"/>
      <c r="N240" s="270"/>
      <c r="O240" s="270"/>
      <c r="P240" s="270"/>
      <c r="Q240" s="270"/>
      <c r="R240" s="270"/>
      <c r="S240" s="270"/>
      <c r="T240" s="270"/>
      <c r="U240" s="270"/>
      <c r="V240" s="270"/>
      <c r="W240" s="270"/>
      <c r="X240" s="270"/>
      <c r="Y240" s="270"/>
    </row>
    <row r="241" spans="3:25">
      <c r="C241" s="270"/>
      <c r="D241" s="270"/>
      <c r="E241" s="270"/>
      <c r="F241" s="270"/>
      <c r="G241" s="270"/>
      <c r="H241" s="270"/>
      <c r="I241" s="270"/>
      <c r="J241" s="270"/>
      <c r="K241" s="270"/>
      <c r="L241" s="270"/>
      <c r="M241" s="270"/>
      <c r="N241" s="270"/>
      <c r="O241" s="270"/>
      <c r="P241" s="270"/>
      <c r="Q241" s="270"/>
      <c r="R241" s="270"/>
      <c r="S241" s="270"/>
      <c r="T241" s="270"/>
      <c r="U241" s="270"/>
      <c r="V241" s="270"/>
      <c r="W241" s="270"/>
      <c r="X241" s="270"/>
      <c r="Y241" s="270"/>
    </row>
    <row r="242" spans="3:25">
      <c r="C242" s="270"/>
      <c r="D242" s="270"/>
      <c r="E242" s="270"/>
      <c r="F242" s="270"/>
      <c r="G242" s="270"/>
      <c r="H242" s="270"/>
      <c r="I242" s="270"/>
      <c r="J242" s="270"/>
      <c r="K242" s="270"/>
      <c r="L242" s="270"/>
      <c r="M242" s="270"/>
      <c r="N242" s="270"/>
      <c r="O242" s="270"/>
      <c r="P242" s="270"/>
      <c r="Q242" s="270"/>
      <c r="R242" s="270"/>
      <c r="S242" s="270"/>
      <c r="T242" s="270"/>
      <c r="U242" s="270"/>
      <c r="V242" s="270"/>
      <c r="W242" s="270"/>
      <c r="X242" s="270"/>
      <c r="Y242" s="270"/>
    </row>
    <row r="243" spans="3:25">
      <c r="C243" s="270"/>
      <c r="D243" s="270"/>
      <c r="E243" s="270"/>
      <c r="F243" s="270"/>
      <c r="G243" s="270"/>
      <c r="H243" s="270"/>
      <c r="I243" s="270"/>
      <c r="J243" s="270"/>
      <c r="K243" s="270"/>
      <c r="L243" s="270"/>
      <c r="M243" s="270"/>
      <c r="N243" s="270"/>
      <c r="O243" s="270"/>
      <c r="P243" s="270"/>
      <c r="Q243" s="270"/>
      <c r="R243" s="270"/>
      <c r="S243" s="270"/>
      <c r="T243" s="270"/>
      <c r="U243" s="270"/>
      <c r="V243" s="270"/>
      <c r="W243" s="270"/>
      <c r="X243" s="270"/>
      <c r="Y243" s="270"/>
    </row>
    <row r="244" spans="3:25">
      <c r="C244" s="270"/>
      <c r="D244" s="270"/>
      <c r="E244" s="270"/>
      <c r="F244" s="270"/>
      <c r="G244" s="270"/>
      <c r="H244" s="270"/>
      <c r="I244" s="270"/>
      <c r="J244" s="270"/>
      <c r="K244" s="270"/>
      <c r="L244" s="270"/>
      <c r="M244" s="270"/>
      <c r="N244" s="270"/>
      <c r="O244" s="270"/>
      <c r="P244" s="270"/>
      <c r="Q244" s="270"/>
      <c r="R244" s="270"/>
      <c r="S244" s="270"/>
      <c r="T244" s="270"/>
      <c r="U244" s="270"/>
      <c r="V244" s="270"/>
      <c r="W244" s="270"/>
      <c r="X244" s="270"/>
      <c r="Y244" s="270"/>
    </row>
    <row r="245" spans="3:25">
      <c r="C245" s="270"/>
      <c r="D245" s="270"/>
      <c r="E245" s="270"/>
      <c r="F245" s="270"/>
      <c r="G245" s="270"/>
      <c r="H245" s="270"/>
      <c r="I245" s="270"/>
      <c r="J245" s="270"/>
      <c r="K245" s="270"/>
      <c r="L245" s="270"/>
      <c r="M245" s="270"/>
      <c r="N245" s="270"/>
      <c r="O245" s="270"/>
      <c r="P245" s="270"/>
      <c r="Q245" s="270"/>
      <c r="R245" s="270"/>
      <c r="S245" s="270"/>
      <c r="T245" s="270"/>
      <c r="U245" s="270"/>
      <c r="V245" s="270"/>
      <c r="W245" s="270"/>
      <c r="X245" s="270"/>
      <c r="Y245" s="270"/>
    </row>
    <row r="246" spans="3:25">
      <c r="C246" s="270"/>
      <c r="D246" s="270"/>
      <c r="E246" s="270"/>
      <c r="F246" s="270"/>
      <c r="G246" s="270"/>
      <c r="H246" s="270"/>
      <c r="I246" s="270"/>
      <c r="J246" s="270"/>
      <c r="K246" s="270"/>
      <c r="L246" s="270"/>
      <c r="M246" s="270"/>
      <c r="N246" s="270"/>
      <c r="O246" s="270"/>
      <c r="P246" s="270"/>
      <c r="Q246" s="270"/>
      <c r="R246" s="270"/>
      <c r="S246" s="270"/>
      <c r="T246" s="270"/>
      <c r="U246" s="270"/>
      <c r="V246" s="270"/>
      <c r="W246" s="270"/>
      <c r="X246" s="270"/>
      <c r="Y246" s="270"/>
    </row>
    <row r="247" spans="3:25">
      <c r="C247" s="270"/>
      <c r="D247" s="270"/>
      <c r="E247" s="270"/>
      <c r="F247" s="270"/>
      <c r="G247" s="270"/>
      <c r="H247" s="270"/>
      <c r="I247" s="270"/>
      <c r="J247" s="270"/>
      <c r="K247" s="270"/>
      <c r="L247" s="270"/>
      <c r="M247" s="270"/>
      <c r="N247" s="270"/>
      <c r="O247" s="270"/>
      <c r="P247" s="270"/>
      <c r="Q247" s="270"/>
      <c r="R247" s="270"/>
      <c r="S247" s="270"/>
      <c r="T247" s="270"/>
      <c r="U247" s="270"/>
      <c r="V247" s="270"/>
      <c r="W247" s="270"/>
      <c r="X247" s="270"/>
      <c r="Y247" s="270"/>
    </row>
    <row r="248" spans="3:25">
      <c r="C248" s="270"/>
      <c r="D248" s="270"/>
      <c r="E248" s="270"/>
      <c r="F248" s="270"/>
      <c r="G248" s="270"/>
      <c r="H248" s="270"/>
      <c r="I248" s="270"/>
      <c r="J248" s="270"/>
      <c r="K248" s="270"/>
      <c r="L248" s="270"/>
      <c r="M248" s="270"/>
      <c r="N248" s="270"/>
      <c r="O248" s="270"/>
      <c r="P248" s="270"/>
      <c r="Q248" s="270"/>
      <c r="R248" s="270"/>
      <c r="S248" s="270"/>
      <c r="T248" s="270"/>
      <c r="U248" s="270"/>
      <c r="V248" s="270"/>
      <c r="W248" s="270"/>
      <c r="X248" s="270"/>
      <c r="Y248" s="270"/>
    </row>
    <row r="249" spans="3:25">
      <c r="C249" s="270"/>
      <c r="D249" s="270"/>
      <c r="E249" s="270"/>
      <c r="F249" s="270"/>
      <c r="G249" s="270"/>
      <c r="H249" s="270"/>
      <c r="I249" s="270"/>
      <c r="J249" s="270"/>
      <c r="K249" s="270"/>
      <c r="L249" s="270"/>
      <c r="M249" s="270"/>
      <c r="N249" s="270"/>
      <c r="O249" s="270"/>
      <c r="P249" s="270"/>
      <c r="Q249" s="270"/>
      <c r="R249" s="270"/>
      <c r="S249" s="270"/>
      <c r="T249" s="270"/>
      <c r="U249" s="270"/>
      <c r="V249" s="270"/>
      <c r="W249" s="270"/>
      <c r="X249" s="270"/>
      <c r="Y249" s="270"/>
    </row>
    <row r="250" spans="3:25">
      <c r="C250" s="270"/>
      <c r="D250" s="270"/>
      <c r="E250" s="270"/>
      <c r="F250" s="270"/>
      <c r="G250" s="270"/>
      <c r="H250" s="270"/>
      <c r="I250" s="270"/>
      <c r="J250" s="270"/>
      <c r="K250" s="270"/>
      <c r="L250" s="270"/>
      <c r="M250" s="270"/>
      <c r="N250" s="270"/>
      <c r="O250" s="270"/>
      <c r="P250" s="270"/>
      <c r="Q250" s="270"/>
      <c r="R250" s="270"/>
      <c r="S250" s="270"/>
      <c r="T250" s="270"/>
      <c r="U250" s="270"/>
      <c r="V250" s="270"/>
      <c r="W250" s="270"/>
      <c r="X250" s="270"/>
      <c r="Y250" s="270"/>
    </row>
    <row r="251" spans="3:25">
      <c r="C251" s="270"/>
      <c r="D251" s="270"/>
      <c r="E251" s="270"/>
      <c r="F251" s="270"/>
      <c r="G251" s="270"/>
      <c r="H251" s="270"/>
      <c r="I251" s="270"/>
      <c r="J251" s="270"/>
      <c r="K251" s="270"/>
      <c r="L251" s="270"/>
      <c r="M251" s="270"/>
      <c r="N251" s="270"/>
      <c r="O251" s="270"/>
      <c r="P251" s="270"/>
      <c r="Q251" s="270"/>
      <c r="R251" s="270"/>
      <c r="S251" s="270"/>
      <c r="T251" s="270"/>
      <c r="U251" s="270"/>
      <c r="V251" s="270"/>
      <c r="W251" s="270"/>
      <c r="X251" s="270"/>
      <c r="Y251" s="270"/>
    </row>
    <row r="252" spans="3:25">
      <c r="C252" s="270"/>
      <c r="D252" s="270"/>
      <c r="E252" s="270"/>
      <c r="F252" s="270"/>
      <c r="G252" s="270"/>
      <c r="H252" s="270"/>
      <c r="I252" s="270"/>
      <c r="J252" s="270"/>
      <c r="K252" s="270"/>
      <c r="L252" s="270"/>
      <c r="M252" s="270"/>
      <c r="N252" s="270"/>
      <c r="O252" s="270"/>
      <c r="P252" s="270"/>
      <c r="Q252" s="270"/>
      <c r="R252" s="270"/>
      <c r="S252" s="270"/>
      <c r="T252" s="270"/>
      <c r="U252" s="270"/>
      <c r="V252" s="270"/>
      <c r="W252" s="270"/>
      <c r="X252" s="270"/>
      <c r="Y252" s="270"/>
    </row>
    <row r="253" spans="3:25">
      <c r="C253" s="270"/>
      <c r="D253" s="270"/>
      <c r="E253" s="270"/>
      <c r="F253" s="270"/>
      <c r="G253" s="270"/>
      <c r="H253" s="270"/>
      <c r="I253" s="270"/>
      <c r="J253" s="270"/>
      <c r="K253" s="270"/>
      <c r="L253" s="270"/>
      <c r="M253" s="270"/>
      <c r="N253" s="270"/>
      <c r="O253" s="270"/>
      <c r="P253" s="270"/>
      <c r="Q253" s="270"/>
      <c r="R253" s="270"/>
      <c r="S253" s="270"/>
      <c r="T253" s="270"/>
      <c r="U253" s="270"/>
      <c r="V253" s="270"/>
      <c r="W253" s="270"/>
      <c r="X253" s="270"/>
      <c r="Y253" s="270"/>
    </row>
    <row r="254" spans="3:25">
      <c r="C254" s="270"/>
      <c r="D254" s="270"/>
      <c r="E254" s="270"/>
      <c r="F254" s="270"/>
      <c r="G254" s="270"/>
      <c r="H254" s="270"/>
      <c r="I254" s="270"/>
      <c r="J254" s="270"/>
      <c r="K254" s="270"/>
      <c r="L254" s="270"/>
      <c r="M254" s="270"/>
      <c r="N254" s="270"/>
      <c r="O254" s="270"/>
      <c r="P254" s="270"/>
      <c r="Q254" s="270"/>
      <c r="R254" s="270"/>
      <c r="S254" s="270"/>
      <c r="T254" s="270"/>
      <c r="U254" s="270"/>
      <c r="V254" s="270"/>
      <c r="W254" s="270"/>
      <c r="X254" s="270"/>
      <c r="Y254" s="270"/>
    </row>
    <row r="255" spans="3:25">
      <c r="C255" s="270"/>
      <c r="D255" s="270"/>
      <c r="E255" s="270"/>
      <c r="F255" s="270"/>
      <c r="G255" s="270"/>
      <c r="H255" s="270"/>
      <c r="I255" s="270"/>
      <c r="J255" s="270"/>
      <c r="K255" s="270"/>
      <c r="L255" s="270"/>
      <c r="M255" s="270"/>
      <c r="N255" s="270"/>
      <c r="O255" s="270"/>
      <c r="P255" s="270"/>
      <c r="Q255" s="270"/>
      <c r="R255" s="270"/>
      <c r="S255" s="270"/>
      <c r="T255" s="270"/>
      <c r="U255" s="270"/>
      <c r="V255" s="270"/>
      <c r="W255" s="270"/>
      <c r="X255" s="270"/>
      <c r="Y255" s="270"/>
    </row>
    <row r="256" spans="3:25">
      <c r="C256" s="270"/>
      <c r="D256" s="270"/>
      <c r="E256" s="270"/>
      <c r="F256" s="270"/>
      <c r="G256" s="270"/>
      <c r="H256" s="270"/>
      <c r="I256" s="270"/>
      <c r="J256" s="270"/>
      <c r="K256" s="270"/>
      <c r="L256" s="270"/>
      <c r="M256" s="270"/>
      <c r="N256" s="270"/>
      <c r="O256" s="270"/>
      <c r="P256" s="270"/>
      <c r="Q256" s="270"/>
      <c r="R256" s="270"/>
      <c r="S256" s="270"/>
      <c r="T256" s="270"/>
      <c r="U256" s="270"/>
      <c r="V256" s="270"/>
      <c r="W256" s="270"/>
      <c r="X256" s="270"/>
      <c r="Y256" s="270"/>
    </row>
    <row r="257" spans="3:25">
      <c r="C257" s="270"/>
      <c r="D257" s="270"/>
      <c r="E257" s="270"/>
      <c r="F257" s="270"/>
      <c r="G257" s="270"/>
      <c r="H257" s="270"/>
      <c r="I257" s="270"/>
      <c r="J257" s="270"/>
      <c r="K257" s="270"/>
      <c r="L257" s="270"/>
      <c r="M257" s="270"/>
      <c r="N257" s="270"/>
      <c r="O257" s="270"/>
      <c r="P257" s="270"/>
      <c r="Q257" s="270"/>
      <c r="R257" s="270"/>
      <c r="S257" s="270"/>
      <c r="T257" s="270"/>
      <c r="U257" s="270"/>
      <c r="V257" s="270"/>
      <c r="W257" s="270"/>
      <c r="X257" s="270"/>
      <c r="Y257" s="270"/>
    </row>
    <row r="258" spans="3:25">
      <c r="C258" s="270"/>
      <c r="D258" s="270"/>
      <c r="E258" s="270"/>
      <c r="F258" s="270"/>
      <c r="G258" s="270"/>
      <c r="H258" s="270"/>
      <c r="I258" s="270"/>
      <c r="J258" s="270"/>
      <c r="K258" s="270"/>
      <c r="L258" s="270"/>
      <c r="M258" s="270"/>
      <c r="N258" s="270"/>
      <c r="O258" s="270"/>
      <c r="P258" s="270"/>
      <c r="Q258" s="270"/>
      <c r="R258" s="270"/>
      <c r="S258" s="270"/>
      <c r="T258" s="270"/>
      <c r="U258" s="270"/>
      <c r="V258" s="270"/>
      <c r="W258" s="270"/>
      <c r="X258" s="270"/>
      <c r="Y258" s="270"/>
    </row>
    <row r="259" spans="3:25">
      <c r="C259" s="270"/>
      <c r="D259" s="270"/>
      <c r="E259" s="270"/>
      <c r="F259" s="270"/>
      <c r="G259" s="270"/>
      <c r="H259" s="270"/>
      <c r="I259" s="270"/>
      <c r="J259" s="270"/>
      <c r="K259" s="270"/>
      <c r="L259" s="270"/>
      <c r="M259" s="270"/>
      <c r="N259" s="270"/>
      <c r="O259" s="270"/>
      <c r="P259" s="270"/>
      <c r="Q259" s="270"/>
      <c r="R259" s="270"/>
      <c r="S259" s="270"/>
      <c r="T259" s="270"/>
      <c r="U259" s="270"/>
      <c r="V259" s="270"/>
      <c r="W259" s="270"/>
      <c r="X259" s="270"/>
      <c r="Y259" s="270"/>
    </row>
    <row r="260" spans="3:25">
      <c r="C260" s="270"/>
      <c r="D260" s="270"/>
      <c r="E260" s="270"/>
      <c r="F260" s="270"/>
      <c r="G260" s="270"/>
      <c r="H260" s="270"/>
      <c r="I260" s="270"/>
      <c r="J260" s="270"/>
      <c r="K260" s="270"/>
      <c r="L260" s="270"/>
      <c r="M260" s="270"/>
      <c r="N260" s="270"/>
      <c r="O260" s="270"/>
      <c r="P260" s="270"/>
      <c r="Q260" s="270"/>
      <c r="R260" s="270"/>
      <c r="S260" s="270"/>
      <c r="T260" s="270"/>
      <c r="U260" s="270"/>
      <c r="V260" s="270"/>
      <c r="W260" s="270"/>
      <c r="X260" s="270"/>
      <c r="Y260" s="270"/>
    </row>
    <row r="261" spans="3:25">
      <c r="C261" s="270"/>
      <c r="D261" s="270"/>
      <c r="E261" s="270"/>
      <c r="F261" s="270"/>
      <c r="G261" s="270"/>
      <c r="H261" s="270"/>
      <c r="I261" s="270"/>
      <c r="J261" s="270"/>
      <c r="K261" s="270"/>
      <c r="L261" s="270"/>
      <c r="M261" s="270"/>
      <c r="N261" s="270"/>
      <c r="O261" s="270"/>
      <c r="P261" s="270"/>
      <c r="Q261" s="270"/>
      <c r="R261" s="270"/>
      <c r="S261" s="270"/>
      <c r="T261" s="270"/>
      <c r="U261" s="270"/>
      <c r="V261" s="270"/>
      <c r="W261" s="270"/>
      <c r="X261" s="270"/>
      <c r="Y261" s="270"/>
    </row>
    <row r="262" spans="3:25">
      <c r="C262" s="270"/>
      <c r="D262" s="270"/>
      <c r="E262" s="270"/>
      <c r="F262" s="270"/>
      <c r="G262" s="270"/>
      <c r="H262" s="270"/>
      <c r="I262" s="270"/>
      <c r="J262" s="270"/>
      <c r="K262" s="270"/>
      <c r="L262" s="270"/>
      <c r="M262" s="270"/>
      <c r="N262" s="270"/>
      <c r="O262" s="270"/>
      <c r="P262" s="270"/>
      <c r="Q262" s="270"/>
      <c r="R262" s="270"/>
      <c r="S262" s="270"/>
      <c r="T262" s="270"/>
      <c r="U262" s="270"/>
      <c r="V262" s="270"/>
      <c r="W262" s="270"/>
      <c r="X262" s="270"/>
      <c r="Y262" s="270"/>
    </row>
    <row r="263" spans="3:25">
      <c r="C263" s="270"/>
      <c r="D263" s="270"/>
      <c r="E263" s="270"/>
      <c r="F263" s="270"/>
      <c r="G263" s="270"/>
      <c r="H263" s="270"/>
      <c r="I263" s="270"/>
      <c r="J263" s="270"/>
      <c r="K263" s="270"/>
      <c r="L263" s="270"/>
      <c r="M263" s="270"/>
      <c r="N263" s="270"/>
      <c r="O263" s="270"/>
      <c r="P263" s="270"/>
      <c r="Q263" s="270"/>
      <c r="R263" s="270"/>
      <c r="S263" s="270"/>
      <c r="T263" s="270"/>
      <c r="U263" s="270"/>
      <c r="V263" s="270"/>
      <c r="W263" s="270"/>
      <c r="X263" s="270"/>
      <c r="Y263" s="270"/>
    </row>
    <row r="264" spans="3:25">
      <c r="C264" s="270"/>
      <c r="D264" s="270"/>
      <c r="E264" s="270"/>
      <c r="F264" s="270"/>
      <c r="G264" s="270"/>
      <c r="H264" s="270"/>
      <c r="I264" s="270"/>
      <c r="J264" s="270"/>
      <c r="K264" s="270"/>
      <c r="L264" s="270"/>
      <c r="M264" s="270"/>
      <c r="N264" s="270"/>
      <c r="O264" s="270"/>
      <c r="P264" s="270"/>
      <c r="Q264" s="270"/>
      <c r="R264" s="270"/>
      <c r="S264" s="270"/>
      <c r="T264" s="270"/>
      <c r="U264" s="270"/>
      <c r="V264" s="270"/>
      <c r="W264" s="270"/>
      <c r="X264" s="270"/>
      <c r="Y264" s="270"/>
    </row>
    <row r="265" spans="3:25">
      <c r="C265" s="270"/>
      <c r="D265" s="270"/>
      <c r="E265" s="270"/>
      <c r="F265" s="270"/>
      <c r="G265" s="270"/>
      <c r="H265" s="270"/>
      <c r="I265" s="270"/>
      <c r="J265" s="270"/>
      <c r="K265" s="270"/>
      <c r="L265" s="270"/>
      <c r="M265" s="270"/>
      <c r="N265" s="270"/>
      <c r="O265" s="270"/>
      <c r="P265" s="270"/>
      <c r="Q265" s="270"/>
      <c r="R265" s="270"/>
      <c r="S265" s="270"/>
      <c r="T265" s="270"/>
      <c r="U265" s="270"/>
      <c r="V265" s="270"/>
      <c r="W265" s="270"/>
      <c r="X265" s="270"/>
      <c r="Y265" s="270"/>
    </row>
    <row r="266" spans="3:25">
      <c r="C266" s="270"/>
      <c r="D266" s="270"/>
      <c r="E266" s="270"/>
      <c r="F266" s="270"/>
      <c r="G266" s="270"/>
      <c r="H266" s="270"/>
      <c r="I266" s="270"/>
      <c r="J266" s="270"/>
      <c r="K266" s="270"/>
      <c r="L266" s="270"/>
      <c r="M266" s="270"/>
      <c r="N266" s="270"/>
      <c r="O266" s="270"/>
      <c r="P266" s="270"/>
      <c r="Q266" s="270"/>
      <c r="R266" s="270"/>
      <c r="S266" s="270"/>
      <c r="T266" s="270"/>
      <c r="U266" s="270"/>
      <c r="V266" s="270"/>
      <c r="W266" s="270"/>
      <c r="X266" s="270"/>
      <c r="Y266" s="270"/>
    </row>
    <row r="267" spans="3:25">
      <c r="C267" s="270"/>
      <c r="D267" s="270"/>
      <c r="E267" s="270"/>
      <c r="F267" s="270"/>
      <c r="G267" s="270"/>
      <c r="H267" s="270"/>
      <c r="I267" s="270"/>
      <c r="J267" s="270"/>
      <c r="K267" s="270"/>
      <c r="L267" s="270"/>
      <c r="M267" s="270"/>
      <c r="N267" s="270"/>
      <c r="O267" s="270"/>
      <c r="P267" s="270"/>
      <c r="Q267" s="270"/>
      <c r="R267" s="270"/>
      <c r="S267" s="270"/>
      <c r="T267" s="270"/>
      <c r="U267" s="270"/>
      <c r="V267" s="270"/>
      <c r="W267" s="270"/>
      <c r="X267" s="270"/>
      <c r="Y267" s="270"/>
    </row>
    <row r="268" spans="3:25">
      <c r="C268" s="270"/>
      <c r="D268" s="270"/>
      <c r="E268" s="270"/>
      <c r="F268" s="270"/>
      <c r="G268" s="270"/>
      <c r="H268" s="270"/>
      <c r="I268" s="270"/>
      <c r="J268" s="270"/>
      <c r="K268" s="270"/>
      <c r="L268" s="270"/>
      <c r="M268" s="270"/>
      <c r="N268" s="270"/>
      <c r="O268" s="270"/>
      <c r="P268" s="270"/>
      <c r="Q268" s="270"/>
      <c r="R268" s="270"/>
      <c r="S268" s="270"/>
      <c r="T268" s="270"/>
      <c r="U268" s="270"/>
      <c r="V268" s="270"/>
      <c r="W268" s="270"/>
      <c r="X268" s="270"/>
      <c r="Y268" s="270"/>
    </row>
    <row r="269" spans="3:25">
      <c r="C269" s="270"/>
      <c r="D269" s="270"/>
      <c r="E269" s="270"/>
      <c r="F269" s="270"/>
      <c r="G269" s="270"/>
      <c r="H269" s="270"/>
      <c r="I269" s="270"/>
      <c r="J269" s="270"/>
      <c r="K269" s="270"/>
      <c r="L269" s="270"/>
      <c r="M269" s="270"/>
      <c r="N269" s="270"/>
      <c r="O269" s="270"/>
      <c r="P269" s="270"/>
      <c r="Q269" s="270"/>
      <c r="R269" s="270"/>
      <c r="S269" s="270"/>
      <c r="T269" s="270"/>
      <c r="U269" s="270"/>
      <c r="V269" s="270"/>
      <c r="W269" s="270"/>
      <c r="X269" s="270"/>
      <c r="Y269" s="270"/>
    </row>
    <row r="270" spans="3:25">
      <c r="C270" s="270"/>
      <c r="D270" s="270"/>
      <c r="E270" s="270"/>
      <c r="F270" s="270"/>
      <c r="G270" s="270"/>
      <c r="H270" s="270"/>
      <c r="I270" s="270"/>
      <c r="J270" s="270"/>
      <c r="K270" s="270"/>
      <c r="L270" s="270"/>
      <c r="M270" s="270"/>
      <c r="N270" s="270"/>
      <c r="O270" s="270"/>
      <c r="P270" s="270"/>
      <c r="Q270" s="270"/>
      <c r="R270" s="270"/>
      <c r="S270" s="270"/>
      <c r="T270" s="270"/>
      <c r="U270" s="270"/>
      <c r="V270" s="270"/>
      <c r="W270" s="270"/>
      <c r="X270" s="270"/>
      <c r="Y270" s="270"/>
    </row>
    <row r="271" spans="3:25">
      <c r="C271" s="270"/>
      <c r="D271" s="270"/>
      <c r="E271" s="270"/>
      <c r="F271" s="270"/>
      <c r="G271" s="270"/>
      <c r="H271" s="270"/>
      <c r="I271" s="270"/>
      <c r="J271" s="270"/>
      <c r="K271" s="270"/>
      <c r="L271" s="270"/>
      <c r="M271" s="270"/>
      <c r="N271" s="270"/>
      <c r="O271" s="270"/>
      <c r="P271" s="270"/>
      <c r="Q271" s="270"/>
      <c r="R271" s="270"/>
      <c r="S271" s="270"/>
      <c r="T271" s="270"/>
      <c r="U271" s="270"/>
      <c r="V271" s="270"/>
      <c r="W271" s="270"/>
      <c r="X271" s="270"/>
      <c r="Y271" s="270"/>
    </row>
    <row r="272" spans="3:25">
      <c r="C272" s="270"/>
      <c r="D272" s="270"/>
      <c r="E272" s="270"/>
      <c r="F272" s="270"/>
      <c r="G272" s="270"/>
      <c r="H272" s="270"/>
      <c r="I272" s="270"/>
      <c r="J272" s="270"/>
      <c r="K272" s="270"/>
      <c r="L272" s="270"/>
      <c r="M272" s="270"/>
      <c r="N272" s="270"/>
      <c r="O272" s="270"/>
      <c r="P272" s="270"/>
      <c r="Q272" s="270"/>
      <c r="R272" s="270"/>
      <c r="S272" s="270"/>
      <c r="T272" s="270"/>
      <c r="U272" s="270"/>
      <c r="V272" s="270"/>
      <c r="W272" s="270"/>
      <c r="X272" s="270"/>
      <c r="Y272" s="270"/>
    </row>
    <row r="273" spans="3:25">
      <c r="C273" s="270"/>
      <c r="D273" s="270"/>
      <c r="E273" s="270"/>
      <c r="F273" s="270"/>
      <c r="G273" s="270"/>
      <c r="H273" s="270"/>
      <c r="I273" s="270"/>
      <c r="J273" s="270"/>
      <c r="K273" s="270"/>
      <c r="L273" s="270"/>
      <c r="M273" s="270"/>
      <c r="N273" s="270"/>
      <c r="O273" s="270"/>
      <c r="P273" s="270"/>
      <c r="Q273" s="270"/>
      <c r="R273" s="270"/>
      <c r="S273" s="270"/>
      <c r="T273" s="270"/>
      <c r="U273" s="270"/>
      <c r="V273" s="270"/>
      <c r="W273" s="270"/>
      <c r="X273" s="270"/>
      <c r="Y273" s="270"/>
    </row>
    <row r="274" spans="3:25">
      <c r="C274" s="270"/>
      <c r="D274" s="270"/>
      <c r="E274" s="270"/>
      <c r="F274" s="270"/>
      <c r="G274" s="270"/>
      <c r="H274" s="270"/>
      <c r="I274" s="270"/>
      <c r="J274" s="270"/>
      <c r="K274" s="270"/>
      <c r="L274" s="270"/>
      <c r="M274" s="270"/>
      <c r="N274" s="270"/>
      <c r="O274" s="270"/>
      <c r="P274" s="270"/>
      <c r="Q274" s="270"/>
      <c r="R274" s="270"/>
      <c r="S274" s="270"/>
      <c r="T274" s="270"/>
      <c r="U274" s="270"/>
      <c r="V274" s="270"/>
      <c r="W274" s="270"/>
      <c r="X274" s="270"/>
      <c r="Y274" s="270"/>
    </row>
    <row r="275" spans="3:25">
      <c r="C275" s="270"/>
      <c r="D275" s="270"/>
      <c r="E275" s="270"/>
      <c r="F275" s="270"/>
      <c r="G275" s="270"/>
      <c r="H275" s="270"/>
      <c r="I275" s="270"/>
      <c r="J275" s="270"/>
      <c r="K275" s="270"/>
      <c r="L275" s="270"/>
      <c r="M275" s="270"/>
      <c r="N275" s="270"/>
      <c r="O275" s="270"/>
      <c r="P275" s="270"/>
      <c r="Q275" s="270"/>
      <c r="R275" s="270"/>
      <c r="S275" s="270"/>
      <c r="T275" s="270"/>
      <c r="U275" s="270"/>
      <c r="V275" s="270"/>
      <c r="W275" s="270"/>
      <c r="X275" s="270"/>
      <c r="Y275" s="270"/>
    </row>
    <row r="276" spans="3:25">
      <c r="C276" s="270"/>
      <c r="D276" s="270"/>
      <c r="E276" s="270"/>
      <c r="F276" s="270"/>
      <c r="G276" s="270"/>
      <c r="H276" s="270"/>
      <c r="I276" s="270"/>
      <c r="J276" s="270"/>
      <c r="K276" s="270"/>
      <c r="L276" s="270"/>
      <c r="M276" s="270"/>
      <c r="N276" s="270"/>
      <c r="O276" s="270"/>
      <c r="P276" s="270"/>
      <c r="Q276" s="270"/>
      <c r="R276" s="270"/>
      <c r="S276" s="270"/>
      <c r="T276" s="270"/>
      <c r="U276" s="270"/>
      <c r="V276" s="270"/>
      <c r="W276" s="270"/>
      <c r="X276" s="270"/>
      <c r="Y276" s="270"/>
    </row>
    <row r="277" spans="3:25">
      <c r="C277" s="270"/>
      <c r="D277" s="270"/>
      <c r="E277" s="270"/>
      <c r="F277" s="270"/>
      <c r="G277" s="270"/>
      <c r="H277" s="270"/>
      <c r="I277" s="270"/>
      <c r="J277" s="270"/>
      <c r="K277" s="270"/>
      <c r="L277" s="270"/>
      <c r="M277" s="270"/>
      <c r="N277" s="270"/>
      <c r="O277" s="270"/>
      <c r="P277" s="270"/>
      <c r="Q277" s="270"/>
      <c r="R277" s="270"/>
      <c r="S277" s="270"/>
      <c r="T277" s="270"/>
      <c r="U277" s="270"/>
      <c r="V277" s="270"/>
      <c r="W277" s="270"/>
      <c r="X277" s="270"/>
      <c r="Y277" s="270"/>
    </row>
    <row r="278" spans="3:25">
      <c r="C278" s="270"/>
      <c r="D278" s="270"/>
      <c r="E278" s="270"/>
      <c r="F278" s="270"/>
      <c r="G278" s="270"/>
      <c r="H278" s="270"/>
      <c r="I278" s="270"/>
      <c r="J278" s="270"/>
      <c r="K278" s="270"/>
      <c r="L278" s="270"/>
      <c r="M278" s="270"/>
      <c r="N278" s="270"/>
      <c r="O278" s="270"/>
      <c r="P278" s="270"/>
      <c r="Q278" s="270"/>
      <c r="R278" s="270"/>
      <c r="S278" s="270"/>
      <c r="T278" s="270"/>
      <c r="U278" s="270"/>
      <c r="V278" s="270"/>
      <c r="W278" s="270"/>
      <c r="X278" s="270"/>
      <c r="Y278" s="270"/>
    </row>
    <row r="279" spans="3:25">
      <c r="C279" s="270"/>
      <c r="D279" s="270"/>
      <c r="E279" s="270"/>
      <c r="F279" s="270"/>
      <c r="G279" s="270"/>
      <c r="H279" s="270"/>
      <c r="I279" s="270"/>
      <c r="J279" s="270"/>
      <c r="K279" s="270"/>
      <c r="L279" s="270"/>
      <c r="M279" s="270"/>
      <c r="N279" s="270"/>
      <c r="O279" s="270"/>
      <c r="P279" s="270"/>
      <c r="Q279" s="270"/>
      <c r="R279" s="270"/>
      <c r="S279" s="270"/>
      <c r="T279" s="270"/>
      <c r="U279" s="270"/>
      <c r="V279" s="270"/>
      <c r="W279" s="270"/>
      <c r="X279" s="270"/>
      <c r="Y279" s="270"/>
    </row>
    <row r="280" spans="3:25">
      <c r="C280" s="270"/>
      <c r="D280" s="270"/>
      <c r="E280" s="270"/>
      <c r="F280" s="270"/>
      <c r="G280" s="270"/>
      <c r="H280" s="270"/>
      <c r="I280" s="270"/>
      <c r="J280" s="270"/>
      <c r="K280" s="270"/>
      <c r="L280" s="270"/>
      <c r="M280" s="270"/>
      <c r="N280" s="270"/>
      <c r="O280" s="270"/>
      <c r="P280" s="270"/>
      <c r="Q280" s="270"/>
      <c r="R280" s="270"/>
      <c r="S280" s="270"/>
      <c r="T280" s="270"/>
      <c r="U280" s="270"/>
      <c r="V280" s="270"/>
      <c r="W280" s="270"/>
      <c r="X280" s="270"/>
      <c r="Y280" s="270"/>
    </row>
    <row r="281" spans="3:25">
      <c r="C281" s="270"/>
      <c r="D281" s="270"/>
      <c r="E281" s="270"/>
      <c r="F281" s="270"/>
      <c r="G281" s="270"/>
      <c r="H281" s="270"/>
      <c r="I281" s="270"/>
      <c r="J281" s="270"/>
      <c r="K281" s="270"/>
      <c r="L281" s="270"/>
      <c r="M281" s="270"/>
      <c r="N281" s="270"/>
      <c r="O281" s="270"/>
      <c r="P281" s="270"/>
      <c r="Q281" s="270"/>
      <c r="R281" s="270"/>
      <c r="S281" s="270"/>
      <c r="T281" s="270"/>
      <c r="U281" s="270"/>
      <c r="V281" s="270"/>
      <c r="W281" s="270"/>
      <c r="X281" s="270"/>
      <c r="Y281" s="270"/>
    </row>
    <row r="282" spans="3:25">
      <c r="C282" s="270"/>
      <c r="D282" s="270"/>
      <c r="E282" s="270"/>
      <c r="F282" s="270"/>
      <c r="G282" s="270"/>
      <c r="H282" s="270"/>
      <c r="I282" s="270"/>
      <c r="J282" s="270"/>
      <c r="K282" s="270"/>
      <c r="L282" s="270"/>
      <c r="M282" s="270"/>
      <c r="N282" s="270"/>
      <c r="O282" s="270"/>
      <c r="P282" s="270"/>
      <c r="Q282" s="270"/>
      <c r="R282" s="270"/>
      <c r="S282" s="270"/>
      <c r="T282" s="270"/>
      <c r="U282" s="270"/>
      <c r="V282" s="270"/>
      <c r="W282" s="270"/>
      <c r="X282" s="270"/>
      <c r="Y282" s="270"/>
    </row>
    <row r="283" spans="3:25">
      <c r="C283" s="270"/>
      <c r="D283" s="270"/>
      <c r="E283" s="270"/>
      <c r="F283" s="270"/>
      <c r="G283" s="270"/>
      <c r="H283" s="270"/>
      <c r="I283" s="270"/>
      <c r="J283" s="270"/>
      <c r="K283" s="270"/>
      <c r="L283" s="270"/>
      <c r="M283" s="270"/>
      <c r="N283" s="270"/>
      <c r="O283" s="270"/>
      <c r="P283" s="270"/>
      <c r="Q283" s="270"/>
      <c r="R283" s="270"/>
      <c r="S283" s="270"/>
      <c r="T283" s="270"/>
      <c r="U283" s="270"/>
      <c r="V283" s="270"/>
      <c r="W283" s="270"/>
      <c r="X283" s="270"/>
      <c r="Y283" s="270"/>
    </row>
    <row r="284" spans="3:25">
      <c r="C284" s="270"/>
      <c r="D284" s="270"/>
      <c r="E284" s="270"/>
      <c r="F284" s="270"/>
      <c r="G284" s="270"/>
      <c r="H284" s="270"/>
      <c r="I284" s="270"/>
      <c r="J284" s="270"/>
      <c r="K284" s="270"/>
      <c r="L284" s="270"/>
      <c r="M284" s="270"/>
      <c r="N284" s="270"/>
      <c r="O284" s="270"/>
      <c r="P284" s="270"/>
      <c r="Q284" s="270"/>
      <c r="R284" s="270"/>
      <c r="S284" s="270"/>
      <c r="T284" s="270"/>
      <c r="U284" s="270"/>
      <c r="V284" s="270"/>
      <c r="W284" s="270"/>
      <c r="X284" s="270"/>
      <c r="Y284" s="270"/>
    </row>
    <row r="285" spans="3:25">
      <c r="C285" s="270"/>
      <c r="D285" s="270"/>
      <c r="E285" s="270"/>
      <c r="F285" s="270"/>
      <c r="G285" s="270"/>
      <c r="H285" s="270"/>
      <c r="I285" s="270"/>
      <c r="J285" s="270"/>
      <c r="K285" s="270"/>
      <c r="L285" s="270"/>
      <c r="M285" s="270"/>
      <c r="N285" s="270"/>
      <c r="O285" s="270"/>
      <c r="P285" s="270"/>
      <c r="Q285" s="270"/>
      <c r="R285" s="270"/>
      <c r="S285" s="270"/>
      <c r="T285" s="270"/>
      <c r="U285" s="270"/>
      <c r="V285" s="270"/>
      <c r="W285" s="270"/>
      <c r="X285" s="270"/>
      <c r="Y285" s="270"/>
    </row>
    <row r="286" spans="3:25">
      <c r="C286" s="270"/>
      <c r="D286" s="270"/>
      <c r="E286" s="270"/>
      <c r="F286" s="270"/>
      <c r="G286" s="270"/>
      <c r="H286" s="270"/>
      <c r="I286" s="270"/>
      <c r="J286" s="270"/>
      <c r="K286" s="270"/>
      <c r="L286" s="270"/>
      <c r="M286" s="270"/>
      <c r="N286" s="270"/>
      <c r="O286" s="270"/>
      <c r="P286" s="270"/>
      <c r="Q286" s="270"/>
      <c r="R286" s="270"/>
      <c r="S286" s="270"/>
      <c r="T286" s="270"/>
      <c r="U286" s="270"/>
      <c r="V286" s="270"/>
      <c r="W286" s="270"/>
      <c r="X286" s="270"/>
      <c r="Y286" s="270"/>
    </row>
    <row r="287" spans="3:25">
      <c r="C287" s="270"/>
      <c r="D287" s="270"/>
      <c r="E287" s="270"/>
      <c r="F287" s="270"/>
      <c r="G287" s="270"/>
      <c r="H287" s="270"/>
      <c r="I287" s="270"/>
      <c r="J287" s="270"/>
      <c r="K287" s="270"/>
      <c r="L287" s="270"/>
      <c r="M287" s="270"/>
      <c r="N287" s="270"/>
      <c r="O287" s="270"/>
      <c r="P287" s="270"/>
      <c r="Q287" s="270"/>
      <c r="R287" s="270"/>
      <c r="S287" s="270"/>
      <c r="T287" s="270"/>
      <c r="U287" s="270"/>
      <c r="V287" s="270"/>
      <c r="W287" s="270"/>
      <c r="X287" s="270"/>
      <c r="Y287" s="270"/>
    </row>
    <row r="288" spans="3:25">
      <c r="C288" s="270"/>
      <c r="D288" s="270"/>
      <c r="E288" s="270"/>
      <c r="F288" s="270"/>
      <c r="G288" s="270"/>
      <c r="H288" s="270"/>
      <c r="I288" s="270"/>
      <c r="J288" s="270"/>
      <c r="K288" s="270"/>
      <c r="L288" s="270"/>
      <c r="M288" s="270"/>
      <c r="N288" s="270"/>
      <c r="O288" s="270"/>
      <c r="P288" s="270"/>
      <c r="Q288" s="270"/>
      <c r="R288" s="270"/>
      <c r="S288" s="270"/>
      <c r="T288" s="270"/>
      <c r="U288" s="270"/>
      <c r="V288" s="270"/>
      <c r="W288" s="270"/>
      <c r="X288" s="270"/>
      <c r="Y288" s="270"/>
    </row>
    <row r="289" spans="3:25">
      <c r="C289" s="270"/>
      <c r="D289" s="270"/>
      <c r="E289" s="270"/>
      <c r="F289" s="270"/>
      <c r="G289" s="270"/>
      <c r="H289" s="270"/>
      <c r="I289" s="270"/>
      <c r="J289" s="270"/>
      <c r="K289" s="270"/>
      <c r="L289" s="270"/>
      <c r="M289" s="270"/>
      <c r="N289" s="270"/>
      <c r="O289" s="270"/>
      <c r="P289" s="270"/>
      <c r="Q289" s="270"/>
      <c r="R289" s="270"/>
      <c r="S289" s="270"/>
      <c r="T289" s="270"/>
      <c r="U289" s="270"/>
      <c r="V289" s="270"/>
      <c r="W289" s="270"/>
      <c r="X289" s="270"/>
      <c r="Y289" s="270"/>
    </row>
    <row r="290" spans="3:25">
      <c r="C290" s="270"/>
      <c r="D290" s="270"/>
      <c r="E290" s="270"/>
      <c r="F290" s="270"/>
      <c r="G290" s="270"/>
      <c r="H290" s="270"/>
      <c r="I290" s="270"/>
      <c r="J290" s="270"/>
      <c r="K290" s="270"/>
      <c r="L290" s="270"/>
      <c r="M290" s="270"/>
      <c r="N290" s="270"/>
      <c r="O290" s="270"/>
      <c r="P290" s="270"/>
      <c r="Q290" s="270"/>
      <c r="R290" s="270"/>
      <c r="S290" s="270"/>
      <c r="T290" s="270"/>
      <c r="U290" s="270"/>
      <c r="V290" s="270"/>
      <c r="W290" s="270"/>
      <c r="X290" s="270"/>
      <c r="Y290" s="270"/>
    </row>
    <row r="291" spans="3:25">
      <c r="C291" s="270"/>
      <c r="D291" s="270"/>
      <c r="E291" s="270"/>
      <c r="F291" s="270"/>
      <c r="G291" s="270"/>
      <c r="H291" s="270"/>
      <c r="I291" s="270"/>
      <c r="J291" s="270"/>
      <c r="K291" s="270"/>
      <c r="L291" s="270"/>
      <c r="M291" s="270"/>
      <c r="N291" s="270"/>
      <c r="O291" s="270"/>
      <c r="P291" s="270"/>
      <c r="Q291" s="270"/>
      <c r="R291" s="270"/>
      <c r="S291" s="270"/>
      <c r="T291" s="270"/>
      <c r="U291" s="270"/>
      <c r="V291" s="270"/>
      <c r="W291" s="270"/>
      <c r="X291" s="270"/>
      <c r="Y291" s="270"/>
    </row>
    <row r="292" spans="3:25">
      <c r="C292" s="270"/>
      <c r="D292" s="270"/>
      <c r="E292" s="270"/>
      <c r="F292" s="270"/>
      <c r="G292" s="270"/>
      <c r="H292" s="270"/>
      <c r="I292" s="270"/>
      <c r="J292" s="270"/>
      <c r="K292" s="270"/>
      <c r="L292" s="270"/>
      <c r="M292" s="270"/>
      <c r="N292" s="270"/>
      <c r="O292" s="270"/>
      <c r="P292" s="270"/>
      <c r="Q292" s="270"/>
      <c r="R292" s="270"/>
      <c r="S292" s="270"/>
      <c r="T292" s="270"/>
      <c r="U292" s="270"/>
      <c r="V292" s="270"/>
      <c r="W292" s="270"/>
      <c r="X292" s="270"/>
      <c r="Y292" s="270"/>
    </row>
    <row r="293" spans="3:25">
      <c r="C293" s="270"/>
      <c r="D293" s="270"/>
      <c r="E293" s="270"/>
      <c r="F293" s="270"/>
      <c r="G293" s="270"/>
      <c r="H293" s="270"/>
      <c r="I293" s="270"/>
      <c r="J293" s="270"/>
      <c r="K293" s="270"/>
      <c r="L293" s="270"/>
      <c r="M293" s="270"/>
      <c r="N293" s="270"/>
      <c r="O293" s="270"/>
      <c r="P293" s="270"/>
      <c r="Q293" s="270"/>
      <c r="R293" s="270"/>
      <c r="S293" s="270"/>
      <c r="T293" s="270"/>
      <c r="U293" s="270"/>
      <c r="V293" s="270"/>
      <c r="W293" s="270"/>
      <c r="X293" s="270"/>
      <c r="Y293" s="270"/>
    </row>
    <row r="294" spans="3:25">
      <c r="C294" s="270"/>
      <c r="D294" s="270"/>
      <c r="E294" s="270"/>
      <c r="F294" s="270"/>
      <c r="G294" s="270"/>
      <c r="H294" s="270"/>
      <c r="I294" s="270"/>
      <c r="J294" s="270"/>
      <c r="K294" s="270"/>
      <c r="L294" s="270"/>
      <c r="M294" s="270"/>
      <c r="N294" s="270"/>
      <c r="O294" s="270"/>
      <c r="P294" s="270"/>
      <c r="Q294" s="270"/>
      <c r="R294" s="270"/>
      <c r="S294" s="270"/>
      <c r="T294" s="270"/>
      <c r="U294" s="270"/>
      <c r="V294" s="270"/>
      <c r="W294" s="270"/>
      <c r="X294" s="270"/>
      <c r="Y294" s="270"/>
    </row>
    <row r="295" spans="3:25">
      <c r="C295" s="270"/>
      <c r="D295" s="270"/>
      <c r="E295" s="270"/>
      <c r="F295" s="270"/>
      <c r="G295" s="270"/>
      <c r="H295" s="270"/>
      <c r="I295" s="270"/>
      <c r="J295" s="270"/>
      <c r="K295" s="270"/>
      <c r="L295" s="270"/>
      <c r="M295" s="270"/>
      <c r="N295" s="270"/>
      <c r="O295" s="270"/>
      <c r="P295" s="270"/>
      <c r="Q295" s="270"/>
      <c r="R295" s="270"/>
      <c r="S295" s="270"/>
      <c r="T295" s="270"/>
      <c r="U295" s="270"/>
      <c r="V295" s="270"/>
      <c r="W295" s="270"/>
      <c r="X295" s="270"/>
      <c r="Y295" s="270"/>
    </row>
    <row r="296" spans="3:25">
      <c r="C296" s="270"/>
      <c r="D296" s="270"/>
      <c r="E296" s="270"/>
      <c r="F296" s="270"/>
      <c r="G296" s="270"/>
      <c r="H296" s="270"/>
      <c r="I296" s="270"/>
      <c r="J296" s="270"/>
      <c r="K296" s="270"/>
      <c r="L296" s="270"/>
      <c r="M296" s="270"/>
      <c r="N296" s="270"/>
      <c r="O296" s="270"/>
      <c r="P296" s="270"/>
      <c r="Q296" s="270"/>
      <c r="R296" s="270"/>
      <c r="S296" s="270"/>
      <c r="T296" s="270"/>
      <c r="U296" s="270"/>
      <c r="V296" s="270"/>
      <c r="W296" s="270"/>
      <c r="X296" s="270"/>
      <c r="Y296" s="270"/>
    </row>
    <row r="297" spans="3:25">
      <c r="C297" s="270"/>
      <c r="D297" s="270"/>
      <c r="E297" s="270"/>
      <c r="F297" s="270"/>
      <c r="G297" s="270"/>
      <c r="H297" s="270"/>
      <c r="I297" s="270"/>
      <c r="J297" s="270"/>
      <c r="K297" s="270"/>
      <c r="L297" s="270"/>
      <c r="M297" s="270"/>
      <c r="N297" s="270"/>
      <c r="O297" s="270"/>
      <c r="P297" s="270"/>
      <c r="Q297" s="270"/>
      <c r="R297" s="270"/>
    </row>
    <row r="298" spans="3:25">
      <c r="C298" s="270"/>
      <c r="D298" s="270"/>
      <c r="E298" s="270"/>
      <c r="F298" s="270"/>
      <c r="G298" s="270"/>
      <c r="H298" s="270"/>
      <c r="I298" s="270"/>
      <c r="J298" s="270"/>
      <c r="K298" s="270"/>
      <c r="L298" s="270"/>
      <c r="M298" s="270"/>
      <c r="N298" s="270"/>
      <c r="O298" s="270"/>
      <c r="P298" s="270"/>
      <c r="Q298" s="270"/>
      <c r="R298" s="270"/>
    </row>
    <row r="299" spans="3:25">
      <c r="C299" s="270"/>
      <c r="D299" s="270"/>
      <c r="E299" s="270"/>
      <c r="F299" s="270"/>
      <c r="G299" s="270"/>
      <c r="H299" s="270"/>
      <c r="I299" s="270"/>
      <c r="J299" s="270"/>
      <c r="K299" s="270"/>
      <c r="L299" s="270"/>
      <c r="M299" s="270"/>
      <c r="N299" s="270"/>
      <c r="O299" s="270"/>
      <c r="P299" s="270"/>
      <c r="Q299" s="270"/>
      <c r="R299" s="270"/>
    </row>
    <row r="300" spans="3:25">
      <c r="C300" s="270"/>
      <c r="D300" s="270"/>
      <c r="E300" s="270"/>
      <c r="F300" s="270"/>
      <c r="G300" s="270"/>
      <c r="H300" s="270"/>
      <c r="I300" s="270"/>
      <c r="J300" s="270"/>
      <c r="K300" s="270"/>
      <c r="L300" s="270"/>
      <c r="M300" s="270"/>
      <c r="N300" s="270"/>
      <c r="O300" s="270"/>
      <c r="P300" s="270"/>
      <c r="Q300" s="270"/>
      <c r="R300" s="270"/>
    </row>
    <row r="301" spans="3:25">
      <c r="C301" s="270"/>
      <c r="D301" s="270"/>
      <c r="E301" s="270"/>
      <c r="F301" s="270"/>
      <c r="G301" s="270"/>
      <c r="H301" s="270"/>
      <c r="I301" s="270"/>
      <c r="J301" s="270"/>
      <c r="K301" s="270"/>
      <c r="L301" s="270"/>
      <c r="M301" s="270"/>
      <c r="N301" s="270"/>
      <c r="O301" s="270"/>
      <c r="P301" s="270"/>
      <c r="Q301" s="270"/>
      <c r="R301" s="270"/>
    </row>
    <row r="302" spans="3:25">
      <c r="C302" s="270"/>
      <c r="D302" s="270"/>
      <c r="E302" s="270"/>
      <c r="F302" s="270"/>
      <c r="G302" s="270"/>
      <c r="H302" s="270"/>
      <c r="I302" s="270"/>
      <c r="J302" s="270"/>
      <c r="K302" s="270"/>
      <c r="L302" s="270"/>
      <c r="M302" s="270"/>
      <c r="N302" s="270"/>
      <c r="O302" s="270"/>
      <c r="P302" s="270"/>
      <c r="Q302" s="270"/>
      <c r="R302" s="270"/>
    </row>
    <row r="303" spans="3:25">
      <c r="C303" s="270"/>
      <c r="D303" s="270"/>
      <c r="E303" s="270"/>
      <c r="F303" s="270"/>
      <c r="G303" s="270"/>
      <c r="H303" s="270"/>
      <c r="I303" s="270"/>
      <c r="J303" s="270"/>
      <c r="K303" s="270"/>
      <c r="L303" s="270"/>
      <c r="M303" s="270"/>
      <c r="N303" s="270"/>
      <c r="O303" s="270"/>
      <c r="P303" s="270"/>
      <c r="Q303" s="270"/>
      <c r="R303" s="270"/>
    </row>
    <row r="304" spans="3:25">
      <c r="C304" s="270"/>
      <c r="D304" s="270"/>
      <c r="E304" s="270"/>
      <c r="F304" s="270"/>
      <c r="G304" s="270"/>
      <c r="H304" s="270"/>
      <c r="I304" s="270"/>
      <c r="J304" s="270"/>
      <c r="K304" s="270"/>
      <c r="L304" s="270"/>
      <c r="M304" s="270"/>
      <c r="N304" s="270"/>
      <c r="O304" s="270"/>
      <c r="P304" s="270"/>
      <c r="Q304" s="270"/>
      <c r="R304" s="270"/>
    </row>
  </sheetData>
  <mergeCells count="9">
    <mergeCell ref="C96:R96"/>
    <mergeCell ref="C98:R98"/>
    <mergeCell ref="C99:R99"/>
    <mergeCell ref="C100:R100"/>
    <mergeCell ref="C105:R105"/>
    <mergeCell ref="C101:R101"/>
    <mergeCell ref="C102:R102"/>
    <mergeCell ref="C103:R103"/>
    <mergeCell ref="C104:R104"/>
  </mergeCells>
  <phoneticPr fontId="4" type="noConversion"/>
  <pageMargins left="0.75" right="0.75" top="1" bottom="1" header="0.5" footer="0.5"/>
  <pageSetup scale="41" fitToHeight="2" orientation="landscape" r:id="rId1"/>
  <headerFooter alignWithMargins="0"/>
  <rowBreaks count="1" manualBreakCount="1">
    <brk id="59" max="1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BQ304"/>
  <sheetViews>
    <sheetView showGridLines="0" topLeftCell="H59" zoomScale="80" zoomScaleNormal="80" workbookViewId="0">
      <selection activeCell="T95" sqref="T95"/>
    </sheetView>
  </sheetViews>
  <sheetFormatPr defaultRowHeight="12.75"/>
  <cols>
    <col min="1" max="1" width="6.75" style="287" customWidth="1"/>
    <col min="2" max="2" width="1.625" style="287" customWidth="1"/>
    <col min="3" max="3" width="26.375" style="287" customWidth="1"/>
    <col min="4" max="4" width="11.5" style="287" customWidth="1"/>
    <col min="5" max="5" width="15.25" style="287" bestFit="1" customWidth="1"/>
    <col min="6" max="6" width="14.5" style="287" customWidth="1"/>
    <col min="7" max="7" width="15.25" style="287" customWidth="1"/>
    <col min="8" max="8" width="16.25" style="287" customWidth="1"/>
    <col min="9" max="9" width="13.875" style="287" customWidth="1"/>
    <col min="10" max="10" width="17.375" style="287" customWidth="1"/>
    <col min="11" max="11" width="13.75" style="287" customWidth="1"/>
    <col min="12" max="12" width="17.125" style="287" bestFit="1" customWidth="1"/>
    <col min="13" max="13" width="14.25" style="287" customWidth="1"/>
    <col min="14" max="14" width="14.375" style="287" customWidth="1"/>
    <col min="15" max="15" width="14" style="287" customWidth="1"/>
    <col min="16" max="16" width="18" style="287" customWidth="1"/>
    <col min="17" max="17" width="13.875" style="287" customWidth="1"/>
    <col min="18" max="18" width="15.625" style="287" customWidth="1"/>
    <col min="19" max="19" width="2.125" style="287" customWidth="1"/>
    <col min="20" max="20" width="15.25" style="287" customWidth="1"/>
    <col min="21" max="16384" width="9" style="287"/>
  </cols>
  <sheetData>
    <row r="1" spans="1:69">
      <c r="R1" s="288"/>
    </row>
    <row r="2" spans="1:69">
      <c r="R2" s="288"/>
    </row>
    <row r="4" spans="1:69">
      <c r="R4" s="288" t="s">
        <v>397</v>
      </c>
    </row>
    <row r="5" spans="1:69" ht="15">
      <c r="C5" s="222" t="s">
        <v>282</v>
      </c>
      <c r="D5" s="222"/>
      <c r="E5" s="222"/>
      <c r="F5" s="222"/>
      <c r="G5" s="222"/>
      <c r="H5" s="222"/>
      <c r="I5" s="222"/>
      <c r="J5" s="223" t="s">
        <v>283</v>
      </c>
      <c r="K5" s="223"/>
      <c r="L5" s="222"/>
      <c r="M5" s="222"/>
      <c r="N5" s="222"/>
      <c r="O5" s="224"/>
      <c r="Q5" s="225"/>
      <c r="R5" s="226" t="s">
        <v>641</v>
      </c>
      <c r="S5" s="225"/>
      <c r="T5" s="289"/>
      <c r="U5" s="289"/>
      <c r="V5" s="225"/>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row>
    <row r="6" spans="1:69" ht="15">
      <c r="C6" s="222"/>
      <c r="D6" s="222"/>
      <c r="E6" s="222"/>
      <c r="F6" s="222"/>
      <c r="G6" s="222"/>
      <c r="H6" s="228" t="s">
        <v>284</v>
      </c>
      <c r="I6" s="228"/>
      <c r="J6" s="228" t="s">
        <v>285</v>
      </c>
      <c r="K6" s="228"/>
      <c r="L6" s="228"/>
      <c r="M6" s="228"/>
      <c r="N6" s="228"/>
      <c r="O6" s="224"/>
      <c r="Q6" s="225"/>
      <c r="R6" s="224"/>
      <c r="S6" s="225"/>
      <c r="T6" s="290"/>
      <c r="U6" s="289"/>
      <c r="V6" s="225"/>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3"/>
      <c r="BA6" s="253"/>
      <c r="BB6" s="253"/>
      <c r="BC6" s="253"/>
      <c r="BD6" s="253"/>
      <c r="BE6" s="253"/>
      <c r="BF6" s="253"/>
      <c r="BG6" s="253"/>
      <c r="BH6" s="253"/>
      <c r="BI6" s="253"/>
      <c r="BJ6" s="253"/>
      <c r="BK6" s="253"/>
      <c r="BL6" s="253"/>
      <c r="BM6" s="253"/>
      <c r="BN6" s="253"/>
      <c r="BO6" s="253"/>
      <c r="BP6" s="253"/>
      <c r="BQ6" s="253"/>
    </row>
    <row r="7" spans="1:69" ht="15">
      <c r="C7" s="225"/>
      <c r="D7" s="225"/>
      <c r="E7" s="225"/>
      <c r="F7" s="225"/>
      <c r="G7" s="225"/>
      <c r="H7" s="225"/>
      <c r="I7" s="225"/>
      <c r="J7" s="225"/>
      <c r="K7" s="225"/>
      <c r="L7" s="225"/>
      <c r="M7" s="225"/>
      <c r="N7" s="225"/>
      <c r="O7" s="225"/>
      <c r="Q7" s="225"/>
      <c r="R7" s="225" t="s">
        <v>286</v>
      </c>
      <c r="S7" s="225"/>
      <c r="T7" s="289"/>
      <c r="U7" s="289"/>
      <c r="V7" s="225"/>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53"/>
      <c r="BB7" s="253"/>
      <c r="BC7" s="253"/>
      <c r="BD7" s="253"/>
      <c r="BE7" s="253"/>
      <c r="BF7" s="253"/>
      <c r="BG7" s="253"/>
      <c r="BH7" s="253"/>
      <c r="BI7" s="253"/>
      <c r="BJ7" s="253"/>
      <c r="BK7" s="253"/>
      <c r="BL7" s="253"/>
      <c r="BM7" s="253"/>
      <c r="BN7" s="253"/>
      <c r="BO7" s="253"/>
      <c r="BP7" s="253"/>
      <c r="BQ7" s="253"/>
    </row>
    <row r="8" spans="1:69" ht="15">
      <c r="A8" s="291"/>
      <c r="C8" s="225"/>
      <c r="D8" s="225"/>
      <c r="E8" s="225"/>
      <c r="F8" s="225"/>
      <c r="G8" s="225"/>
      <c r="H8" s="225"/>
      <c r="I8" s="230"/>
      <c r="J8" s="230" t="s">
        <v>659</v>
      </c>
      <c r="K8" s="230"/>
      <c r="L8" s="225"/>
      <c r="M8" s="225"/>
      <c r="N8" s="225"/>
      <c r="O8" s="225"/>
      <c r="P8" s="225"/>
      <c r="Q8" s="225"/>
      <c r="R8" s="225"/>
      <c r="S8" s="225"/>
      <c r="T8" s="289"/>
      <c r="U8" s="289"/>
      <c r="V8" s="225"/>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3"/>
      <c r="AY8" s="253"/>
      <c r="AZ8" s="253"/>
      <c r="BA8" s="253"/>
      <c r="BB8" s="253"/>
      <c r="BC8" s="253"/>
      <c r="BD8" s="253"/>
      <c r="BE8" s="253"/>
      <c r="BF8" s="253"/>
      <c r="BG8" s="253"/>
      <c r="BH8" s="253"/>
      <c r="BI8" s="253"/>
      <c r="BJ8" s="253"/>
      <c r="BK8" s="253"/>
      <c r="BL8" s="253"/>
      <c r="BM8" s="253"/>
      <c r="BN8" s="253"/>
      <c r="BO8" s="253"/>
      <c r="BP8" s="253"/>
      <c r="BQ8" s="253"/>
    </row>
    <row r="9" spans="1:69" ht="15">
      <c r="A9" s="291"/>
      <c r="C9" s="225"/>
      <c r="D9" s="225"/>
      <c r="E9" s="225"/>
      <c r="F9" s="225"/>
      <c r="G9" s="225"/>
      <c r="H9" s="225"/>
      <c r="I9" s="225"/>
      <c r="J9" s="231"/>
      <c r="K9" s="231"/>
      <c r="L9" s="225"/>
      <c r="M9" s="225"/>
      <c r="N9" s="225"/>
      <c r="O9" s="225"/>
      <c r="P9" s="225"/>
      <c r="Q9" s="225"/>
      <c r="R9" s="225"/>
      <c r="S9" s="225"/>
      <c r="T9" s="289"/>
      <c r="U9" s="289"/>
      <c r="V9" s="225"/>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253"/>
      <c r="BH9" s="253"/>
      <c r="BI9" s="253"/>
      <c r="BJ9" s="253"/>
      <c r="BK9" s="253"/>
      <c r="BL9" s="253"/>
      <c r="BM9" s="253"/>
      <c r="BN9" s="253"/>
      <c r="BO9" s="253"/>
      <c r="BP9" s="253"/>
      <c r="BQ9" s="253"/>
    </row>
    <row r="10" spans="1:69" ht="15">
      <c r="A10" s="291"/>
      <c r="C10" s="225" t="s">
        <v>288</v>
      </c>
      <c r="D10" s="225"/>
      <c r="E10" s="225"/>
      <c r="F10" s="225"/>
      <c r="G10" s="225"/>
      <c r="H10" s="225"/>
      <c r="I10" s="225"/>
      <c r="J10" s="231"/>
      <c r="K10" s="231"/>
      <c r="L10" s="225"/>
      <c r="M10" s="225"/>
      <c r="N10" s="225"/>
      <c r="O10" s="225"/>
      <c r="P10" s="225"/>
      <c r="Q10" s="225"/>
      <c r="R10" s="225"/>
      <c r="S10" s="225"/>
      <c r="T10" s="289"/>
      <c r="U10" s="289"/>
      <c r="V10" s="225"/>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253"/>
      <c r="BK10" s="253"/>
      <c r="BL10" s="253"/>
      <c r="BM10" s="253"/>
      <c r="BN10" s="253"/>
      <c r="BO10" s="253"/>
      <c r="BP10" s="253"/>
      <c r="BQ10" s="253"/>
    </row>
    <row r="11" spans="1:69" ht="15">
      <c r="A11" s="291"/>
      <c r="C11" s="225" t="s">
        <v>398</v>
      </c>
      <c r="D11" s="225"/>
      <c r="E11" s="225"/>
      <c r="F11" s="225"/>
      <c r="G11" s="225"/>
      <c r="H11" s="225"/>
      <c r="I11" s="225"/>
      <c r="J11" s="231"/>
      <c r="K11" s="231"/>
      <c r="P11" s="225"/>
      <c r="Q11" s="225"/>
      <c r="R11" s="225"/>
      <c r="S11" s="225"/>
      <c r="T11" s="225"/>
      <c r="U11" s="225"/>
      <c r="V11" s="225"/>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253"/>
      <c r="BK11" s="253"/>
      <c r="BL11" s="253"/>
      <c r="BM11" s="253"/>
      <c r="BN11" s="253"/>
      <c r="BO11" s="253"/>
      <c r="BP11" s="253"/>
      <c r="BQ11" s="253"/>
    </row>
    <row r="12" spans="1:69" ht="15">
      <c r="A12" s="291"/>
      <c r="C12" s="225"/>
      <c r="D12" s="225"/>
      <c r="E12" s="225"/>
      <c r="F12" s="225"/>
      <c r="G12" s="225"/>
      <c r="H12" s="225"/>
      <c r="I12" s="225"/>
      <c r="J12" s="225"/>
      <c r="K12" s="225"/>
      <c r="P12" s="232"/>
      <c r="Q12" s="225"/>
      <c r="R12" s="225"/>
      <c r="S12" s="225"/>
      <c r="T12" s="225"/>
      <c r="U12" s="225"/>
      <c r="V12" s="225"/>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253"/>
      <c r="BK12" s="253"/>
      <c r="BL12" s="253"/>
      <c r="BM12" s="253"/>
      <c r="BN12" s="253"/>
      <c r="BO12" s="253"/>
      <c r="BP12" s="253"/>
      <c r="BQ12" s="253"/>
    </row>
    <row r="13" spans="1:69" ht="15">
      <c r="C13" s="233" t="s">
        <v>289</v>
      </c>
      <c r="D13" s="233"/>
      <c r="E13" s="233"/>
      <c r="F13" s="233"/>
      <c r="G13" s="233"/>
      <c r="H13" s="233" t="s">
        <v>290</v>
      </c>
      <c r="I13" s="233"/>
      <c r="J13" s="233" t="s">
        <v>291</v>
      </c>
      <c r="K13" s="233"/>
      <c r="L13" s="234" t="s">
        <v>292</v>
      </c>
      <c r="Q13" s="228"/>
      <c r="R13" s="234"/>
      <c r="S13" s="228"/>
      <c r="T13" s="234"/>
      <c r="U13" s="228"/>
      <c r="V13" s="235"/>
      <c r="W13" s="253"/>
      <c r="X13" s="253"/>
      <c r="Y13" s="253"/>
      <c r="Z13" s="253"/>
      <c r="AA13" s="253"/>
      <c r="AB13" s="253"/>
      <c r="AC13" s="253"/>
      <c r="AD13" s="253"/>
      <c r="AE13" s="253"/>
      <c r="AF13" s="253"/>
      <c r="AG13" s="253"/>
      <c r="AH13" s="253"/>
      <c r="AI13" s="253"/>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253"/>
      <c r="BK13" s="253"/>
      <c r="BL13" s="253"/>
      <c r="BM13" s="253"/>
      <c r="BN13" s="253"/>
      <c r="BO13" s="253"/>
      <c r="BP13" s="253"/>
      <c r="BQ13" s="253"/>
    </row>
    <row r="14" spans="1:69" ht="15">
      <c r="C14" s="235"/>
      <c r="D14" s="235"/>
      <c r="E14" s="235"/>
      <c r="F14" s="235"/>
      <c r="G14" s="235"/>
      <c r="H14" s="240" t="s">
        <v>293</v>
      </c>
      <c r="I14" s="240"/>
      <c r="J14" s="228"/>
      <c r="K14" s="228"/>
      <c r="Q14" s="228"/>
      <c r="S14" s="228"/>
      <c r="T14" s="233"/>
      <c r="U14" s="233"/>
      <c r="V14" s="235"/>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3"/>
      <c r="AY14" s="253"/>
      <c r="AZ14" s="253"/>
      <c r="BA14" s="253"/>
      <c r="BB14" s="253"/>
      <c r="BC14" s="253"/>
      <c r="BD14" s="253"/>
      <c r="BE14" s="253"/>
      <c r="BF14" s="253"/>
      <c r="BG14" s="253"/>
      <c r="BH14" s="253"/>
      <c r="BI14" s="253"/>
      <c r="BJ14" s="253"/>
      <c r="BK14" s="253"/>
      <c r="BL14" s="253"/>
      <c r="BM14" s="253"/>
      <c r="BN14" s="253"/>
      <c r="BO14" s="253"/>
      <c r="BP14" s="253"/>
      <c r="BQ14" s="253"/>
    </row>
    <row r="15" spans="1:69" ht="15">
      <c r="A15" s="291" t="s">
        <v>294</v>
      </c>
      <c r="C15" s="235"/>
      <c r="D15" s="235"/>
      <c r="E15" s="235"/>
      <c r="F15" s="235"/>
      <c r="G15" s="235"/>
      <c r="H15" s="245" t="s">
        <v>295</v>
      </c>
      <c r="I15" s="245"/>
      <c r="J15" s="292" t="s">
        <v>296</v>
      </c>
      <c r="K15" s="292"/>
      <c r="L15" s="292" t="s">
        <v>297</v>
      </c>
      <c r="Q15" s="228"/>
      <c r="S15" s="225"/>
      <c r="T15" s="233"/>
      <c r="U15" s="233"/>
      <c r="V15" s="235"/>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c r="AW15" s="253"/>
      <c r="AX15" s="253"/>
      <c r="AY15" s="253"/>
      <c r="AZ15" s="253"/>
      <c r="BA15" s="253"/>
      <c r="BB15" s="253"/>
      <c r="BC15" s="253"/>
      <c r="BD15" s="253"/>
      <c r="BE15" s="253"/>
      <c r="BF15" s="253"/>
      <c r="BG15" s="253"/>
      <c r="BH15" s="253"/>
      <c r="BI15" s="253"/>
      <c r="BJ15" s="253"/>
      <c r="BK15" s="253"/>
      <c r="BL15" s="253"/>
      <c r="BM15" s="253"/>
      <c r="BN15" s="253"/>
      <c r="BO15" s="253"/>
      <c r="BP15" s="253"/>
      <c r="BQ15" s="253"/>
    </row>
    <row r="16" spans="1:69" ht="15">
      <c r="A16" s="291" t="s">
        <v>298</v>
      </c>
      <c r="C16" s="235"/>
      <c r="D16" s="235"/>
      <c r="E16" s="235"/>
      <c r="F16" s="235"/>
      <c r="G16" s="235"/>
      <c r="H16" s="228"/>
      <c r="I16" s="228"/>
      <c r="J16" s="228"/>
      <c r="K16" s="228"/>
      <c r="L16" s="228"/>
      <c r="Q16" s="228"/>
      <c r="R16" s="228"/>
      <c r="S16" s="225"/>
      <c r="T16" s="228"/>
      <c r="U16" s="228"/>
      <c r="V16" s="235"/>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253"/>
      <c r="AZ16" s="253"/>
      <c r="BA16" s="253"/>
      <c r="BB16" s="253"/>
      <c r="BC16" s="253"/>
      <c r="BD16" s="253"/>
      <c r="BE16" s="253"/>
      <c r="BF16" s="253"/>
      <c r="BG16" s="253"/>
      <c r="BH16" s="253"/>
      <c r="BI16" s="253"/>
      <c r="BJ16" s="253"/>
      <c r="BK16" s="253"/>
      <c r="BL16" s="253"/>
      <c r="BM16" s="253"/>
      <c r="BN16" s="253"/>
      <c r="BO16" s="253"/>
      <c r="BP16" s="253"/>
      <c r="BQ16" s="253"/>
    </row>
    <row r="17" spans="1:69" ht="15">
      <c r="A17" s="293"/>
      <c r="C17" s="235"/>
      <c r="D17" s="235"/>
      <c r="E17" s="235"/>
      <c r="F17" s="235"/>
      <c r="G17" s="235"/>
      <c r="H17" s="228"/>
      <c r="I17" s="228"/>
      <c r="J17" s="228"/>
      <c r="K17" s="228"/>
      <c r="L17" s="228"/>
      <c r="Q17" s="228"/>
      <c r="R17" s="228"/>
      <c r="S17" s="225"/>
      <c r="T17" s="228"/>
      <c r="U17" s="228"/>
      <c r="V17" s="235"/>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53"/>
      <c r="AS17" s="253"/>
      <c r="AT17" s="253"/>
      <c r="AU17" s="253"/>
      <c r="AV17" s="253"/>
      <c r="AW17" s="253"/>
      <c r="AX17" s="253"/>
      <c r="AY17" s="253"/>
      <c r="AZ17" s="253"/>
      <c r="BA17" s="253"/>
      <c r="BB17" s="253"/>
      <c r="BC17" s="253"/>
      <c r="BD17" s="253"/>
      <c r="BE17" s="253"/>
      <c r="BF17" s="253"/>
      <c r="BG17" s="253"/>
      <c r="BH17" s="253"/>
      <c r="BI17" s="253"/>
      <c r="BJ17" s="253"/>
      <c r="BK17" s="253"/>
      <c r="BL17" s="253"/>
      <c r="BM17" s="253"/>
      <c r="BN17" s="253"/>
      <c r="BO17" s="253"/>
      <c r="BP17" s="253"/>
      <c r="BQ17" s="253"/>
    </row>
    <row r="18" spans="1:69" ht="15">
      <c r="A18" s="294">
        <v>1</v>
      </c>
      <c r="C18" s="235" t="s">
        <v>299</v>
      </c>
      <c r="D18" s="235"/>
      <c r="E18" s="235"/>
      <c r="F18" s="235"/>
      <c r="G18" s="235"/>
      <c r="H18" s="240" t="s">
        <v>300</v>
      </c>
      <c r="I18" s="240"/>
      <c r="J18" s="275">
        <v>4212677743.4905496</v>
      </c>
      <c r="K18" s="228"/>
      <c r="Q18" s="228"/>
      <c r="R18" s="228"/>
      <c r="S18" s="225"/>
      <c r="T18" s="228"/>
      <c r="U18" s="228"/>
      <c r="V18" s="235"/>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row>
    <row r="19" spans="1:69" ht="15">
      <c r="A19" s="294" t="s">
        <v>363</v>
      </c>
      <c r="C19" s="235" t="s">
        <v>399</v>
      </c>
      <c r="D19" s="235"/>
      <c r="E19" s="235"/>
      <c r="F19" s="235"/>
      <c r="G19" s="235"/>
      <c r="H19" s="240" t="s">
        <v>400</v>
      </c>
      <c r="I19" s="240"/>
      <c r="J19" s="276">
        <v>1015940584.8672376</v>
      </c>
      <c r="K19" s="277"/>
      <c r="Q19" s="228"/>
      <c r="R19" s="228"/>
      <c r="S19" s="225"/>
      <c r="T19" s="228"/>
      <c r="U19" s="228"/>
      <c r="V19" s="235"/>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3"/>
      <c r="AY19" s="253"/>
      <c r="AZ19" s="253"/>
      <c r="BA19" s="253"/>
      <c r="BB19" s="253"/>
      <c r="BC19" s="253"/>
      <c r="BD19" s="253"/>
      <c r="BE19" s="253"/>
      <c r="BF19" s="253"/>
      <c r="BG19" s="253"/>
      <c r="BH19" s="253"/>
      <c r="BI19" s="253"/>
      <c r="BJ19" s="253"/>
      <c r="BK19" s="253"/>
      <c r="BL19" s="253"/>
      <c r="BM19" s="253"/>
      <c r="BN19" s="253"/>
      <c r="BO19" s="253"/>
      <c r="BP19" s="253"/>
      <c r="BQ19" s="253"/>
    </row>
    <row r="20" spans="1:69" ht="15">
      <c r="A20" s="294">
        <v>2</v>
      </c>
      <c r="C20" s="235" t="s">
        <v>301</v>
      </c>
      <c r="D20" s="235"/>
      <c r="E20" s="235"/>
      <c r="F20" s="235"/>
      <c r="G20" s="235"/>
      <c r="H20" s="240" t="s">
        <v>401</v>
      </c>
      <c r="I20" s="240"/>
      <c r="J20" s="269">
        <f>J18-J19</f>
        <v>3196737158.623312</v>
      </c>
      <c r="K20" s="278"/>
      <c r="Q20" s="228"/>
      <c r="R20" s="228"/>
      <c r="S20" s="225"/>
      <c r="T20" s="228"/>
      <c r="U20" s="228"/>
      <c r="V20" s="235"/>
      <c r="W20" s="253"/>
      <c r="X20" s="253"/>
      <c r="Y20" s="253"/>
      <c r="Z20" s="253"/>
      <c r="AA20" s="253"/>
      <c r="AB20" s="253"/>
      <c r="AC20" s="253"/>
      <c r="AD20" s="253"/>
      <c r="AE20" s="253"/>
      <c r="AF20" s="253"/>
      <c r="AG20" s="253"/>
      <c r="AH20" s="253"/>
      <c r="AI20" s="253"/>
      <c r="AJ20" s="253"/>
      <c r="AK20" s="253"/>
      <c r="AL20" s="253"/>
      <c r="AM20" s="253"/>
      <c r="AN20" s="253"/>
      <c r="AO20" s="253"/>
      <c r="AP20" s="253"/>
      <c r="AQ20" s="253"/>
      <c r="AR20" s="253"/>
      <c r="AS20" s="253"/>
      <c r="AT20" s="253"/>
      <c r="AU20" s="253"/>
      <c r="AV20" s="253"/>
      <c r="AW20" s="253"/>
      <c r="AX20" s="253"/>
      <c r="AY20" s="253"/>
      <c r="AZ20" s="253"/>
      <c r="BA20" s="253"/>
      <c r="BB20" s="253"/>
      <c r="BC20" s="253"/>
      <c r="BD20" s="253"/>
      <c r="BE20" s="253"/>
      <c r="BF20" s="253"/>
      <c r="BG20" s="253"/>
      <c r="BH20" s="253"/>
      <c r="BI20" s="253"/>
      <c r="BJ20" s="253"/>
      <c r="BK20" s="253"/>
      <c r="BL20" s="253"/>
      <c r="BM20" s="253"/>
      <c r="BN20" s="253"/>
      <c r="BO20" s="253"/>
      <c r="BP20" s="253"/>
      <c r="BQ20" s="253"/>
    </row>
    <row r="21" spans="1:69" ht="15">
      <c r="A21" s="294"/>
      <c r="H21" s="240"/>
      <c r="I21" s="240"/>
      <c r="Q21" s="228"/>
      <c r="R21" s="228"/>
      <c r="S21" s="225"/>
      <c r="T21" s="228"/>
      <c r="U21" s="228"/>
      <c r="V21" s="235"/>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3"/>
      <c r="AZ21" s="253"/>
      <c r="BA21" s="253"/>
      <c r="BB21" s="253"/>
      <c r="BC21" s="253"/>
      <c r="BD21" s="253"/>
      <c r="BE21" s="253"/>
      <c r="BF21" s="253"/>
      <c r="BG21" s="253"/>
      <c r="BH21" s="253"/>
      <c r="BI21" s="253"/>
      <c r="BJ21" s="253"/>
      <c r="BK21" s="253"/>
      <c r="BL21" s="253"/>
      <c r="BM21" s="253"/>
      <c r="BN21" s="253"/>
      <c r="BO21" s="253"/>
      <c r="BP21" s="253"/>
      <c r="BQ21" s="253"/>
    </row>
    <row r="22" spans="1:69" ht="15">
      <c r="A22" s="294"/>
      <c r="C22" s="235" t="s">
        <v>402</v>
      </c>
      <c r="D22" s="235"/>
      <c r="E22" s="235"/>
      <c r="F22" s="235"/>
      <c r="G22" s="235"/>
      <c r="H22" s="240"/>
      <c r="I22" s="240"/>
      <c r="J22" s="228"/>
      <c r="K22" s="228"/>
      <c r="L22" s="228"/>
      <c r="Q22" s="228"/>
      <c r="R22" s="228"/>
      <c r="S22" s="228"/>
      <c r="T22" s="228"/>
      <c r="U22" s="228"/>
      <c r="V22" s="235"/>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3"/>
      <c r="BA22" s="253"/>
      <c r="BB22" s="253"/>
      <c r="BC22" s="253"/>
      <c r="BD22" s="253"/>
      <c r="BE22" s="253"/>
      <c r="BF22" s="253"/>
      <c r="BG22" s="253"/>
      <c r="BH22" s="253"/>
      <c r="BI22" s="253"/>
      <c r="BJ22" s="253"/>
      <c r="BK22" s="253"/>
      <c r="BL22" s="253"/>
      <c r="BM22" s="253"/>
      <c r="BN22" s="253"/>
      <c r="BO22" s="253"/>
      <c r="BP22" s="253"/>
      <c r="BQ22" s="253"/>
    </row>
    <row r="23" spans="1:69" ht="15">
      <c r="A23" s="294">
        <v>3</v>
      </c>
      <c r="C23" s="235" t="s">
        <v>304</v>
      </c>
      <c r="D23" s="235"/>
      <c r="E23" s="235"/>
      <c r="F23" s="235"/>
      <c r="G23" s="235"/>
      <c r="H23" s="240" t="s">
        <v>305</v>
      </c>
      <c r="I23" s="240"/>
      <c r="J23" s="275">
        <v>72062653.856413111</v>
      </c>
      <c r="K23" s="228"/>
      <c r="Q23" s="228"/>
      <c r="R23" s="228"/>
      <c r="S23" s="228"/>
      <c r="T23" s="228"/>
      <c r="U23" s="228"/>
      <c r="V23" s="235"/>
      <c r="W23" s="253"/>
      <c r="X23" s="253"/>
      <c r="Y23" s="253"/>
      <c r="Z23" s="253"/>
      <c r="AA23" s="253"/>
      <c r="AB23" s="253"/>
      <c r="AC23" s="253"/>
      <c r="AD23" s="253"/>
      <c r="AE23" s="253"/>
      <c r="AF23" s="253"/>
      <c r="AG23" s="253"/>
      <c r="AH23" s="253"/>
      <c r="AI23" s="253"/>
      <c r="AJ23" s="253"/>
      <c r="AK23" s="253"/>
      <c r="AL23" s="253"/>
      <c r="AM23" s="253"/>
      <c r="AN23" s="253"/>
      <c r="AO23" s="253"/>
      <c r="AP23" s="253"/>
      <c r="AQ23" s="253"/>
      <c r="AR23" s="253"/>
      <c r="AS23" s="253"/>
      <c r="AT23" s="253"/>
      <c r="AU23" s="253"/>
      <c r="AV23" s="253"/>
      <c r="AW23" s="253"/>
      <c r="AX23" s="253"/>
      <c r="AY23" s="253"/>
      <c r="AZ23" s="253"/>
      <c r="BA23" s="253"/>
      <c r="BB23" s="253"/>
      <c r="BC23" s="253"/>
      <c r="BD23" s="253"/>
      <c r="BE23" s="253"/>
      <c r="BF23" s="253"/>
      <c r="BG23" s="253"/>
      <c r="BH23" s="253"/>
      <c r="BI23" s="253"/>
      <c r="BJ23" s="253"/>
      <c r="BK23" s="253"/>
      <c r="BL23" s="253"/>
      <c r="BM23" s="253"/>
      <c r="BN23" s="253"/>
      <c r="BO23" s="253"/>
      <c r="BP23" s="253"/>
      <c r="BQ23" s="253"/>
    </row>
    <row r="24" spans="1:69" ht="15">
      <c r="A24" s="294" t="s">
        <v>403</v>
      </c>
      <c r="C24" s="235" t="s">
        <v>404</v>
      </c>
      <c r="D24" s="235"/>
      <c r="E24" s="235"/>
      <c r="F24" s="235"/>
      <c r="G24" s="235"/>
      <c r="H24" s="240" t="s">
        <v>405</v>
      </c>
      <c r="I24" s="240"/>
      <c r="J24" s="275">
        <v>247599106.13669342</v>
      </c>
      <c r="K24" s="228"/>
      <c r="Q24" s="228"/>
      <c r="R24" s="228"/>
      <c r="S24" s="228"/>
      <c r="T24" s="228"/>
      <c r="U24" s="228"/>
      <c r="V24" s="235"/>
      <c r="W24" s="253"/>
      <c r="X24" s="253"/>
      <c r="Y24" s="253"/>
      <c r="Z24" s="253"/>
      <c r="AA24" s="253"/>
      <c r="AB24" s="253"/>
      <c r="AC24" s="253"/>
      <c r="AD24" s="253"/>
      <c r="AE24" s="253"/>
      <c r="AF24" s="253"/>
      <c r="AG24" s="253"/>
      <c r="AH24" s="253"/>
      <c r="AI24" s="253"/>
      <c r="AJ24" s="253"/>
      <c r="AK24" s="253"/>
      <c r="AL24" s="253"/>
      <c r="AM24" s="253"/>
      <c r="AN24" s="253"/>
      <c r="AO24" s="253"/>
      <c r="AP24" s="253"/>
      <c r="AQ24" s="253"/>
      <c r="AR24" s="253"/>
      <c r="AS24" s="253"/>
      <c r="AT24" s="253"/>
      <c r="AU24" s="253"/>
      <c r="AV24" s="253"/>
      <c r="AW24" s="253"/>
      <c r="AX24" s="253"/>
      <c r="AY24" s="253"/>
      <c r="AZ24" s="253"/>
      <c r="BA24" s="253"/>
      <c r="BB24" s="253"/>
      <c r="BC24" s="253"/>
      <c r="BD24" s="253"/>
      <c r="BE24" s="253"/>
      <c r="BF24" s="253"/>
      <c r="BG24" s="253"/>
      <c r="BH24" s="253"/>
      <c r="BI24" s="253"/>
      <c r="BJ24" s="253"/>
      <c r="BK24" s="253"/>
      <c r="BL24" s="253"/>
      <c r="BM24" s="253"/>
      <c r="BN24" s="253"/>
      <c r="BO24" s="253"/>
      <c r="BP24" s="253"/>
      <c r="BQ24" s="253"/>
    </row>
    <row r="25" spans="1:69" ht="15">
      <c r="A25" s="294" t="s">
        <v>406</v>
      </c>
      <c r="C25" s="235" t="s">
        <v>407</v>
      </c>
      <c r="D25" s="235"/>
      <c r="E25" s="235"/>
      <c r="F25" s="235"/>
      <c r="G25" s="235"/>
      <c r="H25" s="240" t="s">
        <v>408</v>
      </c>
      <c r="I25" s="240"/>
      <c r="J25" s="275">
        <v>9988071</v>
      </c>
      <c r="K25" s="228"/>
      <c r="Q25" s="228"/>
      <c r="R25" s="228"/>
      <c r="S25" s="228"/>
      <c r="T25" s="228"/>
      <c r="U25" s="228"/>
      <c r="V25" s="235"/>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3"/>
      <c r="AS25" s="253"/>
      <c r="AT25" s="253"/>
      <c r="AU25" s="253"/>
      <c r="AV25" s="253"/>
      <c r="AW25" s="253"/>
      <c r="AX25" s="253"/>
      <c r="AY25" s="253"/>
      <c r="AZ25" s="253"/>
      <c r="BA25" s="253"/>
      <c r="BB25" s="253"/>
      <c r="BC25" s="253"/>
      <c r="BD25" s="253"/>
      <c r="BE25" s="253"/>
      <c r="BF25" s="253"/>
      <c r="BG25" s="253"/>
      <c r="BH25" s="253"/>
      <c r="BI25" s="253"/>
      <c r="BJ25" s="253"/>
      <c r="BK25" s="253"/>
      <c r="BL25" s="253"/>
      <c r="BM25" s="253"/>
      <c r="BN25" s="253"/>
      <c r="BO25" s="253"/>
      <c r="BP25" s="253"/>
      <c r="BQ25" s="253"/>
    </row>
    <row r="26" spans="1:69" ht="15">
      <c r="A26" s="294" t="s">
        <v>409</v>
      </c>
      <c r="C26" s="235" t="s">
        <v>410</v>
      </c>
      <c r="D26" s="235"/>
      <c r="E26" s="235"/>
      <c r="F26" s="235"/>
      <c r="G26" s="235"/>
      <c r="H26" s="240" t="s">
        <v>411</v>
      </c>
      <c r="I26" s="240"/>
      <c r="J26" s="276">
        <v>184539216.48976752</v>
      </c>
      <c r="K26" s="277"/>
      <c r="Q26" s="228"/>
      <c r="R26" s="228"/>
      <c r="S26" s="228"/>
      <c r="T26" s="228"/>
      <c r="U26" s="228"/>
      <c r="V26" s="235"/>
      <c r="W26" s="253"/>
      <c r="X26" s="253"/>
      <c r="Y26" s="253"/>
      <c r="Z26" s="253"/>
      <c r="AA26" s="253"/>
      <c r="AB26" s="253"/>
      <c r="AC26" s="253"/>
      <c r="AD26" s="253"/>
      <c r="AE26" s="253"/>
      <c r="AF26" s="253"/>
      <c r="AG26" s="253"/>
      <c r="AH26" s="253"/>
      <c r="AI26" s="253"/>
      <c r="AJ26" s="253"/>
      <c r="AK26" s="253"/>
      <c r="AL26" s="253"/>
      <c r="AM26" s="253"/>
      <c r="AN26" s="253"/>
      <c r="AO26" s="253"/>
      <c r="AP26" s="253"/>
      <c r="AQ26" s="253"/>
      <c r="AR26" s="253"/>
      <c r="AS26" s="253"/>
      <c r="AT26" s="253"/>
      <c r="AU26" s="253"/>
      <c r="AV26" s="253"/>
      <c r="AW26" s="253"/>
      <c r="AX26" s="253"/>
      <c r="AY26" s="253"/>
      <c r="AZ26" s="253"/>
      <c r="BA26" s="253"/>
      <c r="BB26" s="253"/>
      <c r="BC26" s="253"/>
      <c r="BD26" s="253"/>
      <c r="BE26" s="253"/>
      <c r="BF26" s="253"/>
      <c r="BG26" s="253"/>
      <c r="BH26" s="253"/>
      <c r="BI26" s="253"/>
      <c r="BJ26" s="253"/>
      <c r="BK26" s="253"/>
      <c r="BL26" s="253"/>
      <c r="BM26" s="253"/>
      <c r="BN26" s="253"/>
      <c r="BO26" s="253"/>
      <c r="BP26" s="253"/>
      <c r="BQ26" s="253"/>
    </row>
    <row r="27" spans="1:69" ht="15">
      <c r="A27" s="294" t="s">
        <v>412</v>
      </c>
      <c r="C27" s="235" t="s">
        <v>413</v>
      </c>
      <c r="D27" s="235"/>
      <c r="E27" s="235"/>
      <c r="F27" s="235"/>
      <c r="G27" s="235"/>
      <c r="H27" s="240" t="s">
        <v>414</v>
      </c>
      <c r="I27" s="240"/>
      <c r="J27" s="269">
        <f>J24-(J25+J26)</f>
        <v>53071818.646925896</v>
      </c>
      <c r="K27" s="228"/>
      <c r="Q27" s="228"/>
      <c r="R27" s="228"/>
      <c r="S27" s="228"/>
      <c r="T27" s="228"/>
      <c r="U27" s="228"/>
      <c r="V27" s="235"/>
      <c r="W27" s="253"/>
      <c r="X27" s="253"/>
      <c r="Y27" s="253"/>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3"/>
      <c r="AZ27" s="253"/>
      <c r="BA27" s="253"/>
      <c r="BB27" s="253"/>
      <c r="BC27" s="253"/>
      <c r="BD27" s="253"/>
      <c r="BE27" s="253"/>
      <c r="BF27" s="253"/>
      <c r="BG27" s="253"/>
      <c r="BH27" s="253"/>
      <c r="BI27" s="253"/>
      <c r="BJ27" s="253"/>
      <c r="BK27" s="253"/>
      <c r="BL27" s="253"/>
      <c r="BM27" s="253"/>
      <c r="BN27" s="253"/>
      <c r="BO27" s="253"/>
      <c r="BP27" s="253"/>
      <c r="BQ27" s="253"/>
    </row>
    <row r="28" spans="1:69" ht="15">
      <c r="A28" s="294"/>
      <c r="C28" s="235"/>
      <c r="D28" s="235"/>
      <c r="E28" s="235"/>
      <c r="F28" s="235"/>
      <c r="G28" s="235"/>
      <c r="H28" s="240"/>
      <c r="I28" s="240"/>
      <c r="J28" s="228"/>
      <c r="K28" s="228"/>
      <c r="Q28" s="228"/>
      <c r="R28" s="228"/>
      <c r="S28" s="228"/>
      <c r="T28" s="228"/>
      <c r="U28" s="228"/>
      <c r="V28" s="235"/>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3"/>
      <c r="AZ28" s="253"/>
      <c r="BA28" s="253"/>
      <c r="BB28" s="253"/>
      <c r="BC28" s="253"/>
      <c r="BD28" s="253"/>
      <c r="BE28" s="253"/>
      <c r="BF28" s="253"/>
      <c r="BG28" s="253"/>
      <c r="BH28" s="253"/>
      <c r="BI28" s="253"/>
      <c r="BJ28" s="253"/>
      <c r="BK28" s="253"/>
      <c r="BL28" s="253"/>
      <c r="BM28" s="253"/>
      <c r="BN28" s="253"/>
      <c r="BO28" s="253"/>
      <c r="BP28" s="253"/>
      <c r="BQ28" s="253"/>
    </row>
    <row r="29" spans="1:69" ht="15">
      <c r="A29" s="294">
        <v>4</v>
      </c>
      <c r="C29" s="235" t="s">
        <v>415</v>
      </c>
      <c r="D29" s="235"/>
      <c r="E29" s="235"/>
      <c r="F29" s="235"/>
      <c r="G29" s="235"/>
      <c r="H29" s="240" t="s">
        <v>416</v>
      </c>
      <c r="I29" s="240"/>
      <c r="J29" s="242">
        <f>IF(J27=0,0,J27/J19)</f>
        <v>5.2239096889569861E-2</v>
      </c>
      <c r="K29" s="242"/>
      <c r="L29" s="251">
        <f>J29</f>
        <v>5.2239096889569861E-2</v>
      </c>
      <c r="Q29" s="228"/>
      <c r="R29" s="228"/>
      <c r="S29" s="228"/>
      <c r="T29" s="228"/>
      <c r="U29" s="228"/>
      <c r="V29" s="235"/>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3"/>
      <c r="AZ29" s="253"/>
      <c r="BA29" s="253"/>
      <c r="BB29" s="253"/>
      <c r="BC29" s="253"/>
      <c r="BD29" s="253"/>
      <c r="BE29" s="253"/>
      <c r="BF29" s="253"/>
      <c r="BG29" s="253"/>
      <c r="BH29" s="253"/>
      <c r="BI29" s="253"/>
      <c r="BJ29" s="253"/>
      <c r="BK29" s="253"/>
      <c r="BL29" s="253"/>
      <c r="BM29" s="253"/>
      <c r="BN29" s="253"/>
      <c r="BO29" s="253"/>
      <c r="BP29" s="253"/>
      <c r="BQ29" s="253"/>
    </row>
    <row r="30" spans="1:69" ht="15">
      <c r="A30" s="294"/>
      <c r="C30" s="235"/>
      <c r="D30" s="235"/>
      <c r="E30" s="235"/>
      <c r="F30" s="235"/>
      <c r="G30" s="235"/>
      <c r="H30" s="240"/>
      <c r="I30" s="240"/>
      <c r="J30" s="228"/>
      <c r="K30" s="228"/>
      <c r="Q30" s="228"/>
      <c r="R30" s="228"/>
      <c r="S30" s="228"/>
      <c r="T30" s="228"/>
      <c r="U30" s="228"/>
      <c r="V30" s="235"/>
      <c r="W30" s="253"/>
      <c r="X30" s="253"/>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3"/>
      <c r="AY30" s="253"/>
      <c r="AZ30" s="253"/>
      <c r="BA30" s="253"/>
      <c r="BB30" s="253"/>
      <c r="BC30" s="253"/>
      <c r="BD30" s="253"/>
      <c r="BE30" s="253"/>
      <c r="BF30" s="253"/>
      <c r="BG30" s="253"/>
      <c r="BH30" s="253"/>
      <c r="BI30" s="253"/>
      <c r="BJ30" s="253"/>
      <c r="BK30" s="253"/>
      <c r="BL30" s="253"/>
      <c r="BM30" s="253"/>
      <c r="BN30" s="253"/>
      <c r="BO30" s="253"/>
      <c r="BP30" s="253"/>
      <c r="BQ30" s="253"/>
    </row>
    <row r="31" spans="1:69" ht="15">
      <c r="A31" s="294"/>
      <c r="C31" s="235"/>
      <c r="D31" s="235"/>
      <c r="E31" s="235"/>
      <c r="F31" s="235"/>
      <c r="G31" s="235"/>
      <c r="H31" s="240"/>
      <c r="I31" s="240"/>
      <c r="J31" s="228"/>
      <c r="K31" s="228"/>
      <c r="Q31" s="228"/>
      <c r="R31" s="228"/>
      <c r="S31" s="228"/>
      <c r="T31" s="228"/>
      <c r="U31" s="228"/>
      <c r="V31" s="235"/>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c r="BC31" s="253"/>
      <c r="BD31" s="253"/>
      <c r="BE31" s="253"/>
      <c r="BF31" s="253"/>
      <c r="BG31" s="253"/>
      <c r="BH31" s="253"/>
      <c r="BI31" s="253"/>
      <c r="BJ31" s="253"/>
      <c r="BK31" s="253"/>
      <c r="BL31" s="253"/>
      <c r="BM31" s="253"/>
      <c r="BN31" s="253"/>
      <c r="BO31" s="253"/>
      <c r="BP31" s="253"/>
      <c r="BQ31" s="253"/>
    </row>
    <row r="32" spans="1:69" ht="15">
      <c r="A32" s="294"/>
      <c r="C32" s="235" t="s">
        <v>417</v>
      </c>
      <c r="D32" s="235"/>
      <c r="E32" s="235"/>
      <c r="F32" s="235"/>
      <c r="G32" s="235"/>
      <c r="H32" s="240"/>
      <c r="I32" s="240"/>
      <c r="J32" s="242"/>
      <c r="K32" s="242"/>
      <c r="L32" s="251"/>
      <c r="Q32" s="228"/>
      <c r="R32" s="242"/>
      <c r="S32" s="228"/>
      <c r="T32" s="295"/>
      <c r="U32" s="228"/>
      <c r="V32" s="235"/>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3"/>
      <c r="BH32" s="253"/>
      <c r="BI32" s="253"/>
      <c r="BJ32" s="253"/>
      <c r="BK32" s="253"/>
      <c r="BL32" s="253"/>
      <c r="BM32" s="253"/>
      <c r="BN32" s="253"/>
      <c r="BO32" s="253"/>
      <c r="BP32" s="253"/>
      <c r="BQ32" s="253"/>
    </row>
    <row r="33" spans="1:69" ht="15">
      <c r="A33" s="294" t="s">
        <v>418</v>
      </c>
      <c r="C33" s="235" t="s">
        <v>419</v>
      </c>
      <c r="D33" s="235"/>
      <c r="E33" s="235"/>
      <c r="F33" s="235"/>
      <c r="G33" s="235"/>
      <c r="H33" s="240" t="s">
        <v>420</v>
      </c>
      <c r="I33" s="240"/>
      <c r="J33" s="269">
        <f>J23-J27</f>
        <v>18990835.209487215</v>
      </c>
      <c r="K33" s="242"/>
      <c r="L33" s="251"/>
      <c r="Q33" s="228"/>
      <c r="R33" s="242"/>
      <c r="S33" s="228"/>
      <c r="T33" s="295"/>
      <c r="U33" s="228"/>
      <c r="V33" s="235"/>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3"/>
      <c r="BC33" s="253"/>
      <c r="BD33" s="253"/>
      <c r="BE33" s="253"/>
      <c r="BF33" s="253"/>
      <c r="BG33" s="253"/>
      <c r="BH33" s="253"/>
      <c r="BI33" s="253"/>
      <c r="BJ33" s="253"/>
      <c r="BK33" s="253"/>
      <c r="BL33" s="253"/>
      <c r="BM33" s="253"/>
      <c r="BN33" s="253"/>
      <c r="BO33" s="253"/>
      <c r="BP33" s="253"/>
      <c r="BQ33" s="253"/>
    </row>
    <row r="34" spans="1:69" ht="15">
      <c r="A34" s="294" t="s">
        <v>421</v>
      </c>
      <c r="C34" s="235" t="s">
        <v>422</v>
      </c>
      <c r="D34" s="235"/>
      <c r="E34" s="235"/>
      <c r="F34" s="235"/>
      <c r="G34" s="235"/>
      <c r="H34" s="240" t="s">
        <v>423</v>
      </c>
      <c r="I34" s="240"/>
      <c r="J34" s="242">
        <f>IF(J33=0,0,J33/J18)</f>
        <v>4.5080199260035848E-3</v>
      </c>
      <c r="K34" s="242"/>
      <c r="L34" s="251">
        <f>J34</f>
        <v>4.5080199260035848E-3</v>
      </c>
      <c r="Q34" s="228"/>
      <c r="R34" s="242"/>
      <c r="S34" s="228"/>
      <c r="T34" s="295"/>
      <c r="U34" s="228"/>
      <c r="V34" s="235"/>
      <c r="W34" s="253"/>
      <c r="X34" s="253"/>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3"/>
      <c r="AY34" s="253"/>
      <c r="AZ34" s="253"/>
      <c r="BA34" s="253"/>
      <c r="BB34" s="253"/>
      <c r="BC34" s="253"/>
      <c r="BD34" s="253"/>
      <c r="BE34" s="253"/>
      <c r="BF34" s="253"/>
      <c r="BG34" s="253"/>
      <c r="BH34" s="253"/>
      <c r="BI34" s="253"/>
      <c r="BJ34" s="253"/>
      <c r="BK34" s="253"/>
      <c r="BL34" s="253"/>
      <c r="BM34" s="253"/>
      <c r="BN34" s="253"/>
      <c r="BO34" s="253"/>
      <c r="BP34" s="253"/>
      <c r="BQ34" s="253"/>
    </row>
    <row r="35" spans="1:69" ht="15">
      <c r="A35" s="294"/>
      <c r="C35" s="235"/>
      <c r="D35" s="235"/>
      <c r="E35" s="235"/>
      <c r="F35" s="235"/>
      <c r="G35" s="235"/>
      <c r="H35" s="240"/>
      <c r="I35" s="240"/>
      <c r="J35" s="242"/>
      <c r="K35" s="242"/>
      <c r="L35" s="251"/>
      <c r="Q35" s="228"/>
      <c r="R35" s="242"/>
      <c r="S35" s="228"/>
      <c r="T35" s="295"/>
      <c r="U35" s="228"/>
      <c r="V35" s="235"/>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row>
    <row r="36" spans="1:69" ht="15">
      <c r="A36" s="234"/>
      <c r="B36" s="253"/>
      <c r="C36" s="235" t="s">
        <v>308</v>
      </c>
      <c r="D36" s="235"/>
      <c r="E36" s="235"/>
      <c r="F36" s="235"/>
      <c r="G36" s="235"/>
      <c r="H36" s="245"/>
      <c r="I36" s="245"/>
      <c r="J36" s="228"/>
      <c r="K36" s="228"/>
      <c r="L36" s="228"/>
      <c r="N36" s="253"/>
      <c r="O36" s="253"/>
      <c r="Q36" s="228"/>
      <c r="R36" s="242"/>
      <c r="S36" s="228"/>
      <c r="T36" s="295"/>
      <c r="U36" s="228"/>
      <c r="V36" s="235"/>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row>
    <row r="37" spans="1:69" ht="15">
      <c r="A37" s="234" t="s">
        <v>309</v>
      </c>
      <c r="B37" s="253"/>
      <c r="C37" s="235" t="s">
        <v>310</v>
      </c>
      <c r="D37" s="235"/>
      <c r="E37" s="235"/>
      <c r="F37" s="235"/>
      <c r="G37" s="235"/>
      <c r="H37" s="240" t="s">
        <v>311</v>
      </c>
      <c r="I37" s="240"/>
      <c r="J37" s="275">
        <v>6808909.874446284</v>
      </c>
      <c r="K37" s="228"/>
      <c r="L37" s="253"/>
      <c r="N37" s="253"/>
      <c r="O37" s="253"/>
      <c r="Q37" s="228"/>
      <c r="R37" s="242"/>
      <c r="S37" s="228"/>
      <c r="T37" s="295"/>
      <c r="U37" s="228"/>
      <c r="V37" s="235"/>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3"/>
      <c r="BQ37" s="253"/>
    </row>
    <row r="38" spans="1:69" ht="15">
      <c r="A38" s="234" t="s">
        <v>312</v>
      </c>
      <c r="B38" s="253"/>
      <c r="C38" s="235" t="s">
        <v>313</v>
      </c>
      <c r="D38" s="235"/>
      <c r="E38" s="235"/>
      <c r="F38" s="235"/>
      <c r="G38" s="235"/>
      <c r="H38" s="240" t="s">
        <v>314</v>
      </c>
      <c r="I38" s="240"/>
      <c r="J38" s="242">
        <f>IF(J37=0,0,J37/J18)</f>
        <v>1.6162902289327602E-3</v>
      </c>
      <c r="K38" s="242"/>
      <c r="L38" s="251">
        <f>J38</f>
        <v>1.6162902289327602E-3</v>
      </c>
      <c r="N38" s="253"/>
      <c r="O38" s="253"/>
      <c r="Q38" s="228"/>
      <c r="R38" s="242"/>
      <c r="S38" s="228"/>
      <c r="T38" s="295"/>
      <c r="U38" s="228"/>
      <c r="V38" s="235"/>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3"/>
    </row>
    <row r="39" spans="1:69" ht="15">
      <c r="A39" s="294"/>
      <c r="C39" s="235"/>
      <c r="D39" s="235"/>
      <c r="E39" s="235"/>
      <c r="F39" s="235"/>
      <c r="G39" s="235"/>
      <c r="H39" s="240"/>
      <c r="I39" s="240"/>
      <c r="J39" s="242"/>
      <c r="K39" s="242"/>
      <c r="L39" s="251"/>
      <c r="Q39" s="228"/>
      <c r="R39" s="242"/>
      <c r="S39" s="228"/>
      <c r="T39" s="295"/>
      <c r="U39" s="228"/>
      <c r="V39" s="235"/>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3"/>
      <c r="BQ39" s="253"/>
    </row>
    <row r="40" spans="1:69" ht="15">
      <c r="A40" s="296"/>
      <c r="C40" s="235" t="s">
        <v>315</v>
      </c>
      <c r="D40" s="235"/>
      <c r="E40" s="235"/>
      <c r="F40" s="235"/>
      <c r="G40" s="235"/>
      <c r="H40" s="245"/>
      <c r="I40" s="245"/>
      <c r="J40" s="228"/>
      <c r="K40" s="228"/>
      <c r="L40" s="228"/>
      <c r="Q40" s="228"/>
      <c r="R40" s="228"/>
      <c r="S40" s="228"/>
      <c r="T40" s="228"/>
      <c r="U40" s="228"/>
      <c r="V40" s="235"/>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3"/>
      <c r="BQ40" s="253"/>
    </row>
    <row r="41" spans="1:69" ht="15">
      <c r="A41" s="296" t="s">
        <v>316</v>
      </c>
      <c r="C41" s="235" t="s">
        <v>317</v>
      </c>
      <c r="D41" s="235"/>
      <c r="E41" s="235"/>
      <c r="F41" s="235"/>
      <c r="G41" s="235"/>
      <c r="H41" s="240" t="s">
        <v>318</v>
      </c>
      <c r="I41" s="240"/>
      <c r="J41" s="275">
        <v>46427289.156390555</v>
      </c>
      <c r="K41" s="228"/>
      <c r="Q41" s="228"/>
      <c r="R41" s="233"/>
      <c r="S41" s="228"/>
      <c r="T41" s="240"/>
      <c r="U41" s="233"/>
      <c r="V41" s="235"/>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3"/>
    </row>
    <row r="42" spans="1:69" ht="15">
      <c r="A42" s="296" t="s">
        <v>319</v>
      </c>
      <c r="C42" s="235" t="s">
        <v>320</v>
      </c>
      <c r="D42" s="235"/>
      <c r="E42" s="235"/>
      <c r="F42" s="235"/>
      <c r="G42" s="235"/>
      <c r="H42" s="240" t="s">
        <v>321</v>
      </c>
      <c r="I42" s="240"/>
      <c r="J42" s="242">
        <f>IF(J41=0,0,J41/J18)</f>
        <v>1.102084991621546E-2</v>
      </c>
      <c r="K42" s="242"/>
      <c r="L42" s="251">
        <f>J42</f>
        <v>1.102084991621546E-2</v>
      </c>
      <c r="Q42" s="228"/>
      <c r="R42" s="242"/>
      <c r="S42" s="228"/>
      <c r="T42" s="295"/>
      <c r="U42" s="233"/>
      <c r="V42" s="235"/>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row>
    <row r="43" spans="1:69" ht="15">
      <c r="A43" s="296"/>
      <c r="C43" s="235"/>
      <c r="D43" s="235"/>
      <c r="E43" s="235"/>
      <c r="F43" s="235"/>
      <c r="G43" s="235"/>
      <c r="H43" s="240"/>
      <c r="I43" s="240"/>
      <c r="J43" s="228"/>
      <c r="K43" s="228"/>
      <c r="L43" s="228"/>
      <c r="Q43" s="228"/>
      <c r="U43" s="228"/>
      <c r="V43" s="235"/>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row>
    <row r="44" spans="1:69" ht="15">
      <c r="A44" s="234" t="s">
        <v>322</v>
      </c>
      <c r="B44" s="253"/>
      <c r="C44" s="235" t="s">
        <v>424</v>
      </c>
      <c r="D44" s="235"/>
      <c r="E44" s="235"/>
      <c r="F44" s="235"/>
      <c r="G44" s="235"/>
      <c r="H44" s="240" t="s">
        <v>425</v>
      </c>
      <c r="I44" s="240"/>
      <c r="J44" s="251">
        <f>J34+J38+J42</f>
        <v>1.7145160071151806E-2</v>
      </c>
      <c r="K44" s="251"/>
      <c r="L44" s="251">
        <f>L34+L38+L42</f>
        <v>1.7145160071151806E-2</v>
      </c>
      <c r="Q44" s="228"/>
      <c r="U44" s="228"/>
      <c r="V44" s="235"/>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3"/>
    </row>
    <row r="45" spans="1:69" ht="15">
      <c r="A45" s="296"/>
      <c r="C45" s="235"/>
      <c r="D45" s="235"/>
      <c r="E45" s="235"/>
      <c r="F45" s="235"/>
      <c r="G45" s="235"/>
      <c r="H45" s="240"/>
      <c r="I45" s="240"/>
      <c r="J45" s="228"/>
      <c r="K45" s="228"/>
      <c r="L45" s="228"/>
      <c r="Q45" s="228"/>
      <c r="R45" s="228"/>
      <c r="S45" s="228"/>
      <c r="T45" s="297"/>
      <c r="U45" s="228"/>
      <c r="V45" s="235"/>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3"/>
    </row>
    <row r="46" spans="1:69" ht="15">
      <c r="A46" s="234"/>
      <c r="B46" s="298"/>
      <c r="C46" s="228" t="s">
        <v>325</v>
      </c>
      <c r="D46" s="228"/>
      <c r="E46" s="228"/>
      <c r="F46" s="228"/>
      <c r="G46" s="228"/>
      <c r="H46" s="240"/>
      <c r="I46" s="240"/>
      <c r="J46" s="228"/>
      <c r="K46" s="228"/>
      <c r="L46" s="228"/>
      <c r="Q46" s="249"/>
      <c r="R46" s="298"/>
      <c r="U46" s="233"/>
      <c r="V46" s="228" t="s">
        <v>284</v>
      </c>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3"/>
    </row>
    <row r="47" spans="1:69" ht="15">
      <c r="A47" s="296" t="s">
        <v>326</v>
      </c>
      <c r="B47" s="298"/>
      <c r="C47" s="228" t="s">
        <v>327</v>
      </c>
      <c r="D47" s="228"/>
      <c r="E47" s="228"/>
      <c r="F47" s="228"/>
      <c r="G47" s="228"/>
      <c r="H47" s="240" t="s">
        <v>328</v>
      </c>
      <c r="I47" s="240"/>
      <c r="J47" s="275">
        <v>98129245.605589956</v>
      </c>
      <c r="K47" s="228"/>
      <c r="L47" s="228"/>
      <c r="Q47" s="249"/>
      <c r="R47" s="298"/>
      <c r="U47" s="233"/>
      <c r="V47" s="228"/>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3"/>
    </row>
    <row r="48" spans="1:69" ht="15">
      <c r="A48" s="296" t="s">
        <v>329</v>
      </c>
      <c r="B48" s="298"/>
      <c r="C48" s="228" t="s">
        <v>330</v>
      </c>
      <c r="D48" s="228"/>
      <c r="E48" s="228"/>
      <c r="F48" s="228"/>
      <c r="G48" s="228"/>
      <c r="H48" s="240" t="s">
        <v>331</v>
      </c>
      <c r="I48" s="240"/>
      <c r="J48" s="242">
        <f>IF(J47=0,0,J47/J20)</f>
        <v>3.0696688759938501E-2</v>
      </c>
      <c r="K48" s="242"/>
      <c r="L48" s="251">
        <f>J48</f>
        <v>3.0696688759938501E-2</v>
      </c>
      <c r="Q48" s="249"/>
      <c r="R48" s="298"/>
      <c r="S48" s="228"/>
      <c r="T48" s="228"/>
      <c r="U48" s="233"/>
      <c r="V48" s="228"/>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3"/>
    </row>
    <row r="49" spans="1:69" ht="15">
      <c r="A49" s="296"/>
      <c r="C49" s="228"/>
      <c r="D49" s="228"/>
      <c r="E49" s="228"/>
      <c r="F49" s="228"/>
      <c r="G49" s="228"/>
      <c r="H49" s="240"/>
      <c r="I49" s="240"/>
      <c r="J49" s="228"/>
      <c r="K49" s="228"/>
      <c r="L49" s="228"/>
      <c r="Q49" s="228"/>
      <c r="S49" s="225"/>
      <c r="T49" s="228"/>
      <c r="U49" s="225"/>
      <c r="V49" s="235"/>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3"/>
    </row>
    <row r="50" spans="1:69" ht="15">
      <c r="A50" s="296"/>
      <c r="C50" s="235" t="s">
        <v>332</v>
      </c>
      <c r="D50" s="235"/>
      <c r="E50" s="235"/>
      <c r="F50" s="235"/>
      <c r="G50" s="235"/>
      <c r="H50" s="250"/>
      <c r="I50" s="250"/>
      <c r="Q50" s="228"/>
      <c r="S50" s="228"/>
      <c r="T50" s="228"/>
      <c r="U50" s="228"/>
      <c r="V50" s="235"/>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3"/>
    </row>
    <row r="51" spans="1:69" ht="15">
      <c r="A51" s="296" t="s">
        <v>333</v>
      </c>
      <c r="C51" s="235" t="s">
        <v>334</v>
      </c>
      <c r="D51" s="235"/>
      <c r="E51" s="235"/>
      <c r="F51" s="235"/>
      <c r="G51" s="235"/>
      <c r="H51" s="240" t="s">
        <v>335</v>
      </c>
      <c r="I51" s="240"/>
      <c r="J51" s="275">
        <v>198964115.32981703</v>
      </c>
      <c r="K51" s="228"/>
      <c r="L51" s="228"/>
      <c r="Q51" s="228"/>
      <c r="S51" s="228"/>
      <c r="T51" s="228"/>
      <c r="U51" s="228"/>
      <c r="V51" s="235"/>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3"/>
    </row>
    <row r="52" spans="1:69" ht="15">
      <c r="A52" s="296" t="s">
        <v>336</v>
      </c>
      <c r="B52" s="298"/>
      <c r="C52" s="228" t="s">
        <v>337</v>
      </c>
      <c r="D52" s="228"/>
      <c r="E52" s="228"/>
      <c r="F52" s="228"/>
      <c r="G52" s="228"/>
      <c r="H52" s="240" t="s">
        <v>338</v>
      </c>
      <c r="I52" s="240"/>
      <c r="J52" s="251">
        <f>IF(J51=0,0,J51/J20)</f>
        <v>6.2239748048445037E-2</v>
      </c>
      <c r="K52" s="251"/>
      <c r="L52" s="251">
        <f>J52</f>
        <v>6.2239748048445037E-2</v>
      </c>
      <c r="Q52" s="228"/>
      <c r="T52" s="299"/>
      <c r="U52" s="233"/>
      <c r="V52" s="228"/>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3"/>
    </row>
    <row r="53" spans="1:69" ht="15">
      <c r="A53" s="296"/>
      <c r="C53" s="235"/>
      <c r="D53" s="235"/>
      <c r="E53" s="235"/>
      <c r="F53" s="235"/>
      <c r="G53" s="235"/>
      <c r="H53" s="240"/>
      <c r="I53" s="240"/>
      <c r="J53" s="228"/>
      <c r="K53" s="228"/>
      <c r="L53" s="228"/>
      <c r="Q53" s="228"/>
      <c r="R53" s="250"/>
      <c r="S53" s="228"/>
      <c r="T53" s="228"/>
      <c r="U53" s="228"/>
      <c r="V53" s="235"/>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3"/>
      <c r="BH53" s="253"/>
      <c r="BI53" s="253"/>
      <c r="BJ53" s="253"/>
      <c r="BK53" s="253"/>
      <c r="BL53" s="253"/>
      <c r="BM53" s="253"/>
      <c r="BN53" s="253"/>
      <c r="BO53" s="253"/>
      <c r="BP53" s="253"/>
      <c r="BQ53" s="253"/>
    </row>
    <row r="54" spans="1:69" ht="15">
      <c r="A54" s="234" t="s">
        <v>339</v>
      </c>
      <c r="B54" s="253"/>
      <c r="C54" s="235" t="s">
        <v>340</v>
      </c>
      <c r="D54" s="235"/>
      <c r="E54" s="235"/>
      <c r="F54" s="235"/>
      <c r="G54" s="235"/>
      <c r="H54" s="240" t="s">
        <v>341</v>
      </c>
      <c r="I54" s="240"/>
      <c r="J54" s="228"/>
      <c r="K54" s="228"/>
      <c r="L54" s="251">
        <f>L48+L52</f>
        <v>9.2936436808383538E-2</v>
      </c>
      <c r="Q54" s="228"/>
      <c r="R54" s="250"/>
      <c r="S54" s="228"/>
      <c r="T54" s="228"/>
      <c r="U54" s="228"/>
      <c r="V54" s="235"/>
      <c r="W54" s="253"/>
      <c r="X54" s="253"/>
      <c r="Y54" s="253"/>
      <c r="Z54" s="253"/>
      <c r="AA54" s="253"/>
      <c r="AB54" s="253"/>
      <c r="AC54" s="253"/>
      <c r="AD54" s="253"/>
      <c r="AE54" s="253"/>
      <c r="AF54" s="253"/>
      <c r="AG54" s="253"/>
      <c r="AH54" s="253"/>
      <c r="AI54" s="253"/>
      <c r="AJ54" s="253"/>
      <c r="AK54" s="253"/>
      <c r="AL54" s="253"/>
      <c r="AM54" s="253"/>
      <c r="AN54" s="253"/>
      <c r="AO54" s="253"/>
      <c r="AP54" s="253"/>
      <c r="AQ54" s="253"/>
      <c r="AR54" s="253"/>
      <c r="AS54" s="253"/>
      <c r="AT54" s="253"/>
      <c r="AU54" s="253"/>
      <c r="AV54" s="253"/>
      <c r="AW54" s="253"/>
      <c r="AX54" s="253"/>
      <c r="AY54" s="253"/>
      <c r="AZ54" s="253"/>
      <c r="BA54" s="253"/>
      <c r="BB54" s="253"/>
      <c r="BC54" s="253"/>
      <c r="BD54" s="253"/>
      <c r="BE54" s="253"/>
      <c r="BF54" s="253"/>
      <c r="BG54" s="253"/>
      <c r="BH54" s="253"/>
      <c r="BI54" s="253"/>
      <c r="BJ54" s="253"/>
      <c r="BK54" s="253"/>
      <c r="BL54" s="253"/>
      <c r="BM54" s="253"/>
      <c r="BN54" s="253"/>
      <c r="BO54" s="253"/>
      <c r="BP54" s="253"/>
      <c r="BQ54" s="253"/>
    </row>
    <row r="55" spans="1:69" ht="15">
      <c r="Q55" s="252"/>
      <c r="R55" s="252"/>
      <c r="S55" s="228"/>
      <c r="T55" s="228"/>
      <c r="U55" s="228"/>
      <c r="V55" s="235"/>
      <c r="W55" s="253"/>
      <c r="X55" s="253"/>
      <c r="Y55" s="253"/>
      <c r="Z55" s="253"/>
      <c r="AA55" s="253"/>
      <c r="AB55" s="253"/>
      <c r="AC55" s="253"/>
      <c r="AD55" s="253"/>
      <c r="AE55" s="253"/>
      <c r="AF55" s="253"/>
      <c r="AG55" s="253"/>
      <c r="AH55" s="253"/>
      <c r="AI55" s="253"/>
      <c r="AJ55" s="253"/>
      <c r="AK55" s="253"/>
      <c r="AL55" s="253"/>
      <c r="AM55" s="253"/>
      <c r="AN55" s="253"/>
      <c r="AO55" s="253"/>
      <c r="AP55" s="253"/>
      <c r="AQ55" s="253"/>
      <c r="AR55" s="253"/>
      <c r="AS55" s="253"/>
      <c r="AT55" s="253"/>
      <c r="AU55" s="253"/>
      <c r="AV55" s="253"/>
      <c r="AW55" s="253"/>
      <c r="AX55" s="253"/>
      <c r="AY55" s="253"/>
      <c r="AZ55" s="253"/>
      <c r="BA55" s="253"/>
      <c r="BB55" s="253"/>
      <c r="BC55" s="253"/>
      <c r="BD55" s="253"/>
      <c r="BE55" s="253"/>
      <c r="BF55" s="253"/>
      <c r="BG55" s="253"/>
      <c r="BH55" s="253"/>
      <c r="BI55" s="253"/>
      <c r="BJ55" s="253"/>
      <c r="BK55" s="253"/>
      <c r="BL55" s="253"/>
      <c r="BM55" s="253"/>
      <c r="BN55" s="253"/>
      <c r="BO55" s="253"/>
      <c r="BP55" s="253"/>
      <c r="BQ55" s="253"/>
    </row>
    <row r="56" spans="1:69" ht="15">
      <c r="A56" s="291"/>
      <c r="C56" s="253"/>
      <c r="D56" s="253"/>
      <c r="E56" s="253"/>
      <c r="F56" s="253"/>
      <c r="G56" s="253"/>
      <c r="H56" s="253"/>
      <c r="I56" s="253"/>
      <c r="J56" s="228"/>
      <c r="K56" s="228"/>
      <c r="L56" s="253"/>
      <c r="M56" s="253"/>
      <c r="N56" s="253"/>
      <c r="O56" s="253"/>
      <c r="Q56" s="228"/>
      <c r="R56" s="228"/>
      <c r="S56" s="228"/>
      <c r="T56" s="228"/>
      <c r="U56" s="233"/>
      <c r="V56" s="228" t="s">
        <v>284</v>
      </c>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3"/>
      <c r="AY56" s="253"/>
      <c r="AZ56" s="253"/>
      <c r="BA56" s="253"/>
      <c r="BB56" s="253"/>
      <c r="BC56" s="253"/>
      <c r="BD56" s="253"/>
      <c r="BE56" s="253"/>
      <c r="BF56" s="253"/>
      <c r="BG56" s="253"/>
      <c r="BH56" s="253"/>
      <c r="BI56" s="253"/>
      <c r="BJ56" s="253"/>
      <c r="BK56" s="253"/>
      <c r="BL56" s="253"/>
      <c r="BM56" s="253"/>
      <c r="BN56" s="253"/>
      <c r="BO56" s="253"/>
      <c r="BP56" s="253"/>
      <c r="BQ56" s="253"/>
    </row>
    <row r="57" spans="1:69" hidden="1">
      <c r="R57" s="288"/>
    </row>
    <row r="58" spans="1:69" hidden="1">
      <c r="R58" s="288"/>
    </row>
    <row r="60" spans="1:69" ht="15">
      <c r="A60" s="291"/>
      <c r="C60" s="253"/>
      <c r="D60" s="253"/>
      <c r="E60" s="253"/>
      <c r="F60" s="253"/>
      <c r="G60" s="253"/>
      <c r="H60" s="253"/>
      <c r="I60" s="253"/>
      <c r="J60" s="228"/>
      <c r="K60" s="228"/>
      <c r="L60" s="253"/>
      <c r="M60" s="253"/>
      <c r="N60" s="253"/>
      <c r="O60" s="253"/>
      <c r="Q60" s="228"/>
      <c r="R60" s="288" t="s">
        <v>397</v>
      </c>
      <c r="S60" s="228"/>
      <c r="T60" s="225"/>
      <c r="U60" s="228"/>
      <c r="V60" s="235"/>
      <c r="W60" s="253"/>
      <c r="X60" s="253"/>
      <c r="Y60" s="253"/>
      <c r="Z60" s="253"/>
      <c r="AA60" s="253"/>
      <c r="AB60" s="253"/>
      <c r="AC60" s="253"/>
      <c r="AD60" s="253"/>
      <c r="AE60" s="253"/>
      <c r="AF60" s="253"/>
      <c r="AG60" s="253"/>
      <c r="AH60" s="253"/>
      <c r="AI60" s="253"/>
      <c r="AJ60" s="253"/>
      <c r="AK60" s="253"/>
      <c r="AL60" s="253"/>
      <c r="AM60" s="253"/>
      <c r="AN60" s="253"/>
      <c r="AO60" s="253"/>
      <c r="AP60" s="253"/>
      <c r="AQ60" s="253"/>
      <c r="AR60" s="253"/>
      <c r="AS60" s="253"/>
      <c r="AT60" s="253"/>
      <c r="AU60" s="253"/>
      <c r="AV60" s="253"/>
      <c r="AW60" s="253"/>
      <c r="AX60" s="253"/>
      <c r="AY60" s="253"/>
      <c r="AZ60" s="253"/>
      <c r="BA60" s="253"/>
      <c r="BB60" s="253"/>
      <c r="BC60" s="253"/>
      <c r="BD60" s="253"/>
      <c r="BE60" s="253"/>
      <c r="BF60" s="253"/>
      <c r="BG60" s="253"/>
      <c r="BH60" s="253"/>
      <c r="BI60" s="253"/>
      <c r="BJ60" s="253"/>
      <c r="BK60" s="253"/>
      <c r="BL60" s="253"/>
      <c r="BM60" s="253"/>
      <c r="BN60" s="253"/>
      <c r="BO60" s="253"/>
      <c r="BP60" s="253"/>
      <c r="BQ60" s="253"/>
    </row>
    <row r="61" spans="1:69" ht="15">
      <c r="A61" s="291"/>
      <c r="C61" s="235" t="str">
        <f>C5</f>
        <v>Formula Rate calculation</v>
      </c>
      <c r="D61" s="235"/>
      <c r="E61" s="235"/>
      <c r="F61" s="235"/>
      <c r="G61" s="235"/>
      <c r="H61" s="253"/>
      <c r="I61" s="253"/>
      <c r="J61" s="253" t="str">
        <f>J5</f>
        <v xml:space="preserve">     Rate Formula Template</v>
      </c>
      <c r="K61" s="253"/>
      <c r="L61" s="253"/>
      <c r="M61" s="253"/>
      <c r="N61" s="253"/>
      <c r="O61" s="253"/>
      <c r="Q61" s="228"/>
      <c r="R61" s="561" t="str">
        <f>R5</f>
        <v>For  the 12 months ended 12/31/2016</v>
      </c>
      <c r="S61" s="228"/>
      <c r="T61" s="225"/>
      <c r="U61" s="228"/>
      <c r="V61" s="235"/>
      <c r="W61" s="253"/>
      <c r="X61" s="253"/>
      <c r="Y61" s="253"/>
      <c r="Z61" s="253"/>
      <c r="AA61" s="253"/>
      <c r="AB61" s="253"/>
      <c r="AC61" s="253"/>
      <c r="AD61" s="253"/>
      <c r="AE61" s="253"/>
      <c r="AF61" s="253"/>
      <c r="AG61" s="253"/>
      <c r="AH61" s="253"/>
      <c r="AI61" s="253"/>
      <c r="AJ61" s="253"/>
      <c r="AK61" s="253"/>
      <c r="AL61" s="253"/>
      <c r="AM61" s="253"/>
      <c r="AN61" s="253"/>
      <c r="AO61" s="253"/>
      <c r="AP61" s="253"/>
      <c r="AQ61" s="253"/>
      <c r="AR61" s="253"/>
      <c r="AS61" s="253"/>
      <c r="AT61" s="253"/>
      <c r="AU61" s="253"/>
      <c r="AV61" s="253"/>
      <c r="AW61" s="253"/>
      <c r="AX61" s="253"/>
      <c r="AY61" s="253"/>
      <c r="AZ61" s="253"/>
      <c r="BA61" s="253"/>
      <c r="BB61" s="253"/>
      <c r="BC61" s="253"/>
      <c r="BD61" s="253"/>
      <c r="BE61" s="253"/>
      <c r="BF61" s="253"/>
      <c r="BG61" s="253"/>
      <c r="BH61" s="253"/>
      <c r="BI61" s="253"/>
      <c r="BJ61" s="253"/>
      <c r="BK61" s="253"/>
      <c r="BL61" s="253"/>
      <c r="BM61" s="253"/>
      <c r="BN61" s="253"/>
      <c r="BO61" s="253"/>
      <c r="BP61" s="253"/>
      <c r="BQ61" s="253"/>
    </row>
    <row r="62" spans="1:69" ht="15">
      <c r="A62" s="291"/>
      <c r="C62" s="235"/>
      <c r="D62" s="235"/>
      <c r="E62" s="235"/>
      <c r="F62" s="235"/>
      <c r="G62" s="235"/>
      <c r="H62" s="253"/>
      <c r="I62" s="253"/>
      <c r="J62" s="253" t="str">
        <f>J6</f>
        <v xml:space="preserve"> Utilizing Attachment O Data</v>
      </c>
      <c r="K62" s="253"/>
      <c r="L62" s="253"/>
      <c r="M62" s="253"/>
      <c r="N62" s="253"/>
      <c r="O62" s="253"/>
      <c r="P62" s="228"/>
      <c r="Q62" s="228"/>
      <c r="S62" s="228"/>
      <c r="T62" s="225"/>
      <c r="U62" s="228"/>
      <c r="V62" s="235"/>
      <c r="W62" s="253"/>
      <c r="X62" s="253"/>
      <c r="Y62" s="253"/>
      <c r="Z62" s="253"/>
      <c r="AA62" s="253"/>
      <c r="AB62" s="253"/>
      <c r="AC62" s="253"/>
      <c r="AD62" s="253"/>
      <c r="AE62" s="253"/>
      <c r="AF62" s="253"/>
      <c r="AG62" s="253"/>
      <c r="AH62" s="253"/>
      <c r="AI62" s="253"/>
      <c r="AJ62" s="253"/>
      <c r="AK62" s="253"/>
      <c r="AL62" s="253"/>
      <c r="AM62" s="253"/>
      <c r="AN62" s="253"/>
      <c r="AO62" s="253"/>
      <c r="AP62" s="253"/>
      <c r="AQ62" s="253"/>
      <c r="AR62" s="253"/>
      <c r="AS62" s="253"/>
      <c r="AT62" s="253"/>
      <c r="AU62" s="253"/>
      <c r="AV62" s="253"/>
      <c r="AW62" s="253"/>
      <c r="AX62" s="253"/>
      <c r="AY62" s="253"/>
      <c r="AZ62" s="253"/>
      <c r="BA62" s="253"/>
      <c r="BB62" s="253"/>
      <c r="BC62" s="253"/>
      <c r="BD62" s="253"/>
      <c r="BE62" s="253"/>
      <c r="BF62" s="253"/>
      <c r="BG62" s="253"/>
      <c r="BH62" s="253"/>
      <c r="BI62" s="253"/>
      <c r="BJ62" s="253"/>
      <c r="BK62" s="253"/>
      <c r="BL62" s="253"/>
      <c r="BM62" s="253"/>
      <c r="BN62" s="253"/>
      <c r="BO62" s="253"/>
      <c r="BP62" s="253"/>
      <c r="BQ62" s="253"/>
    </row>
    <row r="63" spans="1:69" ht="14.25" customHeight="1">
      <c r="A63" s="291"/>
      <c r="C63" s="253"/>
      <c r="D63" s="253"/>
      <c r="E63" s="253"/>
      <c r="F63" s="253"/>
      <c r="G63" s="253"/>
      <c r="H63" s="253"/>
      <c r="I63" s="253"/>
      <c r="J63" s="253"/>
      <c r="K63" s="253"/>
      <c r="L63" s="253"/>
      <c r="M63" s="253"/>
      <c r="N63" s="253"/>
      <c r="O63" s="253"/>
      <c r="Q63" s="228"/>
      <c r="R63" s="253" t="s">
        <v>342</v>
      </c>
      <c r="S63" s="228"/>
      <c r="T63" s="225"/>
      <c r="U63" s="228"/>
      <c r="V63" s="235"/>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3"/>
      <c r="AY63" s="253"/>
      <c r="AZ63" s="253"/>
      <c r="BA63" s="253"/>
      <c r="BB63" s="253"/>
      <c r="BC63" s="253"/>
      <c r="BD63" s="253"/>
      <c r="BE63" s="253"/>
      <c r="BF63" s="253"/>
      <c r="BG63" s="253"/>
      <c r="BH63" s="253"/>
      <c r="BI63" s="253"/>
      <c r="BJ63" s="253"/>
      <c r="BK63" s="253"/>
      <c r="BL63" s="253"/>
      <c r="BM63" s="253"/>
      <c r="BN63" s="253"/>
      <c r="BO63" s="253"/>
      <c r="BP63" s="253"/>
      <c r="BQ63" s="253"/>
    </row>
    <row r="64" spans="1:69" ht="15">
      <c r="A64" s="291"/>
      <c r="H64" s="253"/>
      <c r="I64" s="253"/>
      <c r="J64" s="253" t="str">
        <f>J8</f>
        <v>NSP Companies @ 10.82% ROE</v>
      </c>
      <c r="K64" s="253"/>
      <c r="L64" s="253"/>
      <c r="M64" s="253"/>
      <c r="N64" s="253"/>
      <c r="O64" s="253"/>
      <c r="P64" s="253"/>
      <c r="Q64" s="228"/>
      <c r="R64" s="228"/>
      <c r="S64" s="228"/>
      <c r="T64" s="225"/>
      <c r="U64" s="228"/>
      <c r="V64" s="235"/>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3"/>
    </row>
    <row r="65" spans="1:69" ht="15">
      <c r="A65" s="291"/>
      <c r="H65" s="235"/>
      <c r="I65" s="235"/>
      <c r="J65" s="235"/>
      <c r="K65" s="235"/>
      <c r="L65" s="235"/>
      <c r="M65" s="235"/>
      <c r="N65" s="235"/>
      <c r="O65" s="235"/>
      <c r="P65" s="235"/>
      <c r="Q65" s="235"/>
      <c r="R65" s="235"/>
      <c r="S65" s="228"/>
      <c r="T65" s="225"/>
      <c r="U65" s="228"/>
      <c r="V65" s="235"/>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row>
    <row r="66" spans="1:69" ht="15">
      <c r="A66" s="291"/>
      <c r="C66" s="253"/>
      <c r="D66" s="253"/>
      <c r="E66" s="253"/>
      <c r="F66" s="253"/>
      <c r="G66" s="253"/>
      <c r="H66" s="235" t="s">
        <v>426</v>
      </c>
      <c r="I66" s="235"/>
      <c r="L66" s="225"/>
      <c r="M66" s="225"/>
      <c r="N66" s="225"/>
      <c r="O66" s="225"/>
      <c r="P66" s="225"/>
      <c r="Q66" s="228"/>
      <c r="R66" s="228"/>
      <c r="S66" s="228"/>
      <c r="T66" s="225"/>
      <c r="U66" s="228"/>
      <c r="V66" s="235"/>
      <c r="W66" s="253"/>
      <c r="X66" s="253"/>
      <c r="Y66" s="253"/>
      <c r="Z66" s="253"/>
      <c r="AA66" s="253"/>
      <c r="AB66" s="253"/>
      <c r="AC66" s="253"/>
      <c r="AD66" s="253"/>
      <c r="AE66" s="253"/>
      <c r="AF66" s="253"/>
      <c r="AG66" s="253"/>
      <c r="AH66" s="253"/>
      <c r="AI66" s="253"/>
      <c r="AJ66" s="253"/>
      <c r="AK66" s="253"/>
      <c r="AL66" s="253"/>
      <c r="AM66" s="253"/>
      <c r="AN66" s="253"/>
      <c r="AO66" s="253"/>
      <c r="AP66" s="253"/>
      <c r="AQ66" s="253"/>
      <c r="AR66" s="253"/>
      <c r="AS66" s="253"/>
      <c r="AT66" s="253"/>
      <c r="AU66" s="253"/>
      <c r="AV66" s="253"/>
      <c r="AW66" s="253"/>
      <c r="AX66" s="253"/>
      <c r="AY66" s="253"/>
      <c r="AZ66" s="253"/>
      <c r="BA66" s="253"/>
      <c r="BB66" s="253"/>
      <c r="BC66" s="253"/>
      <c r="BD66" s="253"/>
      <c r="BE66" s="253"/>
      <c r="BF66" s="253"/>
      <c r="BG66" s="253"/>
      <c r="BH66" s="253"/>
      <c r="BI66" s="253"/>
      <c r="BJ66" s="253"/>
      <c r="BK66" s="253"/>
      <c r="BL66" s="253"/>
      <c r="BM66" s="253"/>
      <c r="BN66" s="253"/>
      <c r="BO66" s="253"/>
      <c r="BP66" s="253"/>
      <c r="BQ66" s="253"/>
    </row>
    <row r="67" spans="1:69" ht="15">
      <c r="A67" s="291"/>
      <c r="C67" s="253"/>
      <c r="D67" s="253"/>
      <c r="E67" s="253"/>
      <c r="F67" s="253"/>
      <c r="G67" s="253"/>
      <c r="H67" s="235"/>
      <c r="I67" s="235"/>
      <c r="L67" s="225"/>
      <c r="M67" s="225"/>
      <c r="N67" s="225"/>
      <c r="O67" s="225"/>
      <c r="P67" s="225"/>
      <c r="Q67" s="228"/>
      <c r="R67" s="228"/>
      <c r="S67" s="228"/>
      <c r="T67" s="225"/>
      <c r="U67" s="228"/>
      <c r="V67" s="235"/>
      <c r="W67" s="253"/>
      <c r="X67" s="253"/>
      <c r="Y67" s="253"/>
      <c r="Z67" s="253"/>
      <c r="AA67" s="253"/>
      <c r="AB67" s="253"/>
      <c r="AC67" s="253"/>
      <c r="AD67" s="253"/>
      <c r="AE67" s="253"/>
      <c r="AF67" s="253"/>
      <c r="AG67" s="253"/>
      <c r="AH67" s="253"/>
      <c r="AI67" s="253"/>
      <c r="AJ67" s="253"/>
      <c r="AK67" s="253"/>
      <c r="AL67" s="253"/>
      <c r="AM67" s="253"/>
      <c r="AN67" s="253"/>
      <c r="AO67" s="253"/>
      <c r="AP67" s="253"/>
      <c r="AQ67" s="253"/>
      <c r="AR67" s="253"/>
      <c r="AS67" s="253"/>
      <c r="AT67" s="253"/>
      <c r="AU67" s="253"/>
      <c r="AV67" s="253"/>
      <c r="AW67" s="253"/>
      <c r="AX67" s="253"/>
      <c r="AY67" s="253"/>
      <c r="AZ67" s="253"/>
      <c r="BA67" s="253"/>
      <c r="BB67" s="253"/>
      <c r="BC67" s="253"/>
      <c r="BD67" s="253"/>
      <c r="BE67" s="253"/>
      <c r="BF67" s="253"/>
      <c r="BG67" s="253"/>
      <c r="BH67" s="253"/>
      <c r="BI67" s="253"/>
      <c r="BJ67" s="253"/>
      <c r="BK67" s="253"/>
      <c r="BL67" s="253"/>
      <c r="BM67" s="253"/>
      <c r="BN67" s="253"/>
      <c r="BO67" s="253"/>
      <c r="BP67" s="253"/>
      <c r="BQ67" s="253"/>
    </row>
    <row r="68" spans="1:69" ht="15">
      <c r="A68" s="300"/>
      <c r="C68" s="301" t="s">
        <v>289</v>
      </c>
      <c r="D68" s="301" t="s">
        <v>290</v>
      </c>
      <c r="E68" s="301" t="s">
        <v>291</v>
      </c>
      <c r="F68" s="301" t="s">
        <v>292</v>
      </c>
      <c r="G68" s="301" t="s">
        <v>427</v>
      </c>
      <c r="H68" s="301" t="s">
        <v>428</v>
      </c>
      <c r="I68" s="301" t="s">
        <v>429</v>
      </c>
      <c r="J68" s="301" t="s">
        <v>430</v>
      </c>
      <c r="K68" s="301" t="s">
        <v>431</v>
      </c>
      <c r="L68" s="301" t="s">
        <v>432</v>
      </c>
      <c r="M68" s="301" t="s">
        <v>433</v>
      </c>
      <c r="N68" s="301" t="s">
        <v>434</v>
      </c>
      <c r="O68" s="301" t="s">
        <v>435</v>
      </c>
      <c r="P68" s="301" t="s">
        <v>436</v>
      </c>
      <c r="Q68" s="301" t="s">
        <v>437</v>
      </c>
      <c r="R68" s="301" t="s">
        <v>438</v>
      </c>
      <c r="S68" s="228"/>
      <c r="T68" s="225"/>
      <c r="U68" s="228"/>
      <c r="V68" s="235"/>
      <c r="W68" s="253"/>
      <c r="X68" s="253"/>
      <c r="Y68" s="253"/>
      <c r="Z68" s="253"/>
      <c r="AA68" s="253"/>
      <c r="AB68" s="253"/>
      <c r="AC68" s="253"/>
      <c r="AD68" s="253"/>
      <c r="AE68" s="253"/>
      <c r="AF68" s="253"/>
      <c r="AG68" s="253"/>
      <c r="AH68" s="253"/>
      <c r="AI68" s="253"/>
      <c r="AJ68" s="253"/>
      <c r="AK68" s="253"/>
      <c r="AL68" s="253"/>
      <c r="AM68" s="253"/>
      <c r="AN68" s="253"/>
      <c r="AO68" s="253"/>
      <c r="AP68" s="253"/>
      <c r="AQ68" s="253"/>
      <c r="AR68" s="253"/>
      <c r="AS68" s="253"/>
      <c r="AT68" s="253"/>
      <c r="AU68" s="253"/>
      <c r="AV68" s="253"/>
      <c r="AW68" s="253"/>
      <c r="AX68" s="253"/>
      <c r="AY68" s="253"/>
      <c r="AZ68" s="253"/>
      <c r="BA68" s="253"/>
      <c r="BB68" s="253"/>
      <c r="BC68" s="253"/>
      <c r="BD68" s="253"/>
      <c r="BE68" s="253"/>
      <c r="BF68" s="253"/>
      <c r="BG68" s="253"/>
      <c r="BH68" s="253"/>
      <c r="BI68" s="253"/>
      <c r="BJ68" s="253"/>
      <c r="BK68" s="253"/>
      <c r="BL68" s="253"/>
      <c r="BM68" s="253"/>
      <c r="BN68" s="253"/>
      <c r="BO68" s="253"/>
      <c r="BP68" s="253"/>
      <c r="BQ68" s="253"/>
    </row>
    <row r="69" spans="1:69" ht="65.25" customHeight="1">
      <c r="A69" s="302" t="s">
        <v>344</v>
      </c>
      <c r="B69" s="303"/>
      <c r="C69" s="304" t="s">
        <v>345</v>
      </c>
      <c r="D69" s="304" t="s">
        <v>346</v>
      </c>
      <c r="E69" s="304" t="s">
        <v>439</v>
      </c>
      <c r="F69" s="304" t="s">
        <v>440</v>
      </c>
      <c r="G69" s="304" t="s">
        <v>441</v>
      </c>
      <c r="H69" s="305" t="s">
        <v>442</v>
      </c>
      <c r="I69" s="305" t="s">
        <v>443</v>
      </c>
      <c r="J69" s="306" t="s">
        <v>444</v>
      </c>
      <c r="K69" s="307" t="s">
        <v>348</v>
      </c>
      <c r="L69" s="305" t="s">
        <v>349</v>
      </c>
      <c r="M69" s="305" t="s">
        <v>340</v>
      </c>
      <c r="N69" s="307" t="s">
        <v>350</v>
      </c>
      <c r="O69" s="305" t="s">
        <v>351</v>
      </c>
      <c r="P69" s="264" t="s">
        <v>352</v>
      </c>
      <c r="Q69" s="308" t="s">
        <v>353</v>
      </c>
      <c r="R69" s="264" t="s">
        <v>445</v>
      </c>
      <c r="S69" s="228"/>
      <c r="T69" s="265" t="s">
        <v>467</v>
      </c>
      <c r="U69" s="228"/>
      <c r="V69" s="235"/>
      <c r="W69" s="253"/>
      <c r="X69" s="253"/>
      <c r="Y69" s="253"/>
      <c r="Z69" s="253"/>
      <c r="AA69" s="253"/>
      <c r="AB69" s="253"/>
      <c r="AC69" s="253"/>
      <c r="AD69" s="253"/>
      <c r="AE69" s="253"/>
      <c r="AF69" s="253"/>
      <c r="AG69" s="253"/>
      <c r="AH69" s="253"/>
      <c r="AI69" s="253"/>
      <c r="AJ69" s="253"/>
      <c r="AK69" s="253"/>
      <c r="AL69" s="253"/>
      <c r="AM69" s="253"/>
      <c r="AN69" s="253"/>
      <c r="AO69" s="253"/>
      <c r="AP69" s="253"/>
      <c r="AQ69" s="253"/>
      <c r="AR69" s="253"/>
      <c r="AS69" s="253"/>
      <c r="AT69" s="253"/>
      <c r="AU69" s="253"/>
      <c r="AV69" s="253"/>
      <c r="AW69" s="253"/>
      <c r="AX69" s="253"/>
      <c r="AY69" s="253"/>
      <c r="AZ69" s="253"/>
      <c r="BA69" s="253"/>
      <c r="BB69" s="253"/>
      <c r="BC69" s="253"/>
      <c r="BD69" s="253"/>
      <c r="BE69" s="253"/>
      <c r="BF69" s="253"/>
      <c r="BG69" s="253"/>
      <c r="BH69" s="253"/>
      <c r="BI69" s="253"/>
      <c r="BJ69" s="253"/>
      <c r="BK69" s="253"/>
      <c r="BL69" s="253"/>
      <c r="BM69" s="253"/>
      <c r="BN69" s="253"/>
      <c r="BO69" s="253"/>
      <c r="BP69" s="253"/>
      <c r="BQ69" s="253"/>
    </row>
    <row r="70" spans="1:69" s="312" customFormat="1" ht="46.5" customHeight="1">
      <c r="A70" s="279"/>
      <c r="B70" s="280"/>
      <c r="C70" s="280"/>
      <c r="D70" s="280"/>
      <c r="E70" s="281" t="s">
        <v>355</v>
      </c>
      <c r="F70" s="280"/>
      <c r="G70" s="280" t="s">
        <v>446</v>
      </c>
      <c r="H70" s="281" t="s">
        <v>447</v>
      </c>
      <c r="I70" s="282" t="s">
        <v>448</v>
      </c>
      <c r="J70" s="281" t="s">
        <v>449</v>
      </c>
      <c r="K70" s="283" t="s">
        <v>450</v>
      </c>
      <c r="L70" s="281" t="s">
        <v>451</v>
      </c>
      <c r="M70" s="282" t="s">
        <v>452</v>
      </c>
      <c r="N70" s="284" t="s">
        <v>453</v>
      </c>
      <c r="O70" s="282" t="s">
        <v>359</v>
      </c>
      <c r="P70" s="284" t="s">
        <v>454</v>
      </c>
      <c r="Q70" s="285" t="s">
        <v>361</v>
      </c>
      <c r="R70" s="286" t="s">
        <v>455</v>
      </c>
      <c r="S70" s="309"/>
      <c r="T70" s="264" t="s">
        <v>658</v>
      </c>
      <c r="U70" s="309"/>
      <c r="V70" s="311"/>
    </row>
    <row r="71" spans="1:69" s="376" customFormat="1" ht="15.75">
      <c r="A71" s="383" t="s">
        <v>456</v>
      </c>
      <c r="B71" s="382"/>
      <c r="C71" s="382"/>
      <c r="D71" s="382"/>
      <c r="E71" s="382"/>
      <c r="F71" s="382"/>
      <c r="G71" s="382"/>
      <c r="H71" s="382"/>
      <c r="I71" s="382"/>
      <c r="J71" s="382"/>
      <c r="K71" s="384"/>
      <c r="L71" s="382"/>
      <c r="M71" s="382"/>
      <c r="N71" s="384"/>
      <c r="O71" s="382"/>
      <c r="P71" s="384"/>
      <c r="Q71" s="385"/>
      <c r="R71" s="386"/>
      <c r="S71" s="385"/>
      <c r="T71" s="227"/>
      <c r="U71" s="385"/>
      <c r="V71" s="381"/>
      <c r="W71" s="380"/>
      <c r="X71" s="380"/>
      <c r="Y71" s="380"/>
      <c r="Z71" s="380"/>
      <c r="AA71" s="380"/>
      <c r="AB71" s="380"/>
      <c r="AC71" s="380"/>
      <c r="AD71" s="380"/>
      <c r="AE71" s="380"/>
      <c r="AF71" s="380"/>
      <c r="AG71" s="380"/>
      <c r="AH71" s="380"/>
      <c r="AI71" s="380"/>
      <c r="AJ71" s="380"/>
      <c r="AK71" s="380"/>
      <c r="AL71" s="380"/>
      <c r="AM71" s="380"/>
      <c r="AN71" s="380"/>
      <c r="AO71" s="380"/>
      <c r="AP71" s="380"/>
      <c r="AQ71" s="380"/>
      <c r="AR71" s="380"/>
      <c r="AS71" s="380"/>
      <c r="AT71" s="380"/>
      <c r="AU71" s="380"/>
      <c r="AV71" s="380"/>
      <c r="AW71" s="380"/>
      <c r="AX71" s="380"/>
      <c r="AY71" s="380"/>
      <c r="AZ71" s="380"/>
      <c r="BA71" s="380"/>
      <c r="BB71" s="380"/>
      <c r="BC71" s="380"/>
      <c r="BD71" s="380"/>
      <c r="BE71" s="380"/>
      <c r="BF71" s="380"/>
      <c r="BG71" s="380"/>
      <c r="BH71" s="380"/>
      <c r="BI71" s="380"/>
      <c r="BJ71" s="380"/>
      <c r="BK71" s="380"/>
      <c r="BL71" s="380"/>
      <c r="BM71" s="380"/>
      <c r="BN71" s="380"/>
      <c r="BO71" s="380"/>
      <c r="BP71" s="380"/>
      <c r="BQ71" s="380"/>
    </row>
    <row r="72" spans="1:69" s="376" customFormat="1" ht="15">
      <c r="A72" s="375" t="s">
        <v>363</v>
      </c>
      <c r="C72" s="387" t="s">
        <v>502</v>
      </c>
      <c r="D72" s="388">
        <v>1203</v>
      </c>
      <c r="E72" s="377">
        <f>'Attachment MM Supporting Data'!C23</f>
        <v>442686313.34455609</v>
      </c>
      <c r="F72" s="377">
        <f>'Attachment MM Supporting Data'!C39</f>
        <v>16897805.434046157</v>
      </c>
      <c r="G72" s="378">
        <f>ROUND($L$29,10)</f>
        <v>5.2239096899999997E-2</v>
      </c>
      <c r="H72" s="389">
        <f>F72*G72</f>
        <v>882726.09546648373</v>
      </c>
      <c r="I72" s="378">
        <f>ROUND($L$44,10)</f>
        <v>1.7145160100000001E-2</v>
      </c>
      <c r="J72" s="390">
        <f>E72*I72</f>
        <v>7589927.7163711814</v>
      </c>
      <c r="K72" s="379">
        <f>H72+J72</f>
        <v>8472653.8118376657</v>
      </c>
      <c r="L72" s="389">
        <f>E72-F72</f>
        <v>425788507.91050994</v>
      </c>
      <c r="M72" s="378">
        <f>ROUND($L$54,10)</f>
        <v>9.2936436799999994E-2</v>
      </c>
      <c r="N72" s="391">
        <f>L72*M72</f>
        <v>39571266.755591407</v>
      </c>
      <c r="O72" s="377">
        <f>'Attachment MM Supporting Data'!C61</f>
        <v>8952334.306681348</v>
      </c>
      <c r="P72" s="391">
        <f>K72+N72+O72</f>
        <v>56996254.874110423</v>
      </c>
      <c r="Q72" s="618">
        <v>3449666</v>
      </c>
      <c r="R72" s="391">
        <f>P72+Q72</f>
        <v>60445920.874110423</v>
      </c>
      <c r="S72" s="380"/>
      <c r="T72" s="599">
        <v>61706195.86686518</v>
      </c>
      <c r="U72" s="380"/>
      <c r="V72" s="380"/>
      <c r="W72" s="380"/>
      <c r="X72" s="380"/>
      <c r="Y72" s="380"/>
    </row>
    <row r="73" spans="1:69">
      <c r="A73" s="313"/>
      <c r="D73" s="314"/>
      <c r="K73" s="315"/>
      <c r="N73" s="315"/>
      <c r="P73" s="315"/>
      <c r="R73" s="315"/>
      <c r="S73" s="270"/>
      <c r="T73" s="270"/>
      <c r="U73" s="270"/>
      <c r="V73" s="270"/>
      <c r="W73" s="270"/>
      <c r="X73" s="270"/>
      <c r="Y73" s="270"/>
    </row>
    <row r="74" spans="1:69" ht="14.25">
      <c r="A74" s="313"/>
      <c r="D74" s="314"/>
      <c r="K74" s="315"/>
      <c r="N74" s="315"/>
      <c r="P74" s="315"/>
      <c r="R74" s="315"/>
      <c r="S74" s="270"/>
      <c r="T74" s="310"/>
      <c r="U74" s="270"/>
      <c r="V74" s="270"/>
      <c r="W74" s="270"/>
      <c r="X74" s="270"/>
      <c r="Y74" s="270"/>
    </row>
    <row r="75" spans="1:69" ht="14.25">
      <c r="A75" s="313"/>
      <c r="D75" s="314"/>
      <c r="K75" s="315"/>
      <c r="N75" s="315"/>
      <c r="P75" s="315"/>
      <c r="R75" s="315"/>
      <c r="S75" s="270"/>
      <c r="T75" s="310"/>
      <c r="U75" s="270"/>
      <c r="V75" s="270"/>
      <c r="W75" s="270"/>
      <c r="X75" s="270"/>
      <c r="Y75" s="270"/>
    </row>
    <row r="76" spans="1:69" ht="14.25">
      <c r="A76" s="313"/>
      <c r="D76" s="314"/>
      <c r="K76" s="315"/>
      <c r="N76" s="315"/>
      <c r="P76" s="315"/>
      <c r="R76" s="315"/>
      <c r="S76" s="270"/>
      <c r="T76" s="310"/>
      <c r="U76" s="270"/>
      <c r="V76" s="270"/>
      <c r="W76" s="270"/>
      <c r="X76" s="270"/>
      <c r="Y76" s="270"/>
    </row>
    <row r="77" spans="1:69" ht="14.25">
      <c r="A77" s="313"/>
      <c r="C77" s="270"/>
      <c r="D77" s="316"/>
      <c r="E77" s="270"/>
      <c r="F77" s="270"/>
      <c r="G77" s="270"/>
      <c r="H77" s="270"/>
      <c r="I77" s="270"/>
      <c r="J77" s="270"/>
      <c r="K77" s="317"/>
      <c r="L77" s="270"/>
      <c r="M77" s="270"/>
      <c r="N77" s="317"/>
      <c r="O77" s="270"/>
      <c r="P77" s="317"/>
      <c r="Q77" s="270"/>
      <c r="R77" s="317"/>
      <c r="S77" s="270"/>
      <c r="T77" s="310"/>
      <c r="U77" s="270"/>
      <c r="V77" s="270"/>
      <c r="W77" s="270"/>
      <c r="X77" s="270"/>
      <c r="Y77" s="270"/>
    </row>
    <row r="78" spans="1:69" ht="14.25">
      <c r="A78" s="313"/>
      <c r="C78" s="270"/>
      <c r="D78" s="316"/>
      <c r="E78" s="270"/>
      <c r="F78" s="270"/>
      <c r="G78" s="270"/>
      <c r="H78" s="270"/>
      <c r="I78" s="270"/>
      <c r="J78" s="270"/>
      <c r="K78" s="317"/>
      <c r="L78" s="270"/>
      <c r="M78" s="270"/>
      <c r="N78" s="317"/>
      <c r="O78" s="270"/>
      <c r="P78" s="317"/>
      <c r="Q78" s="270"/>
      <c r="R78" s="317"/>
      <c r="S78" s="270"/>
      <c r="T78" s="310"/>
      <c r="U78" s="270"/>
      <c r="V78" s="270"/>
      <c r="W78" s="270"/>
      <c r="X78" s="270"/>
      <c r="Y78" s="270"/>
    </row>
    <row r="79" spans="1:69" ht="14.25">
      <c r="A79" s="313"/>
      <c r="C79" s="270"/>
      <c r="D79" s="316"/>
      <c r="E79" s="270"/>
      <c r="F79" s="270"/>
      <c r="G79" s="270"/>
      <c r="H79" s="270"/>
      <c r="I79" s="270"/>
      <c r="J79" s="270"/>
      <c r="K79" s="317"/>
      <c r="L79" s="270"/>
      <c r="M79" s="270"/>
      <c r="N79" s="317"/>
      <c r="O79" s="270"/>
      <c r="P79" s="317"/>
      <c r="Q79" s="270"/>
      <c r="R79" s="317"/>
      <c r="S79" s="270"/>
      <c r="T79" s="310"/>
      <c r="U79" s="270"/>
      <c r="V79" s="270"/>
      <c r="W79" s="270"/>
      <c r="X79" s="270"/>
      <c r="Y79" s="270"/>
    </row>
    <row r="80" spans="1:69" ht="14.25">
      <c r="A80" s="313"/>
      <c r="C80" s="270"/>
      <c r="D80" s="316"/>
      <c r="E80" s="270"/>
      <c r="F80" s="270"/>
      <c r="G80" s="270"/>
      <c r="H80" s="270"/>
      <c r="I80" s="270"/>
      <c r="J80" s="270"/>
      <c r="K80" s="317"/>
      <c r="L80" s="270"/>
      <c r="M80" s="270"/>
      <c r="N80" s="317"/>
      <c r="O80" s="270"/>
      <c r="P80" s="317"/>
      <c r="Q80" s="270"/>
      <c r="R80" s="317"/>
      <c r="S80" s="270"/>
      <c r="T80" s="310"/>
      <c r="U80" s="270"/>
      <c r="V80" s="270"/>
      <c r="W80" s="270"/>
      <c r="X80" s="270"/>
      <c r="Y80" s="270"/>
    </row>
    <row r="81" spans="1:25" ht="14.25">
      <c r="A81" s="313"/>
      <c r="C81" s="270"/>
      <c r="D81" s="316"/>
      <c r="E81" s="270"/>
      <c r="F81" s="270"/>
      <c r="G81" s="270"/>
      <c r="H81" s="270"/>
      <c r="I81" s="270"/>
      <c r="J81" s="270"/>
      <c r="K81" s="317"/>
      <c r="L81" s="270"/>
      <c r="M81" s="270"/>
      <c r="N81" s="317"/>
      <c r="O81" s="270"/>
      <c r="P81" s="317"/>
      <c r="Q81" s="270"/>
      <c r="R81" s="317"/>
      <c r="S81" s="270"/>
      <c r="T81" s="310"/>
      <c r="U81" s="270"/>
      <c r="V81" s="270"/>
      <c r="W81" s="270"/>
      <c r="X81" s="270"/>
      <c r="Y81" s="270"/>
    </row>
    <row r="82" spans="1:25" ht="14.25">
      <c r="A82" s="313"/>
      <c r="C82" s="270"/>
      <c r="D82" s="316"/>
      <c r="E82" s="270"/>
      <c r="F82" s="270"/>
      <c r="G82" s="270"/>
      <c r="H82" s="270"/>
      <c r="I82" s="270"/>
      <c r="J82" s="270"/>
      <c r="K82" s="317"/>
      <c r="L82" s="270"/>
      <c r="M82" s="270"/>
      <c r="N82" s="317"/>
      <c r="O82" s="270"/>
      <c r="P82" s="317"/>
      <c r="Q82" s="270"/>
      <c r="R82" s="317"/>
      <c r="S82" s="270"/>
      <c r="T82" s="310"/>
      <c r="U82" s="270"/>
      <c r="V82" s="270"/>
      <c r="W82" s="270"/>
      <c r="X82" s="270"/>
      <c r="Y82" s="270"/>
    </row>
    <row r="83" spans="1:25" ht="14.25">
      <c r="A83" s="313"/>
      <c r="C83" s="270"/>
      <c r="D83" s="316"/>
      <c r="E83" s="270"/>
      <c r="F83" s="270"/>
      <c r="G83" s="270"/>
      <c r="H83" s="270"/>
      <c r="I83" s="270"/>
      <c r="J83" s="270"/>
      <c r="K83" s="317"/>
      <c r="L83" s="270"/>
      <c r="M83" s="270"/>
      <c r="N83" s="317"/>
      <c r="O83" s="270"/>
      <c r="P83" s="317"/>
      <c r="Q83" s="270"/>
      <c r="R83" s="317"/>
      <c r="S83" s="270"/>
      <c r="T83" s="310"/>
      <c r="U83" s="270"/>
      <c r="V83" s="270"/>
      <c r="W83" s="270"/>
      <c r="X83" s="270"/>
      <c r="Y83" s="270"/>
    </row>
    <row r="84" spans="1:25" ht="14.25">
      <c r="A84" s="313"/>
      <c r="C84" s="270"/>
      <c r="D84" s="316"/>
      <c r="E84" s="270"/>
      <c r="F84" s="270"/>
      <c r="G84" s="270"/>
      <c r="H84" s="270"/>
      <c r="I84" s="270"/>
      <c r="J84" s="270"/>
      <c r="K84" s="317"/>
      <c r="L84" s="270"/>
      <c r="M84" s="270"/>
      <c r="N84" s="317"/>
      <c r="O84" s="270"/>
      <c r="P84" s="317"/>
      <c r="Q84" s="270"/>
      <c r="R84" s="317"/>
      <c r="S84" s="270"/>
      <c r="T84" s="310"/>
      <c r="U84" s="270"/>
      <c r="V84" s="270"/>
      <c r="W84" s="270"/>
      <c r="X84" s="270"/>
      <c r="Y84" s="270"/>
    </row>
    <row r="85" spans="1:25" ht="14.25">
      <c r="A85" s="313"/>
      <c r="C85" s="270"/>
      <c r="D85" s="316"/>
      <c r="E85" s="270"/>
      <c r="F85" s="270"/>
      <c r="G85" s="270"/>
      <c r="H85" s="270"/>
      <c r="I85" s="270"/>
      <c r="J85" s="270"/>
      <c r="K85" s="317"/>
      <c r="L85" s="270"/>
      <c r="M85" s="270"/>
      <c r="N85" s="317"/>
      <c r="O85" s="270"/>
      <c r="P85" s="317"/>
      <c r="Q85" s="270"/>
      <c r="R85" s="317"/>
      <c r="S85" s="270"/>
      <c r="T85" s="310"/>
      <c r="U85" s="270"/>
      <c r="V85" s="270"/>
      <c r="W85" s="270"/>
      <c r="X85" s="270"/>
      <c r="Y85" s="270"/>
    </row>
    <row r="86" spans="1:25" ht="14.25">
      <c r="A86" s="313"/>
      <c r="C86" s="270"/>
      <c r="D86" s="316"/>
      <c r="E86" s="270"/>
      <c r="F86" s="270"/>
      <c r="G86" s="270"/>
      <c r="H86" s="270"/>
      <c r="I86" s="270"/>
      <c r="J86" s="270"/>
      <c r="K86" s="317"/>
      <c r="L86" s="270"/>
      <c r="M86" s="270"/>
      <c r="N86" s="317"/>
      <c r="O86" s="270"/>
      <c r="P86" s="317"/>
      <c r="Q86" s="270"/>
      <c r="R86" s="317"/>
      <c r="S86" s="270"/>
      <c r="T86" s="310"/>
      <c r="U86" s="270"/>
      <c r="V86" s="270"/>
      <c r="W86" s="270"/>
      <c r="X86" s="270"/>
      <c r="Y86" s="270"/>
    </row>
    <row r="87" spans="1:25" ht="14.25">
      <c r="A87" s="313"/>
      <c r="C87" s="270"/>
      <c r="D87" s="316"/>
      <c r="E87" s="270"/>
      <c r="F87" s="270"/>
      <c r="G87" s="270"/>
      <c r="H87" s="270"/>
      <c r="I87" s="270"/>
      <c r="J87" s="270"/>
      <c r="K87" s="317"/>
      <c r="L87" s="270"/>
      <c r="M87" s="270"/>
      <c r="N87" s="317"/>
      <c r="O87" s="270"/>
      <c r="P87" s="317"/>
      <c r="Q87" s="270"/>
      <c r="R87" s="317"/>
      <c r="S87" s="270"/>
      <c r="T87" s="310"/>
      <c r="U87" s="270"/>
      <c r="V87" s="270"/>
      <c r="W87" s="270"/>
      <c r="X87" s="270"/>
      <c r="Y87" s="270"/>
    </row>
    <row r="88" spans="1:25" ht="14.25">
      <c r="A88" s="318"/>
      <c r="B88" s="319"/>
      <c r="C88" s="320"/>
      <c r="D88" s="320"/>
      <c r="E88" s="320"/>
      <c r="F88" s="320"/>
      <c r="G88" s="320"/>
      <c r="H88" s="320"/>
      <c r="I88" s="320"/>
      <c r="J88" s="320"/>
      <c r="K88" s="321"/>
      <c r="L88" s="320"/>
      <c r="M88" s="320"/>
      <c r="N88" s="321"/>
      <c r="O88" s="320"/>
      <c r="P88" s="321"/>
      <c r="Q88" s="320"/>
      <c r="R88" s="321"/>
      <c r="S88" s="270"/>
      <c r="T88" s="310"/>
      <c r="U88" s="270"/>
      <c r="V88" s="270"/>
      <c r="W88" s="270"/>
      <c r="X88" s="270"/>
      <c r="Y88" s="270"/>
    </row>
    <row r="89" spans="1:25" ht="15">
      <c r="A89" s="234" t="s">
        <v>385</v>
      </c>
      <c r="B89" s="298"/>
      <c r="C89" s="235" t="s">
        <v>457</v>
      </c>
      <c r="D89" s="235"/>
      <c r="E89" s="235"/>
      <c r="F89" s="235"/>
      <c r="G89" s="235"/>
      <c r="H89" s="245"/>
      <c r="I89" s="245"/>
      <c r="J89" s="228"/>
      <c r="K89" s="228"/>
      <c r="L89" s="228"/>
      <c r="M89" s="228"/>
      <c r="N89" s="228"/>
      <c r="O89" s="228"/>
      <c r="P89" s="272">
        <f>SUM(P72:P88)</f>
        <v>56996254.874110423</v>
      </c>
      <c r="Q89" s="513">
        <f>SUM(Q72:Q88)</f>
        <v>3449666</v>
      </c>
      <c r="R89" s="272">
        <f>SUM(R72:R88)</f>
        <v>60445920.874110423</v>
      </c>
      <c r="S89" s="270"/>
      <c r="T89" s="329">
        <f>T72</f>
        <v>61706195.86686518</v>
      </c>
      <c r="U89" s="270"/>
      <c r="V89" s="270"/>
      <c r="W89" s="270"/>
      <c r="X89" s="270"/>
      <c r="Y89" s="270"/>
    </row>
    <row r="90" spans="1:25" ht="14.25">
      <c r="A90" s="270"/>
      <c r="B90" s="270"/>
      <c r="C90" s="270"/>
      <c r="D90" s="270"/>
      <c r="E90" s="270"/>
      <c r="F90" s="270"/>
      <c r="G90" s="270"/>
      <c r="H90" s="270"/>
      <c r="I90" s="270"/>
      <c r="J90" s="270"/>
      <c r="K90" s="270"/>
      <c r="L90" s="270"/>
      <c r="M90" s="270"/>
      <c r="N90" s="270"/>
      <c r="O90" s="270"/>
      <c r="P90" s="270"/>
      <c r="Q90" s="270"/>
      <c r="R90" s="270"/>
      <c r="S90" s="270"/>
      <c r="T90" s="310"/>
      <c r="U90" s="270"/>
      <c r="V90" s="270"/>
      <c r="W90" s="270"/>
      <c r="X90" s="270"/>
      <c r="Y90" s="270"/>
    </row>
    <row r="91" spans="1:25" ht="15">
      <c r="A91" s="271">
        <v>3</v>
      </c>
      <c r="B91" s="270"/>
      <c r="C91" s="253" t="s">
        <v>387</v>
      </c>
      <c r="D91" s="253"/>
      <c r="E91" s="253"/>
      <c r="F91" s="253"/>
      <c r="G91" s="270"/>
      <c r="H91" s="270"/>
      <c r="I91" s="270"/>
      <c r="J91" s="270"/>
      <c r="K91" s="270"/>
      <c r="L91" s="270"/>
      <c r="M91" s="270"/>
      <c r="N91" s="270"/>
      <c r="O91" s="270"/>
      <c r="P91" s="272">
        <f>P89</f>
        <v>56996254.874110423</v>
      </c>
      <c r="Q91" s="273"/>
      <c r="S91" s="270"/>
      <c r="T91" s="310"/>
      <c r="U91" s="270"/>
      <c r="V91" s="270"/>
      <c r="W91" s="270"/>
      <c r="X91" s="270"/>
      <c r="Y91" s="270"/>
    </row>
    <row r="92" spans="1:25" ht="14.25" hidden="1">
      <c r="A92" s="270"/>
      <c r="B92" s="270"/>
      <c r="C92" s="270"/>
      <c r="D92" s="270"/>
      <c r="E92" s="270"/>
      <c r="F92" s="270"/>
      <c r="G92" s="270"/>
      <c r="H92" s="270"/>
      <c r="I92" s="270"/>
      <c r="J92" s="270"/>
      <c r="K92" s="270"/>
      <c r="L92" s="270"/>
      <c r="M92" s="270"/>
      <c r="N92" s="270"/>
      <c r="O92" s="270"/>
      <c r="P92" s="270"/>
      <c r="Q92" s="270"/>
      <c r="R92" s="270"/>
      <c r="S92" s="270"/>
      <c r="T92" s="310"/>
      <c r="U92" s="270"/>
      <c r="V92" s="270"/>
      <c r="W92" s="270"/>
      <c r="X92" s="270"/>
      <c r="Y92" s="270"/>
    </row>
    <row r="93" spans="1:25" ht="14.25" hidden="1">
      <c r="A93" s="270"/>
      <c r="B93" s="270"/>
      <c r="C93" s="270"/>
      <c r="D93" s="270"/>
      <c r="E93" s="270"/>
      <c r="F93" s="270"/>
      <c r="G93" s="270"/>
      <c r="H93" s="270"/>
      <c r="I93" s="270"/>
      <c r="J93" s="270"/>
      <c r="K93" s="270"/>
      <c r="L93" s="270"/>
      <c r="M93" s="270"/>
      <c r="N93" s="270"/>
      <c r="O93" s="270"/>
      <c r="P93" s="270"/>
      <c r="Q93" s="270"/>
      <c r="R93" s="270"/>
      <c r="S93" s="270"/>
      <c r="T93" s="310"/>
      <c r="U93" s="270"/>
      <c r="V93" s="270"/>
      <c r="W93" s="270"/>
      <c r="X93" s="270"/>
      <c r="Y93" s="270"/>
    </row>
    <row r="94" spans="1:25" ht="15">
      <c r="A94" s="253" t="s">
        <v>388</v>
      </c>
      <c r="B94" s="270"/>
      <c r="C94" s="270"/>
      <c r="D94" s="270"/>
      <c r="E94" s="270"/>
      <c r="F94" s="270"/>
      <c r="G94" s="270"/>
      <c r="H94" s="270"/>
      <c r="I94" s="270"/>
      <c r="J94" s="270"/>
      <c r="K94" s="270"/>
      <c r="L94" s="270"/>
      <c r="M94" s="270"/>
      <c r="N94" s="270"/>
      <c r="O94" s="270"/>
      <c r="P94" s="270"/>
      <c r="Q94" s="270"/>
      <c r="R94" s="270"/>
      <c r="S94" s="270"/>
      <c r="T94" s="511"/>
      <c r="U94" s="270"/>
      <c r="V94" s="270"/>
      <c r="W94" s="270"/>
      <c r="X94" s="270"/>
      <c r="Y94" s="270"/>
    </row>
    <row r="95" spans="1:25" ht="15.75" thickBot="1">
      <c r="A95" s="274" t="s">
        <v>389</v>
      </c>
      <c r="B95" s="270"/>
      <c r="C95" s="270"/>
      <c r="D95" s="270"/>
      <c r="E95" s="270"/>
      <c r="F95" s="270"/>
      <c r="G95" s="270"/>
      <c r="H95" s="270"/>
      <c r="I95" s="270"/>
      <c r="J95" s="270"/>
      <c r="K95" s="270"/>
      <c r="L95" s="270"/>
      <c r="M95" s="270"/>
      <c r="N95" s="270"/>
      <c r="O95" s="270"/>
      <c r="P95" s="270"/>
      <c r="Q95" s="270"/>
      <c r="R95" s="270"/>
      <c r="S95" s="270"/>
      <c r="T95" s="511">
        <f>T89-Q89</f>
        <v>58256529.86686518</v>
      </c>
      <c r="U95" s="270"/>
      <c r="V95" s="270"/>
      <c r="W95" s="270"/>
      <c r="X95" s="270"/>
      <c r="Y95" s="270"/>
    </row>
    <row r="96" spans="1:25" s="312" customFormat="1" ht="17.100000000000001" customHeight="1">
      <c r="A96" s="322" t="s">
        <v>37</v>
      </c>
      <c r="C96" s="703" t="s">
        <v>458</v>
      </c>
      <c r="D96" s="703"/>
      <c r="E96" s="703"/>
      <c r="F96" s="703"/>
      <c r="G96" s="703"/>
      <c r="H96" s="703"/>
      <c r="I96" s="703"/>
      <c r="J96" s="703"/>
      <c r="K96" s="703"/>
      <c r="L96" s="703"/>
      <c r="M96" s="703"/>
      <c r="N96" s="703"/>
      <c r="O96" s="703"/>
      <c r="P96" s="703"/>
      <c r="Q96" s="703"/>
      <c r="R96" s="703"/>
      <c r="T96" s="511"/>
    </row>
    <row r="97" spans="1:25" s="312" customFormat="1" ht="17.100000000000001" customHeight="1">
      <c r="A97" s="322"/>
      <c r="C97" s="324" t="s">
        <v>459</v>
      </c>
      <c r="D97" s="562"/>
      <c r="E97" s="562"/>
      <c r="F97" s="562"/>
      <c r="G97" s="562"/>
      <c r="H97" s="562"/>
      <c r="I97" s="562"/>
      <c r="J97" s="562"/>
      <c r="K97" s="562"/>
      <c r="L97" s="562"/>
      <c r="M97" s="562"/>
      <c r="N97" s="562"/>
      <c r="O97" s="562"/>
      <c r="P97" s="562"/>
      <c r="Q97" s="562"/>
      <c r="R97" s="562"/>
      <c r="T97" s="310"/>
    </row>
    <row r="98" spans="1:25" s="312" customFormat="1" ht="17.100000000000001" customHeight="1">
      <c r="A98" s="322" t="s">
        <v>38</v>
      </c>
      <c r="C98" s="703" t="s">
        <v>460</v>
      </c>
      <c r="D98" s="703"/>
      <c r="E98" s="703"/>
      <c r="F98" s="703"/>
      <c r="G98" s="703"/>
      <c r="H98" s="703"/>
      <c r="I98" s="703"/>
      <c r="J98" s="703"/>
      <c r="K98" s="703"/>
      <c r="L98" s="703"/>
      <c r="M98" s="703"/>
      <c r="N98" s="703"/>
      <c r="O98" s="703"/>
      <c r="P98" s="703"/>
      <c r="Q98" s="703"/>
      <c r="R98" s="703"/>
      <c r="T98" s="310"/>
    </row>
    <row r="99" spans="1:25" s="312" customFormat="1" ht="17.100000000000001" customHeight="1">
      <c r="A99" s="322" t="s">
        <v>39</v>
      </c>
      <c r="C99" s="703" t="s">
        <v>461</v>
      </c>
      <c r="D99" s="703"/>
      <c r="E99" s="703"/>
      <c r="F99" s="703"/>
      <c r="G99" s="703"/>
      <c r="H99" s="703"/>
      <c r="I99" s="703"/>
      <c r="J99" s="703"/>
      <c r="K99" s="703"/>
      <c r="L99" s="703"/>
      <c r="M99" s="703"/>
      <c r="N99" s="703"/>
      <c r="O99" s="703"/>
      <c r="P99" s="703"/>
      <c r="Q99" s="703"/>
      <c r="R99" s="703"/>
      <c r="T99" s="310"/>
    </row>
    <row r="100" spans="1:25" s="312" customFormat="1" ht="17.100000000000001" customHeight="1">
      <c r="A100" s="322"/>
      <c r="C100" s="703" t="s">
        <v>462</v>
      </c>
      <c r="D100" s="703"/>
      <c r="E100" s="703"/>
      <c r="F100" s="703"/>
      <c r="G100" s="703"/>
      <c r="H100" s="703"/>
      <c r="I100" s="703"/>
      <c r="J100" s="703"/>
      <c r="K100" s="703"/>
      <c r="L100" s="703"/>
      <c r="M100" s="703"/>
      <c r="N100" s="703"/>
      <c r="O100" s="703"/>
      <c r="P100" s="703"/>
      <c r="Q100" s="703"/>
      <c r="R100" s="703"/>
      <c r="T100" s="310"/>
    </row>
    <row r="101" spans="1:25" s="312" customFormat="1" ht="17.100000000000001" customHeight="1">
      <c r="A101" s="322" t="s">
        <v>391</v>
      </c>
      <c r="C101" s="703" t="s">
        <v>463</v>
      </c>
      <c r="D101" s="703"/>
      <c r="E101" s="703"/>
      <c r="F101" s="703"/>
      <c r="G101" s="703"/>
      <c r="H101" s="703"/>
      <c r="I101" s="703"/>
      <c r="J101" s="703"/>
      <c r="K101" s="703"/>
      <c r="L101" s="703"/>
      <c r="M101" s="703"/>
      <c r="N101" s="703"/>
      <c r="O101" s="703"/>
      <c r="P101" s="703"/>
      <c r="Q101" s="703"/>
      <c r="R101" s="703"/>
    </row>
    <row r="102" spans="1:25" s="312" customFormat="1" ht="17.100000000000001" customHeight="1">
      <c r="A102" s="325" t="s">
        <v>40</v>
      </c>
      <c r="C102" s="703" t="s">
        <v>393</v>
      </c>
      <c r="D102" s="703"/>
      <c r="E102" s="703"/>
      <c r="F102" s="703"/>
      <c r="G102" s="703"/>
      <c r="H102" s="703"/>
      <c r="I102" s="703"/>
      <c r="J102" s="703"/>
      <c r="K102" s="703"/>
      <c r="L102" s="703"/>
      <c r="M102" s="703"/>
      <c r="N102" s="703"/>
      <c r="O102" s="703"/>
      <c r="P102" s="703"/>
      <c r="Q102" s="703"/>
      <c r="R102" s="703"/>
    </row>
    <row r="103" spans="1:25" s="312" customFormat="1" ht="17.100000000000001" customHeight="1">
      <c r="A103" s="325" t="s">
        <v>53</v>
      </c>
      <c r="C103" s="703" t="s">
        <v>464</v>
      </c>
      <c r="D103" s="703"/>
      <c r="E103" s="703"/>
      <c r="F103" s="703"/>
      <c r="G103" s="703"/>
      <c r="H103" s="703"/>
      <c r="I103" s="703"/>
      <c r="J103" s="703"/>
      <c r="K103" s="703"/>
      <c r="L103" s="703"/>
      <c r="M103" s="703"/>
      <c r="N103" s="703"/>
      <c r="O103" s="703"/>
      <c r="P103" s="703"/>
      <c r="Q103" s="703"/>
      <c r="R103" s="703"/>
    </row>
    <row r="104" spans="1:25" s="312" customFormat="1" ht="17.100000000000001" customHeight="1">
      <c r="A104" s="325" t="s">
        <v>54</v>
      </c>
      <c r="C104" s="703" t="s">
        <v>465</v>
      </c>
      <c r="D104" s="703"/>
      <c r="E104" s="703"/>
      <c r="F104" s="703"/>
      <c r="G104" s="703"/>
      <c r="H104" s="703"/>
      <c r="I104" s="703"/>
      <c r="J104" s="703"/>
      <c r="K104" s="703"/>
      <c r="L104" s="703"/>
      <c r="M104" s="703"/>
      <c r="N104" s="703"/>
      <c r="O104" s="703"/>
      <c r="P104" s="703"/>
      <c r="Q104" s="703"/>
      <c r="R104" s="703"/>
    </row>
    <row r="105" spans="1:25" s="312" customFormat="1" ht="17.100000000000001" customHeight="1">
      <c r="A105" s="325" t="s">
        <v>395</v>
      </c>
      <c r="C105" s="704" t="s">
        <v>466</v>
      </c>
      <c r="D105" s="704"/>
      <c r="E105" s="704"/>
      <c r="F105" s="704"/>
      <c r="G105" s="704"/>
      <c r="H105" s="704"/>
      <c r="I105" s="704"/>
      <c r="J105" s="704"/>
      <c r="K105" s="704"/>
      <c r="L105" s="704"/>
      <c r="M105" s="704"/>
      <c r="N105" s="704"/>
      <c r="O105" s="704"/>
      <c r="P105" s="704"/>
      <c r="Q105" s="704"/>
      <c r="R105" s="704"/>
    </row>
    <row r="106" spans="1:25" ht="17.100000000000001" customHeight="1">
      <c r="A106" s="326"/>
      <c r="B106" s="270"/>
      <c r="C106" s="270"/>
      <c r="D106" s="270"/>
      <c r="E106" s="270"/>
      <c r="F106" s="270"/>
      <c r="G106" s="270"/>
      <c r="H106" s="270"/>
      <c r="I106" s="270"/>
      <c r="J106" s="270"/>
      <c r="K106" s="270"/>
      <c r="L106" s="270"/>
      <c r="M106" s="270"/>
      <c r="N106" s="270"/>
      <c r="O106" s="270"/>
      <c r="P106" s="270"/>
      <c r="Q106" s="270"/>
      <c r="R106" s="270"/>
      <c r="S106" s="270"/>
      <c r="T106" s="270"/>
      <c r="U106" s="270"/>
      <c r="V106" s="270"/>
      <c r="W106" s="270"/>
      <c r="X106" s="270"/>
      <c r="Y106" s="270"/>
    </row>
    <row r="107" spans="1:25" ht="17.100000000000001" customHeight="1">
      <c r="A107" s="327"/>
      <c r="B107" s="253"/>
      <c r="C107" s="234"/>
      <c r="D107" s="234"/>
      <c r="E107" s="234"/>
      <c r="F107" s="234"/>
      <c r="G107" s="234"/>
      <c r="H107" s="245"/>
      <c r="I107" s="245"/>
      <c r="J107" s="228"/>
      <c r="K107" s="228"/>
      <c r="L107" s="253"/>
      <c r="M107" s="253"/>
      <c r="N107" s="242"/>
      <c r="O107" s="253"/>
      <c r="Q107" s="228"/>
      <c r="R107" s="328"/>
      <c r="S107" s="270"/>
      <c r="T107" s="270"/>
      <c r="U107" s="270"/>
      <c r="V107" s="270"/>
      <c r="W107" s="270"/>
      <c r="X107" s="270"/>
      <c r="Y107" s="270"/>
    </row>
    <row r="108" spans="1:25" ht="15">
      <c r="A108" s="327"/>
      <c r="B108" s="253"/>
      <c r="C108" s="234"/>
      <c r="D108" s="234"/>
      <c r="E108" s="234"/>
      <c r="F108" s="234"/>
      <c r="G108" s="234"/>
      <c r="H108" s="245"/>
      <c r="I108" s="245"/>
      <c r="J108" s="228"/>
      <c r="K108" s="228"/>
      <c r="L108" s="253"/>
      <c r="M108" s="253"/>
      <c r="N108" s="242"/>
      <c r="O108" s="253"/>
      <c r="P108" s="272"/>
      <c r="Q108" s="272"/>
      <c r="R108" s="272"/>
      <c r="S108" s="270"/>
      <c r="T108" s="329"/>
      <c r="U108" s="270"/>
      <c r="V108" s="270"/>
      <c r="W108" s="270"/>
      <c r="X108" s="270"/>
      <c r="Y108" s="270"/>
    </row>
    <row r="109" spans="1:25" ht="15">
      <c r="C109" s="270"/>
      <c r="D109" s="270"/>
      <c r="E109" s="270"/>
      <c r="F109" s="270"/>
      <c r="G109" s="270"/>
      <c r="H109" s="270"/>
      <c r="I109" s="270"/>
      <c r="J109" s="270"/>
      <c r="K109" s="270"/>
      <c r="L109" s="270"/>
      <c r="M109" s="270"/>
      <c r="N109" s="270"/>
      <c r="O109" s="270"/>
      <c r="P109" s="272"/>
      <c r="Q109" s="272"/>
      <c r="R109" s="272"/>
      <c r="S109" s="272"/>
      <c r="T109" s="272"/>
      <c r="U109" s="270"/>
      <c r="V109" s="270"/>
      <c r="W109" s="270"/>
      <c r="X109" s="270"/>
      <c r="Y109" s="270"/>
    </row>
    <row r="110" spans="1:25">
      <c r="C110" s="270"/>
      <c r="D110" s="270"/>
      <c r="E110" s="270"/>
      <c r="F110" s="270"/>
      <c r="G110" s="270"/>
      <c r="H110" s="270"/>
      <c r="I110" s="270"/>
      <c r="J110" s="270"/>
      <c r="K110" s="270"/>
      <c r="L110" s="270"/>
      <c r="M110" s="270"/>
      <c r="N110" s="270"/>
      <c r="O110" s="270"/>
      <c r="P110" s="270"/>
      <c r="Q110" s="270"/>
      <c r="R110" s="270"/>
      <c r="S110" s="270"/>
      <c r="T110" s="270"/>
      <c r="U110" s="270"/>
      <c r="V110" s="270"/>
      <c r="W110" s="270"/>
      <c r="X110" s="270"/>
      <c r="Y110" s="270"/>
    </row>
    <row r="111" spans="1:25">
      <c r="C111" s="270"/>
      <c r="D111" s="270"/>
      <c r="E111" s="270"/>
      <c r="F111" s="270"/>
      <c r="G111" s="270"/>
      <c r="H111" s="270"/>
      <c r="I111" s="270"/>
      <c r="J111" s="270"/>
      <c r="K111" s="270"/>
      <c r="L111" s="270"/>
      <c r="M111" s="270"/>
      <c r="N111" s="270"/>
      <c r="O111" s="270"/>
      <c r="P111" s="270"/>
      <c r="Q111" s="270"/>
      <c r="R111" s="270"/>
      <c r="S111" s="270"/>
      <c r="T111" s="270"/>
      <c r="U111" s="270"/>
      <c r="V111" s="270"/>
      <c r="W111" s="270"/>
      <c r="X111" s="270"/>
      <c r="Y111" s="270"/>
    </row>
    <row r="112" spans="1:25">
      <c r="C112" s="270"/>
      <c r="D112" s="270"/>
      <c r="E112" s="270"/>
      <c r="F112" s="270"/>
      <c r="G112" s="270"/>
      <c r="H112" s="270"/>
      <c r="I112" s="270"/>
      <c r="J112" s="270"/>
      <c r="K112" s="270"/>
      <c r="L112" s="270"/>
      <c r="M112" s="270"/>
      <c r="N112" s="270"/>
      <c r="O112" s="270"/>
      <c r="P112" s="270"/>
      <c r="Q112" s="270"/>
      <c r="R112" s="270"/>
      <c r="S112" s="270"/>
      <c r="T112" s="270"/>
      <c r="U112" s="270"/>
      <c r="V112" s="270"/>
      <c r="W112" s="270"/>
      <c r="X112" s="270"/>
      <c r="Y112" s="270"/>
    </row>
    <row r="113" spans="3:25">
      <c r="C113" s="270"/>
      <c r="D113" s="270"/>
      <c r="E113" s="270"/>
      <c r="F113" s="270"/>
      <c r="G113" s="270"/>
      <c r="H113" s="270"/>
      <c r="I113" s="270"/>
      <c r="J113" s="270"/>
      <c r="K113" s="270"/>
      <c r="L113" s="270"/>
      <c r="M113" s="270"/>
      <c r="N113" s="270"/>
      <c r="O113" s="270"/>
      <c r="P113" s="270"/>
      <c r="Q113" s="270"/>
      <c r="R113" s="270"/>
      <c r="S113" s="270"/>
      <c r="T113" s="270"/>
      <c r="U113" s="270"/>
      <c r="V113" s="270"/>
      <c r="W113" s="270"/>
      <c r="X113" s="270"/>
      <c r="Y113" s="270"/>
    </row>
    <row r="114" spans="3:25">
      <c r="C114" s="270"/>
      <c r="D114" s="270"/>
      <c r="E114" s="270"/>
      <c r="F114" s="270"/>
      <c r="G114" s="270"/>
      <c r="H114" s="270"/>
      <c r="I114" s="270"/>
      <c r="J114" s="270"/>
      <c r="K114" s="270"/>
      <c r="L114" s="270"/>
      <c r="M114" s="270"/>
      <c r="N114" s="270"/>
      <c r="O114" s="270"/>
      <c r="P114" s="270"/>
      <c r="Q114" s="270"/>
      <c r="R114" s="270"/>
      <c r="S114" s="270"/>
      <c r="T114" s="270"/>
      <c r="U114" s="270"/>
      <c r="V114" s="270"/>
      <c r="W114" s="270"/>
      <c r="X114" s="270"/>
      <c r="Y114" s="270"/>
    </row>
    <row r="115" spans="3:25">
      <c r="C115" s="270"/>
      <c r="D115" s="270"/>
      <c r="E115" s="270"/>
      <c r="F115" s="270"/>
      <c r="G115" s="270"/>
      <c r="H115" s="270"/>
      <c r="I115" s="270"/>
      <c r="J115" s="270"/>
      <c r="K115" s="270"/>
      <c r="L115" s="270"/>
      <c r="M115" s="270"/>
      <c r="N115" s="270"/>
      <c r="O115" s="270"/>
      <c r="P115" s="270"/>
      <c r="Q115" s="270"/>
      <c r="R115" s="270"/>
      <c r="S115" s="270"/>
      <c r="T115" s="270"/>
      <c r="U115" s="270"/>
      <c r="V115" s="270"/>
      <c r="W115" s="270"/>
      <c r="X115" s="270"/>
      <c r="Y115" s="270"/>
    </row>
    <row r="116" spans="3:25">
      <c r="C116" s="270"/>
      <c r="D116" s="270"/>
      <c r="E116" s="270"/>
      <c r="F116" s="270"/>
      <c r="G116" s="270"/>
      <c r="H116" s="270"/>
      <c r="I116" s="270"/>
      <c r="J116" s="270"/>
      <c r="K116" s="270"/>
      <c r="L116" s="270"/>
      <c r="M116" s="270"/>
      <c r="N116" s="270"/>
      <c r="O116" s="270"/>
      <c r="P116" s="270"/>
      <c r="Q116" s="270"/>
      <c r="R116" s="270"/>
      <c r="S116" s="270"/>
      <c r="T116" s="270"/>
      <c r="U116" s="270"/>
      <c r="V116" s="270"/>
      <c r="W116" s="270"/>
      <c r="X116" s="270"/>
      <c r="Y116" s="270"/>
    </row>
    <row r="117" spans="3:25">
      <c r="C117" s="270"/>
      <c r="D117" s="270"/>
      <c r="E117" s="270"/>
      <c r="F117" s="270"/>
      <c r="G117" s="270"/>
      <c r="H117" s="270"/>
      <c r="I117" s="270"/>
      <c r="J117" s="270"/>
      <c r="K117" s="270"/>
      <c r="L117" s="270"/>
      <c r="M117" s="270"/>
      <c r="N117" s="270"/>
      <c r="O117" s="270"/>
      <c r="P117" s="270"/>
      <c r="Q117" s="270"/>
      <c r="R117" s="270"/>
      <c r="S117" s="270"/>
      <c r="T117" s="270"/>
      <c r="U117" s="270"/>
      <c r="V117" s="270"/>
      <c r="W117" s="270"/>
      <c r="X117" s="270"/>
      <c r="Y117" s="270"/>
    </row>
    <row r="118" spans="3:25">
      <c r="C118" s="270"/>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row>
    <row r="119" spans="3:25">
      <c r="C119" s="270"/>
      <c r="D119" s="270"/>
      <c r="E119" s="270"/>
      <c r="F119" s="270"/>
      <c r="G119" s="270"/>
      <c r="H119" s="270"/>
      <c r="I119" s="270"/>
      <c r="J119" s="270"/>
      <c r="K119" s="270"/>
      <c r="L119" s="270"/>
      <c r="M119" s="270"/>
      <c r="N119" s="270"/>
      <c r="O119" s="270"/>
      <c r="P119" s="270"/>
      <c r="Q119" s="270"/>
      <c r="R119" s="270"/>
      <c r="S119" s="270"/>
      <c r="T119" s="270"/>
      <c r="U119" s="270"/>
      <c r="V119" s="270"/>
      <c r="W119" s="270"/>
      <c r="X119" s="270"/>
      <c r="Y119" s="270"/>
    </row>
    <row r="120" spans="3:25">
      <c r="C120" s="270"/>
      <c r="D120" s="270"/>
      <c r="E120" s="270"/>
      <c r="F120" s="270"/>
      <c r="G120" s="270"/>
      <c r="H120" s="270"/>
      <c r="I120" s="270"/>
      <c r="J120" s="270"/>
      <c r="K120" s="270"/>
      <c r="L120" s="270"/>
      <c r="M120" s="270"/>
      <c r="N120" s="270"/>
      <c r="O120" s="270"/>
      <c r="P120" s="270"/>
      <c r="Q120" s="270"/>
      <c r="R120" s="270"/>
      <c r="S120" s="270"/>
      <c r="T120" s="270"/>
      <c r="U120" s="270"/>
      <c r="V120" s="270"/>
      <c r="W120" s="270"/>
      <c r="X120" s="270"/>
      <c r="Y120" s="270"/>
    </row>
    <row r="121" spans="3:25">
      <c r="C121" s="270"/>
      <c r="D121" s="270"/>
      <c r="E121" s="270"/>
      <c r="F121" s="270"/>
      <c r="G121" s="270"/>
      <c r="H121" s="270"/>
      <c r="I121" s="270"/>
      <c r="J121" s="270"/>
      <c r="K121" s="270"/>
      <c r="L121" s="270"/>
      <c r="M121" s="270"/>
      <c r="N121" s="270"/>
      <c r="O121" s="270"/>
      <c r="P121" s="270"/>
      <c r="Q121" s="270"/>
      <c r="R121" s="270"/>
      <c r="S121" s="270"/>
      <c r="T121" s="270"/>
      <c r="U121" s="270"/>
      <c r="V121" s="270"/>
      <c r="W121" s="270"/>
      <c r="X121" s="270"/>
      <c r="Y121" s="270"/>
    </row>
    <row r="122" spans="3:25">
      <c r="C122" s="270"/>
      <c r="D122" s="270"/>
      <c r="E122" s="270"/>
      <c r="F122" s="270"/>
      <c r="G122" s="270"/>
      <c r="H122" s="270"/>
      <c r="I122" s="270"/>
      <c r="J122" s="270"/>
      <c r="K122" s="270"/>
      <c r="L122" s="270"/>
      <c r="M122" s="270"/>
      <c r="N122" s="270"/>
      <c r="O122" s="270"/>
      <c r="P122" s="270"/>
      <c r="Q122" s="270"/>
      <c r="R122" s="270"/>
      <c r="S122" s="270"/>
      <c r="T122" s="270"/>
      <c r="U122" s="270"/>
      <c r="V122" s="270"/>
      <c r="W122" s="270"/>
      <c r="X122" s="270"/>
      <c r="Y122" s="270"/>
    </row>
    <row r="123" spans="3:25">
      <c r="C123" s="270"/>
      <c r="D123" s="270"/>
      <c r="E123" s="270"/>
      <c r="F123" s="270"/>
      <c r="G123" s="270"/>
      <c r="H123" s="270"/>
      <c r="I123" s="270"/>
      <c r="J123" s="270"/>
      <c r="K123" s="270"/>
      <c r="L123" s="270"/>
      <c r="M123" s="270"/>
      <c r="N123" s="270"/>
      <c r="O123" s="270"/>
      <c r="P123" s="270"/>
      <c r="Q123" s="270"/>
      <c r="R123" s="270"/>
      <c r="S123" s="270"/>
      <c r="T123" s="270"/>
      <c r="U123" s="270"/>
      <c r="V123" s="270"/>
      <c r="W123" s="270"/>
      <c r="X123" s="270"/>
      <c r="Y123" s="270"/>
    </row>
    <row r="124" spans="3:25">
      <c r="C124" s="270"/>
      <c r="D124" s="270"/>
      <c r="E124" s="270"/>
      <c r="F124" s="270"/>
      <c r="G124" s="270"/>
      <c r="H124" s="270"/>
      <c r="I124" s="270"/>
      <c r="J124" s="270"/>
      <c r="K124" s="270"/>
      <c r="L124" s="270"/>
      <c r="M124" s="270"/>
      <c r="N124" s="270"/>
      <c r="O124" s="270"/>
      <c r="P124" s="270"/>
      <c r="Q124" s="270"/>
      <c r="R124" s="270"/>
      <c r="S124" s="270"/>
      <c r="T124" s="270"/>
      <c r="U124" s="270"/>
      <c r="V124" s="270"/>
      <c r="W124" s="270"/>
      <c r="X124" s="270"/>
      <c r="Y124" s="270"/>
    </row>
    <row r="125" spans="3:25">
      <c r="C125" s="270"/>
      <c r="D125" s="270"/>
      <c r="E125" s="270"/>
      <c r="F125" s="270"/>
      <c r="G125" s="270"/>
      <c r="H125" s="270"/>
      <c r="I125" s="270"/>
      <c r="J125" s="270"/>
      <c r="K125" s="270"/>
      <c r="L125" s="270"/>
      <c r="M125" s="270"/>
      <c r="N125" s="270"/>
      <c r="O125" s="270"/>
      <c r="P125" s="270"/>
      <c r="Q125" s="270"/>
      <c r="R125" s="270"/>
      <c r="S125" s="270"/>
      <c r="T125" s="270"/>
      <c r="U125" s="270"/>
      <c r="V125" s="270"/>
      <c r="W125" s="270"/>
      <c r="X125" s="270"/>
      <c r="Y125" s="270"/>
    </row>
    <row r="126" spans="3:25">
      <c r="C126" s="270"/>
      <c r="D126" s="270"/>
      <c r="E126" s="270"/>
      <c r="F126" s="270"/>
      <c r="G126" s="270"/>
      <c r="H126" s="270"/>
      <c r="I126" s="270"/>
      <c r="J126" s="270"/>
      <c r="K126" s="270"/>
      <c r="L126" s="270"/>
      <c r="M126" s="270"/>
      <c r="N126" s="270"/>
      <c r="O126" s="270"/>
      <c r="P126" s="270"/>
      <c r="Q126" s="270"/>
      <c r="R126" s="270"/>
      <c r="S126" s="270"/>
      <c r="T126" s="270"/>
      <c r="U126" s="270"/>
      <c r="V126" s="270"/>
      <c r="W126" s="270"/>
      <c r="X126" s="270"/>
      <c r="Y126" s="270"/>
    </row>
    <row r="127" spans="3:25">
      <c r="C127" s="270"/>
      <c r="D127" s="270"/>
      <c r="E127" s="270"/>
      <c r="F127" s="270"/>
      <c r="G127" s="270"/>
      <c r="H127" s="270"/>
      <c r="I127" s="270"/>
      <c r="J127" s="270"/>
      <c r="K127" s="270"/>
      <c r="L127" s="270"/>
      <c r="M127" s="270"/>
      <c r="N127" s="270"/>
      <c r="O127" s="270"/>
      <c r="P127" s="270"/>
      <c r="Q127" s="270"/>
      <c r="R127" s="270"/>
      <c r="S127" s="270"/>
      <c r="T127" s="270"/>
      <c r="U127" s="270"/>
      <c r="V127" s="270"/>
      <c r="W127" s="270"/>
      <c r="X127" s="270"/>
      <c r="Y127" s="270"/>
    </row>
    <row r="128" spans="3:25">
      <c r="C128" s="270"/>
      <c r="D128" s="270"/>
      <c r="E128" s="270"/>
      <c r="F128" s="270"/>
      <c r="G128" s="270"/>
      <c r="H128" s="270"/>
      <c r="I128" s="270"/>
      <c r="J128" s="270"/>
      <c r="K128" s="270"/>
      <c r="L128" s="270"/>
      <c r="M128" s="270"/>
      <c r="N128" s="270"/>
      <c r="O128" s="270"/>
      <c r="P128" s="270"/>
      <c r="Q128" s="270"/>
      <c r="R128" s="270"/>
      <c r="S128" s="270"/>
      <c r="T128" s="270"/>
      <c r="U128" s="270"/>
      <c r="V128" s="270"/>
      <c r="W128" s="270"/>
      <c r="X128" s="270"/>
      <c r="Y128" s="270"/>
    </row>
    <row r="129" spans="3:25">
      <c r="C129" s="270"/>
      <c r="D129" s="270"/>
      <c r="E129" s="270"/>
      <c r="F129" s="270"/>
      <c r="G129" s="270"/>
      <c r="H129" s="270"/>
      <c r="I129" s="270"/>
      <c r="J129" s="270"/>
      <c r="K129" s="270"/>
      <c r="L129" s="270"/>
      <c r="M129" s="270"/>
      <c r="N129" s="270"/>
      <c r="O129" s="270"/>
      <c r="P129" s="270"/>
      <c r="Q129" s="270"/>
      <c r="R129" s="270"/>
      <c r="S129" s="270"/>
      <c r="T129" s="270"/>
      <c r="U129" s="270"/>
      <c r="V129" s="270"/>
      <c r="W129" s="270"/>
      <c r="X129" s="270"/>
      <c r="Y129" s="270"/>
    </row>
    <row r="130" spans="3:25">
      <c r="C130" s="270"/>
      <c r="D130" s="270"/>
      <c r="E130" s="270"/>
      <c r="F130" s="270"/>
      <c r="G130" s="270"/>
      <c r="H130" s="270"/>
      <c r="I130" s="270"/>
      <c r="J130" s="270"/>
      <c r="K130" s="270"/>
      <c r="L130" s="270"/>
      <c r="M130" s="270"/>
      <c r="N130" s="270"/>
      <c r="O130" s="270"/>
      <c r="P130" s="270"/>
      <c r="Q130" s="270"/>
      <c r="R130" s="270"/>
      <c r="S130" s="270"/>
      <c r="T130" s="270"/>
      <c r="U130" s="270"/>
      <c r="V130" s="270"/>
      <c r="W130" s="270"/>
      <c r="X130" s="270"/>
      <c r="Y130" s="270"/>
    </row>
    <row r="131" spans="3:25">
      <c r="C131" s="270"/>
      <c r="D131" s="270"/>
      <c r="E131" s="270"/>
      <c r="F131" s="270"/>
      <c r="G131" s="270"/>
      <c r="H131" s="270"/>
      <c r="I131" s="270"/>
      <c r="J131" s="270"/>
      <c r="K131" s="270"/>
      <c r="L131" s="270"/>
      <c r="M131" s="270"/>
      <c r="N131" s="270"/>
      <c r="O131" s="270"/>
      <c r="P131" s="270"/>
      <c r="Q131" s="270"/>
      <c r="R131" s="270"/>
      <c r="S131" s="270"/>
      <c r="T131" s="270"/>
      <c r="U131" s="270"/>
      <c r="V131" s="270"/>
      <c r="W131" s="270"/>
      <c r="X131" s="270"/>
      <c r="Y131" s="270"/>
    </row>
    <row r="132" spans="3:25">
      <c r="C132" s="270"/>
      <c r="D132" s="270"/>
      <c r="E132" s="270"/>
      <c r="F132" s="270"/>
      <c r="G132" s="270"/>
      <c r="H132" s="270"/>
      <c r="I132" s="270"/>
      <c r="J132" s="270"/>
      <c r="K132" s="270"/>
      <c r="L132" s="270"/>
      <c r="M132" s="270"/>
      <c r="N132" s="270"/>
      <c r="O132" s="270"/>
      <c r="P132" s="270"/>
      <c r="Q132" s="270"/>
      <c r="R132" s="270"/>
      <c r="S132" s="270"/>
      <c r="T132" s="270"/>
      <c r="U132" s="270"/>
      <c r="V132" s="270"/>
      <c r="W132" s="270"/>
      <c r="X132" s="270"/>
      <c r="Y132" s="270"/>
    </row>
    <row r="133" spans="3:25">
      <c r="C133" s="270"/>
      <c r="D133" s="270"/>
      <c r="E133" s="270"/>
      <c r="F133" s="270"/>
      <c r="G133" s="270"/>
      <c r="H133" s="270"/>
      <c r="I133" s="270"/>
      <c r="J133" s="270"/>
      <c r="K133" s="270"/>
      <c r="L133" s="270"/>
      <c r="M133" s="270"/>
      <c r="N133" s="270"/>
      <c r="O133" s="270"/>
      <c r="P133" s="270"/>
      <c r="Q133" s="270"/>
      <c r="R133" s="270"/>
      <c r="S133" s="270"/>
      <c r="T133" s="270"/>
      <c r="U133" s="270"/>
      <c r="V133" s="270"/>
      <c r="W133" s="270"/>
      <c r="X133" s="270"/>
      <c r="Y133" s="270"/>
    </row>
    <row r="134" spans="3:25">
      <c r="C134" s="270"/>
      <c r="D134" s="270"/>
      <c r="E134" s="270"/>
      <c r="F134" s="270"/>
      <c r="G134" s="270"/>
      <c r="H134" s="270"/>
      <c r="I134" s="270"/>
      <c r="J134" s="270"/>
      <c r="K134" s="270"/>
      <c r="L134" s="270"/>
      <c r="M134" s="270"/>
      <c r="N134" s="270"/>
      <c r="O134" s="270"/>
      <c r="P134" s="270"/>
      <c r="Q134" s="270"/>
      <c r="R134" s="270"/>
      <c r="S134" s="270"/>
      <c r="T134" s="270"/>
      <c r="U134" s="270"/>
      <c r="V134" s="270"/>
      <c r="W134" s="270"/>
      <c r="X134" s="270"/>
      <c r="Y134" s="270"/>
    </row>
    <row r="135" spans="3:25">
      <c r="C135" s="270"/>
      <c r="D135" s="270"/>
      <c r="E135" s="270"/>
      <c r="F135" s="270"/>
      <c r="G135" s="270"/>
      <c r="H135" s="270"/>
      <c r="I135" s="270"/>
      <c r="J135" s="270"/>
      <c r="K135" s="270"/>
      <c r="L135" s="270"/>
      <c r="M135" s="270"/>
      <c r="N135" s="270"/>
      <c r="O135" s="270"/>
      <c r="P135" s="270"/>
      <c r="Q135" s="270"/>
      <c r="R135" s="270"/>
      <c r="S135" s="270"/>
      <c r="T135" s="270"/>
      <c r="U135" s="270"/>
      <c r="V135" s="270"/>
      <c r="W135" s="270"/>
      <c r="X135" s="270"/>
      <c r="Y135" s="270"/>
    </row>
    <row r="136" spans="3:25">
      <c r="C136" s="270"/>
      <c r="D136" s="270"/>
      <c r="E136" s="270"/>
      <c r="F136" s="270"/>
      <c r="G136" s="270"/>
      <c r="H136" s="270"/>
      <c r="I136" s="270"/>
      <c r="J136" s="270"/>
      <c r="K136" s="270"/>
      <c r="L136" s="270"/>
      <c r="M136" s="270"/>
      <c r="N136" s="270"/>
      <c r="O136" s="270"/>
      <c r="P136" s="270"/>
      <c r="Q136" s="270"/>
      <c r="R136" s="270"/>
      <c r="S136" s="270"/>
      <c r="T136" s="270"/>
      <c r="U136" s="270"/>
      <c r="V136" s="270"/>
      <c r="W136" s="270"/>
      <c r="X136" s="270"/>
      <c r="Y136" s="270"/>
    </row>
    <row r="137" spans="3:25">
      <c r="C137" s="270"/>
      <c r="D137" s="270"/>
      <c r="E137" s="270"/>
      <c r="F137" s="270"/>
      <c r="G137" s="270"/>
      <c r="H137" s="270"/>
      <c r="I137" s="270"/>
      <c r="J137" s="270"/>
      <c r="K137" s="270"/>
      <c r="L137" s="270"/>
      <c r="M137" s="270"/>
      <c r="N137" s="270"/>
      <c r="O137" s="270"/>
      <c r="P137" s="270"/>
      <c r="Q137" s="270"/>
      <c r="R137" s="270"/>
      <c r="S137" s="270"/>
      <c r="T137" s="270"/>
      <c r="U137" s="270"/>
      <c r="V137" s="270"/>
      <c r="W137" s="270"/>
      <c r="X137" s="270"/>
      <c r="Y137" s="270"/>
    </row>
    <row r="138" spans="3:25">
      <c r="C138" s="270"/>
      <c r="D138" s="270"/>
      <c r="E138" s="270"/>
      <c r="F138" s="270"/>
      <c r="G138" s="270"/>
      <c r="H138" s="270"/>
      <c r="I138" s="270"/>
      <c r="J138" s="270"/>
      <c r="K138" s="270"/>
      <c r="L138" s="270"/>
      <c r="M138" s="270"/>
      <c r="N138" s="270"/>
      <c r="O138" s="270"/>
      <c r="P138" s="270"/>
      <c r="Q138" s="270"/>
      <c r="R138" s="270"/>
      <c r="S138" s="270"/>
      <c r="T138" s="270"/>
      <c r="U138" s="270"/>
      <c r="V138" s="270"/>
      <c r="W138" s="270"/>
      <c r="X138" s="270"/>
      <c r="Y138" s="270"/>
    </row>
    <row r="139" spans="3:25">
      <c r="C139" s="270"/>
      <c r="D139" s="270"/>
      <c r="E139" s="270"/>
      <c r="F139" s="270"/>
      <c r="G139" s="270"/>
      <c r="H139" s="270"/>
      <c r="I139" s="270"/>
      <c r="J139" s="270"/>
      <c r="K139" s="270"/>
      <c r="L139" s="270"/>
      <c r="M139" s="270"/>
      <c r="N139" s="270"/>
      <c r="O139" s="270"/>
      <c r="P139" s="270"/>
      <c r="Q139" s="270"/>
      <c r="R139" s="270"/>
      <c r="S139" s="270"/>
      <c r="T139" s="270"/>
      <c r="U139" s="270"/>
      <c r="V139" s="270"/>
      <c r="W139" s="270"/>
      <c r="X139" s="270"/>
      <c r="Y139" s="270"/>
    </row>
    <row r="140" spans="3:25">
      <c r="C140" s="270"/>
      <c r="D140" s="270"/>
      <c r="E140" s="270"/>
      <c r="F140" s="270"/>
      <c r="G140" s="270"/>
      <c r="H140" s="270"/>
      <c r="I140" s="270"/>
      <c r="J140" s="270"/>
      <c r="K140" s="270"/>
      <c r="L140" s="270"/>
      <c r="M140" s="270"/>
      <c r="N140" s="270"/>
      <c r="O140" s="270"/>
      <c r="P140" s="270"/>
      <c r="Q140" s="270"/>
      <c r="R140" s="270"/>
      <c r="S140" s="270"/>
      <c r="T140" s="270"/>
      <c r="U140" s="270"/>
      <c r="V140" s="270"/>
      <c r="W140" s="270"/>
      <c r="X140" s="270"/>
      <c r="Y140" s="270"/>
    </row>
    <row r="141" spans="3:25">
      <c r="C141" s="270"/>
      <c r="D141" s="270"/>
      <c r="E141" s="270"/>
      <c r="F141" s="270"/>
      <c r="G141" s="270"/>
      <c r="H141" s="270"/>
      <c r="I141" s="270"/>
      <c r="J141" s="270"/>
      <c r="K141" s="270"/>
      <c r="L141" s="270"/>
      <c r="M141" s="270"/>
      <c r="N141" s="270"/>
      <c r="O141" s="270"/>
      <c r="P141" s="270"/>
      <c r="Q141" s="270"/>
      <c r="R141" s="270"/>
      <c r="S141" s="270"/>
      <c r="T141" s="270"/>
      <c r="U141" s="270"/>
      <c r="V141" s="270"/>
      <c r="W141" s="270"/>
      <c r="X141" s="270"/>
      <c r="Y141" s="270"/>
    </row>
    <row r="142" spans="3:25">
      <c r="C142" s="270"/>
      <c r="D142" s="270"/>
      <c r="E142" s="270"/>
      <c r="F142" s="270"/>
      <c r="G142" s="270"/>
      <c r="H142" s="270"/>
      <c r="I142" s="270"/>
      <c r="J142" s="270"/>
      <c r="K142" s="270"/>
      <c r="L142" s="270"/>
      <c r="M142" s="270"/>
      <c r="N142" s="270"/>
      <c r="O142" s="270"/>
      <c r="P142" s="270"/>
      <c r="Q142" s="270"/>
      <c r="R142" s="270"/>
      <c r="S142" s="270"/>
      <c r="T142" s="270"/>
      <c r="U142" s="270"/>
      <c r="V142" s="270"/>
      <c r="W142" s="270"/>
      <c r="X142" s="270"/>
      <c r="Y142" s="270"/>
    </row>
    <row r="143" spans="3:25">
      <c r="C143" s="270"/>
      <c r="D143" s="270"/>
      <c r="E143" s="270"/>
      <c r="F143" s="270"/>
      <c r="G143" s="270"/>
      <c r="H143" s="270"/>
      <c r="I143" s="270"/>
      <c r="J143" s="270"/>
      <c r="K143" s="270"/>
      <c r="L143" s="270"/>
      <c r="M143" s="270"/>
      <c r="N143" s="270"/>
      <c r="O143" s="270"/>
      <c r="P143" s="270"/>
      <c r="Q143" s="270"/>
      <c r="R143" s="270"/>
      <c r="S143" s="270"/>
      <c r="T143" s="270"/>
      <c r="U143" s="270"/>
      <c r="V143" s="270"/>
      <c r="W143" s="270"/>
      <c r="X143" s="270"/>
      <c r="Y143" s="270"/>
    </row>
    <row r="144" spans="3:25">
      <c r="C144" s="270"/>
      <c r="D144" s="270"/>
      <c r="E144" s="270"/>
      <c r="F144" s="270"/>
      <c r="G144" s="270"/>
      <c r="H144" s="270"/>
      <c r="I144" s="270"/>
      <c r="J144" s="270"/>
      <c r="K144" s="270"/>
      <c r="L144" s="270"/>
      <c r="M144" s="270"/>
      <c r="N144" s="270"/>
      <c r="O144" s="270"/>
      <c r="P144" s="270"/>
      <c r="Q144" s="270"/>
      <c r="R144" s="270"/>
      <c r="S144" s="270"/>
      <c r="T144" s="270"/>
      <c r="U144" s="270"/>
      <c r="V144" s="270"/>
      <c r="W144" s="270"/>
      <c r="X144" s="270"/>
      <c r="Y144" s="270"/>
    </row>
    <row r="145" spans="3:25">
      <c r="C145" s="270"/>
      <c r="D145" s="270"/>
      <c r="E145" s="270"/>
      <c r="F145" s="270"/>
      <c r="G145" s="270"/>
      <c r="H145" s="270"/>
      <c r="I145" s="270"/>
      <c r="J145" s="270"/>
      <c r="K145" s="270"/>
      <c r="L145" s="270"/>
      <c r="M145" s="270"/>
      <c r="N145" s="270"/>
      <c r="O145" s="270"/>
      <c r="P145" s="270"/>
      <c r="Q145" s="270"/>
      <c r="R145" s="270"/>
      <c r="S145" s="270"/>
      <c r="T145" s="270"/>
      <c r="U145" s="270"/>
      <c r="V145" s="270"/>
      <c r="W145" s="270"/>
      <c r="X145" s="270"/>
      <c r="Y145" s="270"/>
    </row>
    <row r="146" spans="3:25">
      <c r="C146" s="270"/>
      <c r="D146" s="270"/>
      <c r="E146" s="270"/>
      <c r="F146" s="270"/>
      <c r="G146" s="270"/>
      <c r="H146" s="270"/>
      <c r="I146" s="270"/>
      <c r="J146" s="270"/>
      <c r="K146" s="270"/>
      <c r="L146" s="270"/>
      <c r="M146" s="270"/>
      <c r="N146" s="270"/>
      <c r="O146" s="270"/>
      <c r="P146" s="270"/>
      <c r="Q146" s="270"/>
      <c r="R146" s="270"/>
      <c r="S146" s="270"/>
      <c r="T146" s="270"/>
      <c r="U146" s="270"/>
      <c r="V146" s="270"/>
      <c r="W146" s="270"/>
      <c r="X146" s="270"/>
      <c r="Y146" s="270"/>
    </row>
    <row r="147" spans="3:25">
      <c r="C147" s="270"/>
      <c r="D147" s="270"/>
      <c r="E147" s="270"/>
      <c r="F147" s="270"/>
      <c r="G147" s="270"/>
      <c r="H147" s="270"/>
      <c r="I147" s="270"/>
      <c r="J147" s="270"/>
      <c r="K147" s="270"/>
      <c r="L147" s="270"/>
      <c r="M147" s="270"/>
      <c r="N147" s="270"/>
      <c r="O147" s="270"/>
      <c r="P147" s="270"/>
      <c r="Q147" s="270"/>
      <c r="R147" s="270"/>
      <c r="S147" s="270"/>
      <c r="T147" s="270"/>
      <c r="U147" s="270"/>
      <c r="V147" s="270"/>
      <c r="W147" s="270"/>
      <c r="X147" s="270"/>
      <c r="Y147" s="270"/>
    </row>
    <row r="148" spans="3:25">
      <c r="C148" s="270"/>
      <c r="D148" s="270"/>
      <c r="E148" s="270"/>
      <c r="F148" s="270"/>
      <c r="G148" s="270"/>
      <c r="H148" s="270"/>
      <c r="I148" s="270"/>
      <c r="J148" s="270"/>
      <c r="K148" s="270"/>
      <c r="L148" s="270"/>
      <c r="M148" s="270"/>
      <c r="N148" s="270"/>
      <c r="O148" s="270"/>
      <c r="P148" s="270"/>
      <c r="Q148" s="270"/>
      <c r="R148" s="270"/>
      <c r="S148" s="270"/>
      <c r="T148" s="270"/>
      <c r="U148" s="270"/>
      <c r="V148" s="270"/>
      <c r="W148" s="270"/>
      <c r="X148" s="270"/>
      <c r="Y148" s="270"/>
    </row>
    <row r="149" spans="3:25">
      <c r="C149" s="270"/>
      <c r="D149" s="270"/>
      <c r="E149" s="270"/>
      <c r="F149" s="270"/>
      <c r="G149" s="270"/>
      <c r="H149" s="270"/>
      <c r="I149" s="270"/>
      <c r="J149" s="270"/>
      <c r="K149" s="270"/>
      <c r="L149" s="270"/>
      <c r="M149" s="270"/>
      <c r="N149" s="270"/>
      <c r="O149" s="270"/>
      <c r="P149" s="270"/>
      <c r="Q149" s="270"/>
      <c r="R149" s="270"/>
      <c r="S149" s="270"/>
      <c r="T149" s="270"/>
      <c r="U149" s="270"/>
      <c r="V149" s="270"/>
      <c r="W149" s="270"/>
      <c r="X149" s="270"/>
      <c r="Y149" s="270"/>
    </row>
    <row r="150" spans="3:25">
      <c r="C150" s="270"/>
      <c r="D150" s="270"/>
      <c r="E150" s="270"/>
      <c r="F150" s="270"/>
      <c r="G150" s="270"/>
      <c r="H150" s="270"/>
      <c r="I150" s="270"/>
      <c r="J150" s="270"/>
      <c r="K150" s="270"/>
      <c r="L150" s="270"/>
      <c r="M150" s="270"/>
      <c r="N150" s="270"/>
      <c r="O150" s="270"/>
      <c r="P150" s="270"/>
      <c r="Q150" s="270"/>
      <c r="R150" s="270"/>
      <c r="S150" s="270"/>
      <c r="T150" s="270"/>
      <c r="U150" s="270"/>
      <c r="V150" s="270"/>
      <c r="W150" s="270"/>
      <c r="X150" s="270"/>
      <c r="Y150" s="270"/>
    </row>
    <row r="151" spans="3:25">
      <c r="C151" s="270"/>
      <c r="D151" s="270"/>
      <c r="E151" s="270"/>
      <c r="F151" s="270"/>
      <c r="G151" s="270"/>
      <c r="H151" s="270"/>
      <c r="I151" s="270"/>
      <c r="J151" s="270"/>
      <c r="K151" s="270"/>
      <c r="L151" s="270"/>
      <c r="M151" s="270"/>
      <c r="N151" s="270"/>
      <c r="O151" s="270"/>
      <c r="P151" s="270"/>
      <c r="Q151" s="270"/>
      <c r="R151" s="270"/>
      <c r="S151" s="270"/>
      <c r="T151" s="270"/>
      <c r="U151" s="270"/>
      <c r="V151" s="270"/>
      <c r="W151" s="270"/>
      <c r="X151" s="270"/>
      <c r="Y151" s="270"/>
    </row>
    <row r="152" spans="3:25">
      <c r="C152" s="270"/>
      <c r="D152" s="270"/>
      <c r="E152" s="270"/>
      <c r="F152" s="270"/>
      <c r="G152" s="270"/>
      <c r="H152" s="270"/>
      <c r="I152" s="270"/>
      <c r="J152" s="270"/>
      <c r="K152" s="270"/>
      <c r="L152" s="270"/>
      <c r="M152" s="270"/>
      <c r="N152" s="270"/>
      <c r="O152" s="270"/>
      <c r="P152" s="270"/>
      <c r="Q152" s="270"/>
      <c r="R152" s="270"/>
      <c r="S152" s="270"/>
      <c r="T152" s="270"/>
      <c r="U152" s="270"/>
      <c r="V152" s="270"/>
      <c r="W152" s="270"/>
      <c r="X152" s="270"/>
      <c r="Y152" s="270"/>
    </row>
    <row r="153" spans="3:25">
      <c r="C153" s="270"/>
      <c r="D153" s="270"/>
      <c r="E153" s="270"/>
      <c r="F153" s="270"/>
      <c r="G153" s="270"/>
      <c r="H153" s="270"/>
      <c r="I153" s="270"/>
      <c r="J153" s="270"/>
      <c r="K153" s="270"/>
      <c r="L153" s="270"/>
      <c r="M153" s="270"/>
      <c r="N153" s="270"/>
      <c r="O153" s="270"/>
      <c r="P153" s="270"/>
      <c r="Q153" s="270"/>
      <c r="R153" s="270"/>
      <c r="S153" s="270"/>
      <c r="T153" s="270"/>
      <c r="U153" s="270"/>
      <c r="V153" s="270"/>
      <c r="W153" s="270"/>
      <c r="X153" s="270"/>
      <c r="Y153" s="270"/>
    </row>
    <row r="154" spans="3:25">
      <c r="C154" s="270"/>
      <c r="D154" s="270"/>
      <c r="E154" s="270"/>
      <c r="F154" s="270"/>
      <c r="G154" s="270"/>
      <c r="H154" s="270"/>
      <c r="I154" s="270"/>
      <c r="J154" s="270"/>
      <c r="K154" s="270"/>
      <c r="L154" s="270"/>
      <c r="M154" s="270"/>
      <c r="N154" s="270"/>
      <c r="O154" s="270"/>
      <c r="P154" s="270"/>
      <c r="Q154" s="270"/>
      <c r="R154" s="270"/>
      <c r="S154" s="270"/>
      <c r="T154" s="270"/>
      <c r="U154" s="270"/>
      <c r="V154" s="270"/>
      <c r="W154" s="270"/>
      <c r="X154" s="270"/>
      <c r="Y154" s="270"/>
    </row>
    <row r="155" spans="3:25">
      <c r="C155" s="270"/>
      <c r="D155" s="270"/>
      <c r="E155" s="270"/>
      <c r="F155" s="270"/>
      <c r="G155" s="270"/>
      <c r="H155" s="270"/>
      <c r="I155" s="270"/>
      <c r="J155" s="270"/>
      <c r="K155" s="270"/>
      <c r="L155" s="270"/>
      <c r="M155" s="270"/>
      <c r="N155" s="270"/>
      <c r="O155" s="270"/>
      <c r="P155" s="270"/>
      <c r="Q155" s="270"/>
      <c r="R155" s="270"/>
      <c r="S155" s="270"/>
      <c r="T155" s="270"/>
      <c r="U155" s="270"/>
      <c r="V155" s="270"/>
      <c r="W155" s="270"/>
      <c r="X155" s="270"/>
      <c r="Y155" s="270"/>
    </row>
    <row r="156" spans="3:25">
      <c r="C156" s="270"/>
      <c r="D156" s="270"/>
      <c r="E156" s="270"/>
      <c r="F156" s="270"/>
      <c r="G156" s="270"/>
      <c r="H156" s="270"/>
      <c r="I156" s="270"/>
      <c r="J156" s="270"/>
      <c r="K156" s="270"/>
      <c r="L156" s="270"/>
      <c r="M156" s="270"/>
      <c r="N156" s="270"/>
      <c r="O156" s="270"/>
      <c r="P156" s="270"/>
      <c r="Q156" s="270"/>
      <c r="R156" s="270"/>
      <c r="S156" s="270"/>
      <c r="T156" s="270"/>
      <c r="U156" s="270"/>
      <c r="V156" s="270"/>
      <c r="W156" s="270"/>
      <c r="X156" s="270"/>
      <c r="Y156" s="270"/>
    </row>
    <row r="157" spans="3:25">
      <c r="C157" s="270"/>
      <c r="D157" s="270"/>
      <c r="E157" s="270"/>
      <c r="F157" s="270"/>
      <c r="G157" s="270"/>
      <c r="H157" s="270"/>
      <c r="I157" s="270"/>
      <c r="J157" s="270"/>
      <c r="K157" s="270"/>
      <c r="L157" s="270"/>
      <c r="M157" s="270"/>
      <c r="N157" s="270"/>
      <c r="O157" s="270"/>
      <c r="P157" s="270"/>
      <c r="Q157" s="270"/>
      <c r="R157" s="270"/>
      <c r="S157" s="270"/>
      <c r="T157" s="270"/>
      <c r="U157" s="270"/>
      <c r="V157" s="270"/>
      <c r="W157" s="270"/>
      <c r="X157" s="270"/>
      <c r="Y157" s="270"/>
    </row>
    <row r="158" spans="3:25">
      <c r="C158" s="270"/>
      <c r="D158" s="270"/>
      <c r="E158" s="270"/>
      <c r="F158" s="270"/>
      <c r="G158" s="270"/>
      <c r="H158" s="270"/>
      <c r="I158" s="270"/>
      <c r="J158" s="270"/>
      <c r="K158" s="270"/>
      <c r="L158" s="270"/>
      <c r="M158" s="270"/>
      <c r="N158" s="270"/>
      <c r="O158" s="270"/>
      <c r="P158" s="270"/>
      <c r="Q158" s="270"/>
      <c r="R158" s="270"/>
      <c r="S158" s="270"/>
      <c r="T158" s="270"/>
      <c r="U158" s="270"/>
      <c r="V158" s="270"/>
      <c r="W158" s="270"/>
      <c r="X158" s="270"/>
      <c r="Y158" s="270"/>
    </row>
    <row r="159" spans="3:25">
      <c r="C159" s="270"/>
      <c r="D159" s="270"/>
      <c r="E159" s="270"/>
      <c r="F159" s="270"/>
      <c r="G159" s="270"/>
      <c r="H159" s="270"/>
      <c r="I159" s="270"/>
      <c r="J159" s="270"/>
      <c r="K159" s="270"/>
      <c r="L159" s="270"/>
      <c r="M159" s="270"/>
      <c r="N159" s="270"/>
      <c r="O159" s="270"/>
      <c r="P159" s="270"/>
      <c r="Q159" s="270"/>
      <c r="R159" s="270"/>
      <c r="S159" s="270"/>
      <c r="T159" s="270"/>
      <c r="U159" s="270"/>
      <c r="V159" s="270"/>
      <c r="W159" s="270"/>
      <c r="X159" s="270"/>
      <c r="Y159" s="270"/>
    </row>
    <row r="160" spans="3:25">
      <c r="C160" s="270"/>
      <c r="D160" s="270"/>
      <c r="E160" s="270"/>
      <c r="F160" s="270"/>
      <c r="G160" s="270"/>
      <c r="H160" s="270"/>
      <c r="I160" s="270"/>
      <c r="J160" s="270"/>
      <c r="K160" s="270"/>
      <c r="L160" s="270"/>
      <c r="M160" s="270"/>
      <c r="N160" s="270"/>
      <c r="O160" s="270"/>
      <c r="P160" s="270"/>
      <c r="Q160" s="270"/>
      <c r="R160" s="270"/>
      <c r="S160" s="270"/>
      <c r="T160" s="270"/>
      <c r="U160" s="270"/>
      <c r="V160" s="270"/>
      <c r="W160" s="270"/>
      <c r="X160" s="270"/>
      <c r="Y160" s="270"/>
    </row>
    <row r="161" spans="3:25">
      <c r="C161" s="270"/>
      <c r="D161" s="270"/>
      <c r="E161" s="270"/>
      <c r="F161" s="270"/>
      <c r="G161" s="270"/>
      <c r="H161" s="270"/>
      <c r="I161" s="270"/>
      <c r="J161" s="270"/>
      <c r="K161" s="270"/>
      <c r="L161" s="270"/>
      <c r="M161" s="270"/>
      <c r="N161" s="270"/>
      <c r="O161" s="270"/>
      <c r="P161" s="270"/>
      <c r="Q161" s="270"/>
      <c r="R161" s="270"/>
      <c r="S161" s="270"/>
      <c r="T161" s="270"/>
      <c r="U161" s="270"/>
      <c r="V161" s="270"/>
      <c r="W161" s="270"/>
      <c r="X161" s="270"/>
      <c r="Y161" s="270"/>
    </row>
    <row r="162" spans="3:25">
      <c r="C162" s="270"/>
      <c r="D162" s="270"/>
      <c r="E162" s="270"/>
      <c r="F162" s="270"/>
      <c r="G162" s="270"/>
      <c r="H162" s="270"/>
      <c r="I162" s="270"/>
      <c r="J162" s="270"/>
      <c r="K162" s="270"/>
      <c r="L162" s="270"/>
      <c r="M162" s="270"/>
      <c r="N162" s="270"/>
      <c r="O162" s="270"/>
      <c r="P162" s="270"/>
      <c r="Q162" s="270"/>
      <c r="R162" s="270"/>
      <c r="S162" s="270"/>
      <c r="T162" s="270"/>
      <c r="U162" s="270"/>
      <c r="V162" s="270"/>
      <c r="W162" s="270"/>
      <c r="X162" s="270"/>
      <c r="Y162" s="270"/>
    </row>
    <row r="163" spans="3:25">
      <c r="C163" s="270"/>
      <c r="D163" s="270"/>
      <c r="E163" s="270"/>
      <c r="F163" s="270"/>
      <c r="G163" s="270"/>
      <c r="H163" s="270"/>
      <c r="I163" s="270"/>
      <c r="J163" s="270"/>
      <c r="K163" s="270"/>
      <c r="L163" s="270"/>
      <c r="M163" s="270"/>
      <c r="N163" s="270"/>
      <c r="O163" s="270"/>
      <c r="P163" s="270"/>
      <c r="Q163" s="270"/>
      <c r="R163" s="270"/>
      <c r="S163" s="270"/>
      <c r="T163" s="270"/>
      <c r="U163" s="270"/>
      <c r="V163" s="270"/>
      <c r="W163" s="270"/>
      <c r="X163" s="270"/>
      <c r="Y163" s="270"/>
    </row>
    <row r="164" spans="3:25">
      <c r="C164" s="270"/>
      <c r="D164" s="270"/>
      <c r="E164" s="270"/>
      <c r="F164" s="270"/>
      <c r="G164" s="270"/>
      <c r="H164" s="270"/>
      <c r="I164" s="270"/>
      <c r="J164" s="270"/>
      <c r="K164" s="270"/>
      <c r="L164" s="270"/>
      <c r="M164" s="270"/>
      <c r="N164" s="270"/>
      <c r="O164" s="270"/>
      <c r="P164" s="270"/>
      <c r="Q164" s="270"/>
      <c r="R164" s="270"/>
      <c r="S164" s="270"/>
      <c r="T164" s="270"/>
      <c r="U164" s="270"/>
      <c r="V164" s="270"/>
      <c r="W164" s="270"/>
      <c r="X164" s="270"/>
      <c r="Y164" s="270"/>
    </row>
    <row r="165" spans="3:25">
      <c r="C165" s="270"/>
      <c r="D165" s="270"/>
      <c r="E165" s="270"/>
      <c r="F165" s="270"/>
      <c r="G165" s="270"/>
      <c r="H165" s="270"/>
      <c r="I165" s="270"/>
      <c r="J165" s="270"/>
      <c r="K165" s="270"/>
      <c r="L165" s="270"/>
      <c r="M165" s="270"/>
      <c r="N165" s="270"/>
      <c r="O165" s="270"/>
      <c r="P165" s="270"/>
      <c r="Q165" s="270"/>
      <c r="R165" s="270"/>
      <c r="S165" s="270"/>
      <c r="T165" s="270"/>
      <c r="U165" s="270"/>
      <c r="V165" s="270"/>
      <c r="W165" s="270"/>
      <c r="X165" s="270"/>
      <c r="Y165" s="270"/>
    </row>
    <row r="166" spans="3:25">
      <c r="C166" s="270"/>
      <c r="D166" s="270"/>
      <c r="E166" s="270"/>
      <c r="F166" s="270"/>
      <c r="G166" s="270"/>
      <c r="H166" s="270"/>
      <c r="I166" s="270"/>
      <c r="J166" s="270"/>
      <c r="K166" s="270"/>
      <c r="L166" s="270"/>
      <c r="M166" s="270"/>
      <c r="N166" s="270"/>
      <c r="O166" s="270"/>
      <c r="P166" s="270"/>
      <c r="Q166" s="270"/>
      <c r="R166" s="270"/>
      <c r="S166" s="270"/>
      <c r="T166" s="270"/>
      <c r="U166" s="270"/>
      <c r="V166" s="270"/>
      <c r="W166" s="270"/>
      <c r="X166" s="270"/>
      <c r="Y166" s="270"/>
    </row>
    <row r="167" spans="3:25">
      <c r="C167" s="270"/>
      <c r="D167" s="270"/>
      <c r="E167" s="270"/>
      <c r="F167" s="270"/>
      <c r="G167" s="270"/>
      <c r="H167" s="270"/>
      <c r="I167" s="270"/>
      <c r="J167" s="270"/>
      <c r="K167" s="270"/>
      <c r="L167" s="270"/>
      <c r="M167" s="270"/>
      <c r="N167" s="270"/>
      <c r="O167" s="270"/>
      <c r="P167" s="270"/>
      <c r="Q167" s="270"/>
      <c r="R167" s="270"/>
      <c r="S167" s="270"/>
      <c r="T167" s="270"/>
      <c r="U167" s="270"/>
      <c r="V167" s="270"/>
      <c r="W167" s="270"/>
      <c r="X167" s="270"/>
      <c r="Y167" s="270"/>
    </row>
    <row r="168" spans="3:25">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row>
    <row r="169" spans="3:25">
      <c r="C169" s="270"/>
      <c r="D169" s="270"/>
      <c r="E169" s="270"/>
      <c r="F169" s="270"/>
      <c r="G169" s="270"/>
      <c r="H169" s="270"/>
      <c r="I169" s="270"/>
      <c r="J169" s="270"/>
      <c r="K169" s="270"/>
      <c r="L169" s="270"/>
      <c r="M169" s="270"/>
      <c r="N169" s="270"/>
      <c r="O169" s="270"/>
      <c r="P169" s="270"/>
      <c r="Q169" s="270"/>
      <c r="R169" s="270"/>
      <c r="S169" s="270"/>
      <c r="T169" s="270"/>
      <c r="U169" s="270"/>
      <c r="V169" s="270"/>
      <c r="W169" s="270"/>
      <c r="X169" s="270"/>
      <c r="Y169" s="270"/>
    </row>
    <row r="170" spans="3:25">
      <c r="C170" s="270"/>
      <c r="D170" s="270"/>
      <c r="E170" s="270"/>
      <c r="F170" s="270"/>
      <c r="G170" s="270"/>
      <c r="H170" s="270"/>
      <c r="I170" s="270"/>
      <c r="J170" s="270"/>
      <c r="K170" s="270"/>
      <c r="L170" s="270"/>
      <c r="M170" s="270"/>
      <c r="N170" s="270"/>
      <c r="O170" s="270"/>
      <c r="P170" s="270"/>
      <c r="Q170" s="270"/>
      <c r="R170" s="270"/>
      <c r="S170" s="270"/>
      <c r="T170" s="270"/>
      <c r="U170" s="270"/>
      <c r="V170" s="270"/>
      <c r="W170" s="270"/>
      <c r="X170" s="270"/>
      <c r="Y170" s="270"/>
    </row>
    <row r="171" spans="3:25">
      <c r="C171" s="270"/>
      <c r="D171" s="270"/>
      <c r="E171" s="270"/>
      <c r="F171" s="270"/>
      <c r="G171" s="270"/>
      <c r="H171" s="270"/>
      <c r="I171" s="270"/>
      <c r="J171" s="270"/>
      <c r="K171" s="270"/>
      <c r="L171" s="270"/>
      <c r="M171" s="270"/>
      <c r="N171" s="270"/>
      <c r="O171" s="270"/>
      <c r="P171" s="270"/>
      <c r="Q171" s="270"/>
      <c r="R171" s="270"/>
      <c r="S171" s="270"/>
      <c r="T171" s="270"/>
      <c r="U171" s="270"/>
      <c r="V171" s="270"/>
      <c r="W171" s="270"/>
      <c r="X171" s="270"/>
      <c r="Y171" s="270"/>
    </row>
    <row r="172" spans="3:25">
      <c r="C172" s="270"/>
      <c r="D172" s="270"/>
      <c r="E172" s="270"/>
      <c r="F172" s="270"/>
      <c r="G172" s="270"/>
      <c r="H172" s="270"/>
      <c r="I172" s="270"/>
      <c r="J172" s="270"/>
      <c r="K172" s="270"/>
      <c r="L172" s="270"/>
      <c r="M172" s="270"/>
      <c r="N172" s="270"/>
      <c r="O172" s="270"/>
      <c r="P172" s="270"/>
      <c r="Q172" s="270"/>
      <c r="R172" s="270"/>
      <c r="S172" s="270"/>
      <c r="T172" s="270"/>
      <c r="U172" s="270"/>
      <c r="V172" s="270"/>
      <c r="W172" s="270"/>
      <c r="X172" s="270"/>
      <c r="Y172" s="270"/>
    </row>
    <row r="173" spans="3:25">
      <c r="C173" s="270"/>
      <c r="D173" s="270"/>
      <c r="E173" s="270"/>
      <c r="F173" s="270"/>
      <c r="G173" s="270"/>
      <c r="H173" s="270"/>
      <c r="I173" s="270"/>
      <c r="J173" s="270"/>
      <c r="K173" s="270"/>
      <c r="L173" s="270"/>
      <c r="M173" s="270"/>
      <c r="N173" s="270"/>
      <c r="O173" s="270"/>
      <c r="P173" s="270"/>
      <c r="Q173" s="270"/>
      <c r="R173" s="270"/>
      <c r="S173" s="270"/>
      <c r="T173" s="270"/>
      <c r="U173" s="270"/>
      <c r="V173" s="270"/>
      <c r="W173" s="270"/>
      <c r="X173" s="270"/>
      <c r="Y173" s="270"/>
    </row>
    <row r="174" spans="3:25">
      <c r="C174" s="270"/>
      <c r="D174" s="270"/>
      <c r="E174" s="270"/>
      <c r="F174" s="270"/>
      <c r="G174" s="270"/>
      <c r="H174" s="270"/>
      <c r="I174" s="270"/>
      <c r="J174" s="270"/>
      <c r="K174" s="270"/>
      <c r="L174" s="270"/>
      <c r="M174" s="270"/>
      <c r="N174" s="270"/>
      <c r="O174" s="270"/>
      <c r="P174" s="270"/>
      <c r="Q174" s="270"/>
      <c r="R174" s="270"/>
      <c r="S174" s="270"/>
      <c r="T174" s="270"/>
      <c r="U174" s="270"/>
      <c r="V174" s="270"/>
      <c r="W174" s="270"/>
      <c r="X174" s="270"/>
      <c r="Y174" s="270"/>
    </row>
    <row r="175" spans="3:25">
      <c r="C175" s="270"/>
      <c r="D175" s="270"/>
      <c r="E175" s="270"/>
      <c r="F175" s="270"/>
      <c r="G175" s="270"/>
      <c r="H175" s="270"/>
      <c r="I175" s="270"/>
      <c r="J175" s="270"/>
      <c r="K175" s="270"/>
      <c r="L175" s="270"/>
      <c r="M175" s="270"/>
      <c r="N175" s="270"/>
      <c r="O175" s="270"/>
      <c r="P175" s="270"/>
      <c r="Q175" s="270"/>
      <c r="R175" s="270"/>
      <c r="S175" s="270"/>
      <c r="T175" s="270"/>
      <c r="U175" s="270"/>
      <c r="V175" s="270"/>
      <c r="W175" s="270"/>
      <c r="X175" s="270"/>
      <c r="Y175" s="270"/>
    </row>
    <row r="176" spans="3:25">
      <c r="C176" s="270"/>
      <c r="D176" s="270"/>
      <c r="E176" s="270"/>
      <c r="F176" s="270"/>
      <c r="G176" s="270"/>
      <c r="H176" s="270"/>
      <c r="I176" s="270"/>
      <c r="J176" s="270"/>
      <c r="K176" s="270"/>
      <c r="L176" s="270"/>
      <c r="M176" s="270"/>
      <c r="N176" s="270"/>
      <c r="O176" s="270"/>
      <c r="P176" s="270"/>
      <c r="Q176" s="270"/>
      <c r="R176" s="270"/>
      <c r="S176" s="270"/>
      <c r="T176" s="270"/>
      <c r="U176" s="270"/>
      <c r="V176" s="270"/>
      <c r="W176" s="270"/>
      <c r="X176" s="270"/>
      <c r="Y176" s="270"/>
    </row>
    <row r="177" spans="3:25">
      <c r="C177" s="270"/>
      <c r="D177" s="270"/>
      <c r="E177" s="270"/>
      <c r="F177" s="270"/>
      <c r="G177" s="270"/>
      <c r="H177" s="270"/>
      <c r="I177" s="270"/>
      <c r="J177" s="270"/>
      <c r="K177" s="270"/>
      <c r="L177" s="270"/>
      <c r="M177" s="270"/>
      <c r="N177" s="270"/>
      <c r="O177" s="270"/>
      <c r="P177" s="270"/>
      <c r="Q177" s="270"/>
      <c r="R177" s="270"/>
      <c r="S177" s="270"/>
      <c r="T177" s="270"/>
      <c r="U177" s="270"/>
      <c r="V177" s="270"/>
      <c r="W177" s="270"/>
      <c r="X177" s="270"/>
      <c r="Y177" s="270"/>
    </row>
    <row r="178" spans="3:25">
      <c r="C178" s="270"/>
      <c r="D178" s="270"/>
      <c r="E178" s="270"/>
      <c r="F178" s="270"/>
      <c r="G178" s="270"/>
      <c r="H178" s="270"/>
      <c r="I178" s="270"/>
      <c r="J178" s="270"/>
      <c r="K178" s="270"/>
      <c r="L178" s="270"/>
      <c r="M178" s="270"/>
      <c r="N178" s="270"/>
      <c r="O178" s="270"/>
      <c r="P178" s="270"/>
      <c r="Q178" s="270"/>
      <c r="R178" s="270"/>
      <c r="S178" s="270"/>
      <c r="T178" s="270"/>
      <c r="U178" s="270"/>
      <c r="V178" s="270"/>
      <c r="W178" s="270"/>
      <c r="X178" s="270"/>
      <c r="Y178" s="270"/>
    </row>
    <row r="179" spans="3:25">
      <c r="C179" s="270"/>
      <c r="D179" s="270"/>
      <c r="E179" s="270"/>
      <c r="F179" s="270"/>
      <c r="G179" s="270"/>
      <c r="H179" s="270"/>
      <c r="I179" s="270"/>
      <c r="J179" s="270"/>
      <c r="K179" s="270"/>
      <c r="L179" s="270"/>
      <c r="M179" s="270"/>
      <c r="N179" s="270"/>
      <c r="O179" s="270"/>
      <c r="P179" s="270"/>
      <c r="Q179" s="270"/>
      <c r="R179" s="270"/>
      <c r="S179" s="270"/>
      <c r="T179" s="270"/>
      <c r="U179" s="270"/>
      <c r="V179" s="270"/>
      <c r="W179" s="270"/>
      <c r="X179" s="270"/>
      <c r="Y179" s="270"/>
    </row>
    <row r="180" spans="3:25">
      <c r="C180" s="270"/>
      <c r="D180" s="270"/>
      <c r="E180" s="270"/>
      <c r="F180" s="270"/>
      <c r="G180" s="270"/>
      <c r="H180" s="270"/>
      <c r="I180" s="270"/>
      <c r="J180" s="270"/>
      <c r="K180" s="270"/>
      <c r="L180" s="270"/>
      <c r="M180" s="270"/>
      <c r="N180" s="270"/>
      <c r="O180" s="270"/>
      <c r="P180" s="270"/>
      <c r="Q180" s="270"/>
      <c r="R180" s="270"/>
      <c r="S180" s="270"/>
      <c r="T180" s="270"/>
      <c r="U180" s="270"/>
      <c r="V180" s="270"/>
      <c r="W180" s="270"/>
      <c r="X180" s="270"/>
      <c r="Y180" s="270"/>
    </row>
    <row r="181" spans="3:25">
      <c r="C181" s="270"/>
      <c r="D181" s="270"/>
      <c r="E181" s="270"/>
      <c r="F181" s="270"/>
      <c r="G181" s="270"/>
      <c r="H181" s="270"/>
      <c r="I181" s="270"/>
      <c r="J181" s="270"/>
      <c r="K181" s="270"/>
      <c r="L181" s="270"/>
      <c r="M181" s="270"/>
      <c r="N181" s="270"/>
      <c r="O181" s="270"/>
      <c r="P181" s="270"/>
      <c r="Q181" s="270"/>
      <c r="R181" s="270"/>
      <c r="S181" s="270"/>
      <c r="T181" s="270"/>
      <c r="U181" s="270"/>
      <c r="V181" s="270"/>
      <c r="W181" s="270"/>
      <c r="X181" s="270"/>
      <c r="Y181" s="270"/>
    </row>
    <row r="182" spans="3:25">
      <c r="C182" s="270"/>
      <c r="D182" s="270"/>
      <c r="E182" s="270"/>
      <c r="F182" s="270"/>
      <c r="G182" s="270"/>
      <c r="H182" s="270"/>
      <c r="I182" s="270"/>
      <c r="J182" s="270"/>
      <c r="K182" s="270"/>
      <c r="L182" s="270"/>
      <c r="M182" s="270"/>
      <c r="N182" s="270"/>
      <c r="O182" s="270"/>
      <c r="P182" s="270"/>
      <c r="Q182" s="270"/>
      <c r="R182" s="270"/>
      <c r="S182" s="270"/>
      <c r="T182" s="270"/>
      <c r="U182" s="270"/>
      <c r="V182" s="270"/>
      <c r="W182" s="270"/>
      <c r="X182" s="270"/>
      <c r="Y182" s="270"/>
    </row>
    <row r="183" spans="3:25">
      <c r="C183" s="270"/>
      <c r="D183" s="270"/>
      <c r="E183" s="270"/>
      <c r="F183" s="270"/>
      <c r="G183" s="270"/>
      <c r="H183" s="270"/>
      <c r="I183" s="270"/>
      <c r="J183" s="270"/>
      <c r="K183" s="270"/>
      <c r="L183" s="270"/>
      <c r="M183" s="270"/>
      <c r="N183" s="270"/>
      <c r="O183" s="270"/>
      <c r="P183" s="270"/>
      <c r="Q183" s="270"/>
      <c r="R183" s="270"/>
      <c r="S183" s="270"/>
      <c r="T183" s="270"/>
      <c r="U183" s="270"/>
      <c r="V183" s="270"/>
      <c r="W183" s="270"/>
      <c r="X183" s="270"/>
      <c r="Y183" s="270"/>
    </row>
    <row r="184" spans="3:25">
      <c r="C184" s="270"/>
      <c r="D184" s="270"/>
      <c r="E184" s="270"/>
      <c r="F184" s="270"/>
      <c r="G184" s="270"/>
      <c r="H184" s="270"/>
      <c r="I184" s="270"/>
      <c r="J184" s="270"/>
      <c r="K184" s="270"/>
      <c r="L184" s="270"/>
      <c r="M184" s="270"/>
      <c r="N184" s="270"/>
      <c r="O184" s="270"/>
      <c r="P184" s="270"/>
      <c r="Q184" s="270"/>
      <c r="R184" s="270"/>
      <c r="S184" s="270"/>
      <c r="T184" s="270"/>
      <c r="U184" s="270"/>
      <c r="V184" s="270"/>
      <c r="W184" s="270"/>
      <c r="X184" s="270"/>
      <c r="Y184" s="270"/>
    </row>
    <row r="185" spans="3:25">
      <c r="C185" s="270"/>
      <c r="D185" s="270"/>
      <c r="E185" s="270"/>
      <c r="F185" s="270"/>
      <c r="G185" s="270"/>
      <c r="H185" s="270"/>
      <c r="I185" s="270"/>
      <c r="J185" s="270"/>
      <c r="K185" s="270"/>
      <c r="L185" s="270"/>
      <c r="M185" s="270"/>
      <c r="N185" s="270"/>
      <c r="O185" s="270"/>
      <c r="P185" s="270"/>
      <c r="Q185" s="270"/>
      <c r="R185" s="270"/>
      <c r="S185" s="270"/>
      <c r="T185" s="270"/>
      <c r="U185" s="270"/>
      <c r="V185" s="270"/>
      <c r="W185" s="270"/>
      <c r="X185" s="270"/>
      <c r="Y185" s="270"/>
    </row>
    <row r="186" spans="3:25">
      <c r="C186" s="270"/>
      <c r="D186" s="270"/>
      <c r="E186" s="270"/>
      <c r="F186" s="270"/>
      <c r="G186" s="270"/>
      <c r="H186" s="270"/>
      <c r="I186" s="270"/>
      <c r="J186" s="270"/>
      <c r="K186" s="270"/>
      <c r="L186" s="270"/>
      <c r="M186" s="270"/>
      <c r="N186" s="270"/>
      <c r="O186" s="270"/>
      <c r="P186" s="270"/>
      <c r="Q186" s="270"/>
      <c r="R186" s="270"/>
      <c r="S186" s="270"/>
      <c r="T186" s="270"/>
      <c r="U186" s="270"/>
      <c r="V186" s="270"/>
      <c r="W186" s="270"/>
      <c r="X186" s="270"/>
      <c r="Y186" s="270"/>
    </row>
    <row r="187" spans="3:25">
      <c r="C187" s="270"/>
      <c r="D187" s="270"/>
      <c r="E187" s="270"/>
      <c r="F187" s="270"/>
      <c r="G187" s="270"/>
      <c r="H187" s="270"/>
      <c r="I187" s="270"/>
      <c r="J187" s="270"/>
      <c r="K187" s="270"/>
      <c r="L187" s="270"/>
      <c r="M187" s="270"/>
      <c r="N187" s="270"/>
      <c r="O187" s="270"/>
      <c r="P187" s="270"/>
      <c r="Q187" s="270"/>
      <c r="R187" s="270"/>
      <c r="S187" s="270"/>
      <c r="T187" s="270"/>
      <c r="U187" s="270"/>
      <c r="V187" s="270"/>
      <c r="W187" s="270"/>
      <c r="X187" s="270"/>
      <c r="Y187" s="270"/>
    </row>
    <row r="188" spans="3:25">
      <c r="C188" s="270"/>
      <c r="D188" s="270"/>
      <c r="E188" s="270"/>
      <c r="F188" s="270"/>
      <c r="G188" s="270"/>
      <c r="H188" s="270"/>
      <c r="I188" s="270"/>
      <c r="J188" s="270"/>
      <c r="K188" s="270"/>
      <c r="L188" s="270"/>
      <c r="M188" s="270"/>
      <c r="N188" s="270"/>
      <c r="O188" s="270"/>
      <c r="P188" s="270"/>
      <c r="Q188" s="270"/>
      <c r="R188" s="270"/>
      <c r="S188" s="270"/>
      <c r="T188" s="270"/>
      <c r="U188" s="270"/>
      <c r="V188" s="270"/>
      <c r="W188" s="270"/>
      <c r="X188" s="270"/>
      <c r="Y188" s="270"/>
    </row>
    <row r="189" spans="3:25">
      <c r="C189" s="270"/>
      <c r="D189" s="270"/>
      <c r="E189" s="270"/>
      <c r="F189" s="270"/>
      <c r="G189" s="270"/>
      <c r="H189" s="270"/>
      <c r="I189" s="270"/>
      <c r="J189" s="270"/>
      <c r="K189" s="270"/>
      <c r="L189" s="270"/>
      <c r="M189" s="270"/>
      <c r="N189" s="270"/>
      <c r="O189" s="270"/>
      <c r="P189" s="270"/>
      <c r="Q189" s="270"/>
      <c r="R189" s="270"/>
      <c r="S189" s="270"/>
      <c r="T189" s="270"/>
      <c r="U189" s="270"/>
      <c r="V189" s="270"/>
      <c r="W189" s="270"/>
      <c r="X189" s="270"/>
      <c r="Y189" s="270"/>
    </row>
    <row r="190" spans="3:25">
      <c r="C190" s="270"/>
      <c r="D190" s="270"/>
      <c r="E190" s="270"/>
      <c r="F190" s="270"/>
      <c r="G190" s="270"/>
      <c r="H190" s="270"/>
      <c r="I190" s="270"/>
      <c r="J190" s="270"/>
      <c r="K190" s="270"/>
      <c r="L190" s="270"/>
      <c r="M190" s="270"/>
      <c r="N190" s="270"/>
      <c r="O190" s="270"/>
      <c r="P190" s="270"/>
      <c r="Q190" s="270"/>
      <c r="R190" s="270"/>
      <c r="S190" s="270"/>
      <c r="T190" s="270"/>
      <c r="U190" s="270"/>
      <c r="V190" s="270"/>
      <c r="W190" s="270"/>
      <c r="X190" s="270"/>
      <c r="Y190" s="270"/>
    </row>
    <row r="191" spans="3:25">
      <c r="C191" s="270"/>
      <c r="D191" s="270"/>
      <c r="E191" s="270"/>
      <c r="F191" s="270"/>
      <c r="G191" s="270"/>
      <c r="H191" s="270"/>
      <c r="I191" s="270"/>
      <c r="J191" s="270"/>
      <c r="K191" s="270"/>
      <c r="L191" s="270"/>
      <c r="M191" s="270"/>
      <c r="N191" s="270"/>
      <c r="O191" s="270"/>
      <c r="P191" s="270"/>
      <c r="Q191" s="270"/>
      <c r="R191" s="270"/>
      <c r="S191" s="270"/>
      <c r="T191" s="270"/>
      <c r="U191" s="270"/>
      <c r="V191" s="270"/>
      <c r="W191" s="270"/>
      <c r="X191" s="270"/>
      <c r="Y191" s="270"/>
    </row>
    <row r="192" spans="3:25">
      <c r="C192" s="270"/>
      <c r="D192" s="270"/>
      <c r="E192" s="270"/>
      <c r="F192" s="270"/>
      <c r="G192" s="270"/>
      <c r="H192" s="270"/>
      <c r="I192" s="270"/>
      <c r="J192" s="270"/>
      <c r="K192" s="270"/>
      <c r="L192" s="270"/>
      <c r="M192" s="270"/>
      <c r="N192" s="270"/>
      <c r="O192" s="270"/>
      <c r="P192" s="270"/>
      <c r="Q192" s="270"/>
      <c r="R192" s="270"/>
      <c r="S192" s="270"/>
      <c r="T192" s="270"/>
      <c r="U192" s="270"/>
      <c r="V192" s="270"/>
      <c r="W192" s="270"/>
      <c r="X192" s="270"/>
      <c r="Y192" s="270"/>
    </row>
    <row r="193" spans="3:25">
      <c r="C193" s="270"/>
      <c r="D193" s="270"/>
      <c r="E193" s="270"/>
      <c r="F193" s="270"/>
      <c r="G193" s="270"/>
      <c r="H193" s="270"/>
      <c r="I193" s="270"/>
      <c r="J193" s="270"/>
      <c r="K193" s="270"/>
      <c r="L193" s="270"/>
      <c r="M193" s="270"/>
      <c r="N193" s="270"/>
      <c r="O193" s="270"/>
      <c r="P193" s="270"/>
      <c r="Q193" s="270"/>
      <c r="R193" s="270"/>
      <c r="S193" s="270"/>
      <c r="T193" s="270"/>
      <c r="U193" s="270"/>
      <c r="V193" s="270"/>
      <c r="W193" s="270"/>
      <c r="X193" s="270"/>
      <c r="Y193" s="270"/>
    </row>
    <row r="194" spans="3:25">
      <c r="C194" s="270"/>
      <c r="D194" s="270"/>
      <c r="E194" s="270"/>
      <c r="F194" s="270"/>
      <c r="G194" s="270"/>
      <c r="H194" s="270"/>
      <c r="I194" s="270"/>
      <c r="J194" s="270"/>
      <c r="K194" s="270"/>
      <c r="L194" s="270"/>
      <c r="M194" s="270"/>
      <c r="N194" s="270"/>
      <c r="O194" s="270"/>
      <c r="P194" s="270"/>
      <c r="Q194" s="270"/>
      <c r="R194" s="270"/>
      <c r="S194" s="270"/>
      <c r="T194" s="270"/>
      <c r="U194" s="270"/>
      <c r="V194" s="270"/>
      <c r="W194" s="270"/>
      <c r="X194" s="270"/>
      <c r="Y194" s="270"/>
    </row>
    <row r="195" spans="3:25">
      <c r="C195" s="270"/>
      <c r="D195" s="270"/>
      <c r="E195" s="270"/>
      <c r="F195" s="270"/>
      <c r="G195" s="270"/>
      <c r="H195" s="270"/>
      <c r="I195" s="270"/>
      <c r="J195" s="270"/>
      <c r="K195" s="270"/>
      <c r="L195" s="270"/>
      <c r="M195" s="270"/>
      <c r="N195" s="270"/>
      <c r="O195" s="270"/>
      <c r="P195" s="270"/>
      <c r="Q195" s="270"/>
      <c r="R195" s="270"/>
      <c r="S195" s="270"/>
      <c r="T195" s="270"/>
      <c r="U195" s="270"/>
      <c r="V195" s="270"/>
      <c r="W195" s="270"/>
      <c r="X195" s="270"/>
      <c r="Y195" s="270"/>
    </row>
    <row r="196" spans="3:25">
      <c r="C196" s="270"/>
      <c r="D196" s="270"/>
      <c r="E196" s="270"/>
      <c r="F196" s="270"/>
      <c r="G196" s="270"/>
      <c r="H196" s="270"/>
      <c r="I196" s="270"/>
      <c r="J196" s="270"/>
      <c r="K196" s="270"/>
      <c r="L196" s="270"/>
      <c r="M196" s="270"/>
      <c r="N196" s="270"/>
      <c r="O196" s="270"/>
      <c r="P196" s="270"/>
      <c r="Q196" s="270"/>
      <c r="R196" s="270"/>
      <c r="S196" s="270"/>
      <c r="T196" s="270"/>
      <c r="U196" s="270"/>
      <c r="V196" s="270"/>
      <c r="W196" s="270"/>
      <c r="X196" s="270"/>
      <c r="Y196" s="270"/>
    </row>
    <row r="197" spans="3:25">
      <c r="C197" s="270"/>
      <c r="D197" s="270"/>
      <c r="E197" s="270"/>
      <c r="F197" s="270"/>
      <c r="G197" s="270"/>
      <c r="H197" s="270"/>
      <c r="I197" s="270"/>
      <c r="J197" s="270"/>
      <c r="K197" s="270"/>
      <c r="L197" s="270"/>
      <c r="M197" s="270"/>
      <c r="N197" s="270"/>
      <c r="O197" s="270"/>
      <c r="P197" s="270"/>
      <c r="Q197" s="270"/>
      <c r="R197" s="270"/>
      <c r="S197" s="270"/>
      <c r="T197" s="270"/>
      <c r="U197" s="270"/>
      <c r="V197" s="270"/>
      <c r="W197" s="270"/>
      <c r="X197" s="270"/>
      <c r="Y197" s="270"/>
    </row>
    <row r="198" spans="3:25">
      <c r="C198" s="270"/>
      <c r="D198" s="270"/>
      <c r="E198" s="270"/>
      <c r="F198" s="270"/>
      <c r="G198" s="270"/>
      <c r="H198" s="270"/>
      <c r="I198" s="270"/>
      <c r="J198" s="270"/>
      <c r="K198" s="270"/>
      <c r="L198" s="270"/>
      <c r="M198" s="270"/>
      <c r="N198" s="270"/>
      <c r="O198" s="270"/>
      <c r="P198" s="270"/>
      <c r="Q198" s="270"/>
      <c r="R198" s="270"/>
      <c r="S198" s="270"/>
      <c r="T198" s="270"/>
      <c r="U198" s="270"/>
      <c r="V198" s="270"/>
      <c r="W198" s="270"/>
      <c r="X198" s="270"/>
      <c r="Y198" s="270"/>
    </row>
    <row r="199" spans="3:25">
      <c r="C199" s="270"/>
      <c r="D199" s="270"/>
      <c r="E199" s="270"/>
      <c r="F199" s="270"/>
      <c r="G199" s="270"/>
      <c r="H199" s="270"/>
      <c r="I199" s="270"/>
      <c r="J199" s="270"/>
      <c r="K199" s="270"/>
      <c r="L199" s="270"/>
      <c r="M199" s="270"/>
      <c r="N199" s="270"/>
      <c r="O199" s="270"/>
      <c r="P199" s="270"/>
      <c r="Q199" s="270"/>
      <c r="R199" s="270"/>
      <c r="S199" s="270"/>
      <c r="T199" s="270"/>
      <c r="U199" s="270"/>
      <c r="V199" s="270"/>
      <c r="W199" s="270"/>
      <c r="X199" s="270"/>
      <c r="Y199" s="270"/>
    </row>
    <row r="200" spans="3:25">
      <c r="C200" s="270"/>
      <c r="D200" s="270"/>
      <c r="E200" s="270"/>
      <c r="F200" s="270"/>
      <c r="G200" s="270"/>
      <c r="H200" s="270"/>
      <c r="I200" s="270"/>
      <c r="J200" s="270"/>
      <c r="K200" s="270"/>
      <c r="L200" s="270"/>
      <c r="M200" s="270"/>
      <c r="N200" s="270"/>
      <c r="O200" s="270"/>
      <c r="P200" s="270"/>
      <c r="Q200" s="270"/>
      <c r="R200" s="270"/>
      <c r="S200" s="270"/>
      <c r="T200" s="270"/>
      <c r="U200" s="270"/>
      <c r="V200" s="270"/>
      <c r="W200" s="270"/>
      <c r="X200" s="270"/>
      <c r="Y200" s="270"/>
    </row>
    <row r="201" spans="3:25">
      <c r="C201" s="270"/>
      <c r="D201" s="270"/>
      <c r="E201" s="270"/>
      <c r="F201" s="270"/>
      <c r="G201" s="270"/>
      <c r="H201" s="270"/>
      <c r="I201" s="270"/>
      <c r="J201" s="270"/>
      <c r="K201" s="270"/>
      <c r="L201" s="270"/>
      <c r="M201" s="270"/>
      <c r="N201" s="270"/>
      <c r="O201" s="270"/>
      <c r="P201" s="270"/>
      <c r="Q201" s="270"/>
      <c r="R201" s="270"/>
      <c r="S201" s="270"/>
      <c r="T201" s="270"/>
      <c r="U201" s="270"/>
      <c r="V201" s="270"/>
      <c r="W201" s="270"/>
      <c r="X201" s="270"/>
      <c r="Y201" s="270"/>
    </row>
    <row r="202" spans="3:25">
      <c r="C202" s="270"/>
      <c r="D202" s="270"/>
      <c r="E202" s="270"/>
      <c r="F202" s="270"/>
      <c r="G202" s="270"/>
      <c r="H202" s="270"/>
      <c r="I202" s="270"/>
      <c r="J202" s="270"/>
      <c r="K202" s="270"/>
      <c r="L202" s="270"/>
      <c r="M202" s="270"/>
      <c r="N202" s="270"/>
      <c r="O202" s="270"/>
      <c r="P202" s="270"/>
      <c r="Q202" s="270"/>
      <c r="R202" s="270"/>
      <c r="S202" s="270"/>
      <c r="T202" s="270"/>
      <c r="U202" s="270"/>
      <c r="V202" s="270"/>
      <c r="W202" s="270"/>
      <c r="X202" s="270"/>
      <c r="Y202" s="270"/>
    </row>
    <row r="203" spans="3:25">
      <c r="C203" s="270"/>
      <c r="D203" s="270"/>
      <c r="E203" s="270"/>
      <c r="F203" s="270"/>
      <c r="G203" s="270"/>
      <c r="H203" s="270"/>
      <c r="I203" s="270"/>
      <c r="J203" s="270"/>
      <c r="K203" s="270"/>
      <c r="L203" s="270"/>
      <c r="M203" s="270"/>
      <c r="N203" s="270"/>
      <c r="O203" s="270"/>
      <c r="P203" s="270"/>
      <c r="Q203" s="270"/>
      <c r="R203" s="270"/>
      <c r="S203" s="270"/>
      <c r="T203" s="270"/>
      <c r="U203" s="270"/>
      <c r="V203" s="270"/>
      <c r="W203" s="270"/>
      <c r="X203" s="270"/>
      <c r="Y203" s="270"/>
    </row>
    <row r="204" spans="3:25">
      <c r="C204" s="270"/>
      <c r="D204" s="270"/>
      <c r="E204" s="270"/>
      <c r="F204" s="270"/>
      <c r="G204" s="270"/>
      <c r="H204" s="270"/>
      <c r="I204" s="270"/>
      <c r="J204" s="270"/>
      <c r="K204" s="270"/>
      <c r="L204" s="270"/>
      <c r="M204" s="270"/>
      <c r="N204" s="270"/>
      <c r="O204" s="270"/>
      <c r="P204" s="270"/>
      <c r="Q204" s="270"/>
      <c r="R204" s="270"/>
      <c r="S204" s="270"/>
      <c r="T204" s="270"/>
      <c r="U204" s="270"/>
      <c r="V204" s="270"/>
      <c r="W204" s="270"/>
      <c r="X204" s="270"/>
      <c r="Y204" s="270"/>
    </row>
    <row r="205" spans="3:25">
      <c r="C205" s="270"/>
      <c r="D205" s="270"/>
      <c r="E205" s="270"/>
      <c r="F205" s="270"/>
      <c r="G205" s="270"/>
      <c r="H205" s="270"/>
      <c r="I205" s="270"/>
      <c r="J205" s="270"/>
      <c r="K205" s="270"/>
      <c r="L205" s="270"/>
      <c r="M205" s="270"/>
      <c r="N205" s="270"/>
      <c r="O205" s="270"/>
      <c r="P205" s="270"/>
      <c r="Q205" s="270"/>
      <c r="R205" s="270"/>
      <c r="S205" s="270"/>
      <c r="T205" s="270"/>
      <c r="U205" s="270"/>
      <c r="V205" s="270"/>
      <c r="W205" s="270"/>
      <c r="X205" s="270"/>
      <c r="Y205" s="270"/>
    </row>
    <row r="206" spans="3:25">
      <c r="C206" s="270"/>
      <c r="D206" s="270"/>
      <c r="E206" s="270"/>
      <c r="F206" s="270"/>
      <c r="G206" s="270"/>
      <c r="H206" s="270"/>
      <c r="I206" s="270"/>
      <c r="J206" s="270"/>
      <c r="K206" s="270"/>
      <c r="L206" s="270"/>
      <c r="M206" s="270"/>
      <c r="N206" s="270"/>
      <c r="O206" s="270"/>
      <c r="P206" s="270"/>
      <c r="Q206" s="270"/>
      <c r="R206" s="270"/>
      <c r="S206" s="270"/>
      <c r="T206" s="270"/>
      <c r="U206" s="270"/>
      <c r="V206" s="270"/>
      <c r="W206" s="270"/>
      <c r="X206" s="270"/>
      <c r="Y206" s="270"/>
    </row>
    <row r="207" spans="3:25">
      <c r="C207" s="270"/>
      <c r="D207" s="270"/>
      <c r="E207" s="270"/>
      <c r="F207" s="270"/>
      <c r="G207" s="270"/>
      <c r="H207" s="270"/>
      <c r="I207" s="270"/>
      <c r="J207" s="270"/>
      <c r="K207" s="270"/>
      <c r="L207" s="270"/>
      <c r="M207" s="270"/>
      <c r="N207" s="270"/>
      <c r="O207" s="270"/>
      <c r="P207" s="270"/>
      <c r="Q207" s="270"/>
      <c r="R207" s="270"/>
      <c r="S207" s="270"/>
      <c r="T207" s="270"/>
      <c r="U207" s="270"/>
      <c r="V207" s="270"/>
      <c r="W207" s="270"/>
      <c r="X207" s="270"/>
      <c r="Y207" s="270"/>
    </row>
    <row r="208" spans="3:25">
      <c r="C208" s="270"/>
      <c r="D208" s="270"/>
      <c r="E208" s="270"/>
      <c r="F208" s="270"/>
      <c r="G208" s="270"/>
      <c r="H208" s="270"/>
      <c r="I208" s="270"/>
      <c r="J208" s="270"/>
      <c r="K208" s="270"/>
      <c r="L208" s="270"/>
      <c r="M208" s="270"/>
      <c r="N208" s="270"/>
      <c r="O208" s="270"/>
      <c r="P208" s="270"/>
      <c r="Q208" s="270"/>
      <c r="R208" s="270"/>
      <c r="S208" s="270"/>
      <c r="T208" s="270"/>
      <c r="U208" s="270"/>
      <c r="V208" s="270"/>
      <c r="W208" s="270"/>
      <c r="X208" s="270"/>
      <c r="Y208" s="270"/>
    </row>
    <row r="209" spans="3:25">
      <c r="C209" s="270"/>
      <c r="D209" s="270"/>
      <c r="E209" s="270"/>
      <c r="F209" s="270"/>
      <c r="G209" s="270"/>
      <c r="H209" s="270"/>
      <c r="I209" s="270"/>
      <c r="J209" s="270"/>
      <c r="K209" s="270"/>
      <c r="L209" s="270"/>
      <c r="M209" s="270"/>
      <c r="N209" s="270"/>
      <c r="O209" s="270"/>
      <c r="P209" s="270"/>
      <c r="Q209" s="270"/>
      <c r="R209" s="270"/>
      <c r="S209" s="270"/>
      <c r="T209" s="270"/>
      <c r="U209" s="270"/>
      <c r="V209" s="270"/>
      <c r="W209" s="270"/>
      <c r="X209" s="270"/>
      <c r="Y209" s="270"/>
    </row>
    <row r="210" spans="3:25">
      <c r="C210" s="270"/>
      <c r="D210" s="270"/>
      <c r="E210" s="270"/>
      <c r="F210" s="270"/>
      <c r="G210" s="270"/>
      <c r="H210" s="270"/>
      <c r="I210" s="270"/>
      <c r="J210" s="270"/>
      <c r="K210" s="270"/>
      <c r="L210" s="270"/>
      <c r="M210" s="270"/>
      <c r="N210" s="270"/>
      <c r="O210" s="270"/>
      <c r="P210" s="270"/>
      <c r="Q210" s="270"/>
      <c r="R210" s="270"/>
      <c r="S210" s="270"/>
      <c r="T210" s="270"/>
      <c r="U210" s="270"/>
      <c r="V210" s="270"/>
      <c r="W210" s="270"/>
      <c r="X210" s="270"/>
      <c r="Y210" s="270"/>
    </row>
    <row r="211" spans="3:25">
      <c r="C211" s="270"/>
      <c r="D211" s="270"/>
      <c r="E211" s="270"/>
      <c r="F211" s="270"/>
      <c r="G211" s="270"/>
      <c r="H211" s="270"/>
      <c r="I211" s="270"/>
      <c r="J211" s="270"/>
      <c r="K211" s="270"/>
      <c r="L211" s="270"/>
      <c r="M211" s="270"/>
      <c r="N211" s="270"/>
      <c r="O211" s="270"/>
      <c r="P211" s="270"/>
      <c r="Q211" s="270"/>
      <c r="R211" s="270"/>
      <c r="S211" s="270"/>
      <c r="T211" s="270"/>
      <c r="U211" s="270"/>
      <c r="V211" s="270"/>
      <c r="W211" s="270"/>
      <c r="X211" s="270"/>
      <c r="Y211" s="270"/>
    </row>
    <row r="212" spans="3:25">
      <c r="C212" s="270"/>
      <c r="D212" s="270"/>
      <c r="E212" s="270"/>
      <c r="F212" s="270"/>
      <c r="G212" s="270"/>
      <c r="H212" s="270"/>
      <c r="I212" s="270"/>
      <c r="J212" s="270"/>
      <c r="K212" s="270"/>
      <c r="L212" s="270"/>
      <c r="M212" s="270"/>
      <c r="N212" s="270"/>
      <c r="O212" s="270"/>
      <c r="P212" s="270"/>
      <c r="Q212" s="270"/>
      <c r="R212" s="270"/>
      <c r="S212" s="270"/>
      <c r="T212" s="270"/>
      <c r="U212" s="270"/>
      <c r="V212" s="270"/>
      <c r="W212" s="270"/>
      <c r="X212" s="270"/>
      <c r="Y212" s="270"/>
    </row>
    <row r="213" spans="3:25">
      <c r="C213" s="270"/>
      <c r="D213" s="270"/>
      <c r="E213" s="270"/>
      <c r="F213" s="270"/>
      <c r="G213" s="270"/>
      <c r="H213" s="270"/>
      <c r="I213" s="270"/>
      <c r="J213" s="270"/>
      <c r="K213" s="270"/>
      <c r="L213" s="270"/>
      <c r="M213" s="270"/>
      <c r="N213" s="270"/>
      <c r="O213" s="270"/>
      <c r="P213" s="270"/>
      <c r="Q213" s="270"/>
      <c r="R213" s="270"/>
      <c r="S213" s="270"/>
      <c r="T213" s="270"/>
      <c r="U213" s="270"/>
      <c r="V213" s="270"/>
      <c r="W213" s="270"/>
      <c r="X213" s="270"/>
      <c r="Y213" s="270"/>
    </row>
    <row r="214" spans="3:25">
      <c r="C214" s="270"/>
      <c r="D214" s="270"/>
      <c r="E214" s="270"/>
      <c r="F214" s="270"/>
      <c r="G214" s="270"/>
      <c r="H214" s="270"/>
      <c r="I214" s="270"/>
      <c r="J214" s="270"/>
      <c r="K214" s="270"/>
      <c r="L214" s="270"/>
      <c r="M214" s="270"/>
      <c r="N214" s="270"/>
      <c r="O214" s="270"/>
      <c r="P214" s="270"/>
      <c r="Q214" s="270"/>
      <c r="R214" s="270"/>
      <c r="S214" s="270"/>
      <c r="T214" s="270"/>
      <c r="U214" s="270"/>
      <c r="V214" s="270"/>
      <c r="W214" s="270"/>
      <c r="X214" s="270"/>
      <c r="Y214" s="270"/>
    </row>
    <row r="215" spans="3:25">
      <c r="C215" s="270"/>
      <c r="D215" s="270"/>
      <c r="E215" s="270"/>
      <c r="F215" s="270"/>
      <c r="G215" s="270"/>
      <c r="H215" s="270"/>
      <c r="I215" s="270"/>
      <c r="J215" s="270"/>
      <c r="K215" s="270"/>
      <c r="L215" s="270"/>
      <c r="M215" s="270"/>
      <c r="N215" s="270"/>
      <c r="O215" s="270"/>
      <c r="P215" s="270"/>
      <c r="Q215" s="270"/>
      <c r="R215" s="270"/>
      <c r="S215" s="270"/>
      <c r="T215" s="270"/>
      <c r="U215" s="270"/>
      <c r="V215" s="270"/>
      <c r="W215" s="270"/>
      <c r="X215" s="270"/>
      <c r="Y215" s="270"/>
    </row>
    <row r="216" spans="3:25">
      <c r="C216" s="270"/>
      <c r="D216" s="270"/>
      <c r="E216" s="270"/>
      <c r="F216" s="270"/>
      <c r="G216" s="270"/>
      <c r="H216" s="270"/>
      <c r="I216" s="270"/>
      <c r="J216" s="270"/>
      <c r="K216" s="270"/>
      <c r="L216" s="270"/>
      <c r="M216" s="270"/>
      <c r="N216" s="270"/>
      <c r="O216" s="270"/>
      <c r="P216" s="270"/>
      <c r="Q216" s="270"/>
      <c r="R216" s="270"/>
      <c r="S216" s="270"/>
      <c r="T216" s="270"/>
      <c r="U216" s="270"/>
      <c r="V216" s="270"/>
      <c r="W216" s="270"/>
      <c r="X216" s="270"/>
      <c r="Y216" s="270"/>
    </row>
    <row r="217" spans="3:25">
      <c r="C217" s="270"/>
      <c r="D217" s="270"/>
      <c r="E217" s="270"/>
      <c r="F217" s="270"/>
      <c r="G217" s="270"/>
      <c r="H217" s="270"/>
      <c r="I217" s="270"/>
      <c r="J217" s="270"/>
      <c r="K217" s="270"/>
      <c r="L217" s="270"/>
      <c r="M217" s="270"/>
      <c r="N217" s="270"/>
      <c r="O217" s="270"/>
      <c r="P217" s="270"/>
      <c r="Q217" s="270"/>
      <c r="R217" s="270"/>
      <c r="S217" s="270"/>
      <c r="T217" s="270"/>
      <c r="U217" s="270"/>
      <c r="V217" s="270"/>
      <c r="W217" s="270"/>
      <c r="X217" s="270"/>
      <c r="Y217" s="270"/>
    </row>
    <row r="218" spans="3:25">
      <c r="C218" s="270"/>
      <c r="D218" s="270"/>
      <c r="E218" s="270"/>
      <c r="F218" s="270"/>
      <c r="G218" s="270"/>
      <c r="H218" s="270"/>
      <c r="I218" s="270"/>
      <c r="J218" s="270"/>
      <c r="K218" s="270"/>
      <c r="L218" s="270"/>
      <c r="M218" s="270"/>
      <c r="N218" s="270"/>
      <c r="O218" s="270"/>
      <c r="P218" s="270"/>
      <c r="Q218" s="270"/>
      <c r="R218" s="270"/>
      <c r="S218" s="270"/>
      <c r="T218" s="270"/>
      <c r="U218" s="270"/>
      <c r="V218" s="270"/>
      <c r="W218" s="270"/>
      <c r="X218" s="270"/>
      <c r="Y218" s="270"/>
    </row>
    <row r="219" spans="3:25">
      <c r="C219" s="270"/>
      <c r="D219" s="270"/>
      <c r="E219" s="270"/>
      <c r="F219" s="270"/>
      <c r="G219" s="270"/>
      <c r="H219" s="270"/>
      <c r="I219" s="270"/>
      <c r="J219" s="270"/>
      <c r="K219" s="270"/>
      <c r="L219" s="270"/>
      <c r="M219" s="270"/>
      <c r="N219" s="270"/>
      <c r="O219" s="270"/>
      <c r="P219" s="270"/>
      <c r="Q219" s="270"/>
      <c r="R219" s="270"/>
      <c r="S219" s="270"/>
      <c r="T219" s="270"/>
      <c r="U219" s="270"/>
      <c r="V219" s="270"/>
      <c r="W219" s="270"/>
      <c r="X219" s="270"/>
      <c r="Y219" s="270"/>
    </row>
    <row r="220" spans="3:25">
      <c r="C220" s="270"/>
      <c r="D220" s="270"/>
      <c r="E220" s="270"/>
      <c r="F220" s="270"/>
      <c r="G220" s="270"/>
      <c r="H220" s="270"/>
      <c r="I220" s="270"/>
      <c r="J220" s="270"/>
      <c r="K220" s="270"/>
      <c r="L220" s="270"/>
      <c r="M220" s="270"/>
      <c r="N220" s="270"/>
      <c r="O220" s="270"/>
      <c r="P220" s="270"/>
      <c r="Q220" s="270"/>
      <c r="R220" s="270"/>
      <c r="S220" s="270"/>
      <c r="T220" s="270"/>
      <c r="U220" s="270"/>
      <c r="V220" s="270"/>
      <c r="W220" s="270"/>
      <c r="X220" s="270"/>
      <c r="Y220" s="270"/>
    </row>
    <row r="221" spans="3:25">
      <c r="C221" s="270"/>
      <c r="D221" s="270"/>
      <c r="E221" s="270"/>
      <c r="F221" s="270"/>
      <c r="G221" s="270"/>
      <c r="H221" s="270"/>
      <c r="I221" s="270"/>
      <c r="J221" s="270"/>
      <c r="K221" s="270"/>
      <c r="L221" s="270"/>
      <c r="M221" s="270"/>
      <c r="N221" s="270"/>
      <c r="O221" s="270"/>
      <c r="P221" s="270"/>
      <c r="Q221" s="270"/>
      <c r="R221" s="270"/>
      <c r="S221" s="270"/>
      <c r="T221" s="270"/>
      <c r="U221" s="270"/>
      <c r="V221" s="270"/>
      <c r="W221" s="270"/>
      <c r="X221" s="270"/>
      <c r="Y221" s="270"/>
    </row>
    <row r="222" spans="3:25">
      <c r="C222" s="270"/>
      <c r="D222" s="270"/>
      <c r="E222" s="270"/>
      <c r="F222" s="270"/>
      <c r="G222" s="270"/>
      <c r="H222" s="270"/>
      <c r="I222" s="270"/>
      <c r="J222" s="270"/>
      <c r="K222" s="270"/>
      <c r="L222" s="270"/>
      <c r="M222" s="270"/>
      <c r="N222" s="270"/>
      <c r="O222" s="270"/>
      <c r="P222" s="270"/>
      <c r="Q222" s="270"/>
      <c r="R222" s="270"/>
      <c r="S222" s="270"/>
      <c r="T222" s="270"/>
      <c r="U222" s="270"/>
      <c r="V222" s="270"/>
      <c r="W222" s="270"/>
      <c r="X222" s="270"/>
      <c r="Y222" s="270"/>
    </row>
    <row r="223" spans="3:25">
      <c r="C223" s="270"/>
      <c r="D223" s="270"/>
      <c r="E223" s="270"/>
      <c r="F223" s="270"/>
      <c r="G223" s="270"/>
      <c r="H223" s="270"/>
      <c r="I223" s="270"/>
      <c r="J223" s="270"/>
      <c r="K223" s="270"/>
      <c r="L223" s="270"/>
      <c r="M223" s="270"/>
      <c r="N223" s="270"/>
      <c r="O223" s="270"/>
      <c r="P223" s="270"/>
      <c r="Q223" s="270"/>
      <c r="R223" s="270"/>
      <c r="S223" s="270"/>
      <c r="T223" s="270"/>
      <c r="U223" s="270"/>
      <c r="V223" s="270"/>
      <c r="W223" s="270"/>
      <c r="X223" s="270"/>
      <c r="Y223" s="270"/>
    </row>
    <row r="224" spans="3:25">
      <c r="C224" s="270"/>
      <c r="D224" s="270"/>
      <c r="E224" s="270"/>
      <c r="F224" s="270"/>
      <c r="G224" s="270"/>
      <c r="H224" s="270"/>
      <c r="I224" s="270"/>
      <c r="J224" s="270"/>
      <c r="K224" s="270"/>
      <c r="L224" s="270"/>
      <c r="M224" s="270"/>
      <c r="N224" s="270"/>
      <c r="O224" s="270"/>
      <c r="P224" s="270"/>
      <c r="Q224" s="270"/>
      <c r="R224" s="270"/>
      <c r="S224" s="270"/>
      <c r="T224" s="270"/>
      <c r="U224" s="270"/>
      <c r="V224" s="270"/>
      <c r="W224" s="270"/>
      <c r="X224" s="270"/>
      <c r="Y224" s="270"/>
    </row>
    <row r="225" spans="3:25">
      <c r="C225" s="270"/>
      <c r="D225" s="270"/>
      <c r="E225" s="270"/>
      <c r="F225" s="270"/>
      <c r="G225" s="270"/>
      <c r="H225" s="270"/>
      <c r="I225" s="270"/>
      <c r="J225" s="270"/>
      <c r="K225" s="270"/>
      <c r="L225" s="270"/>
      <c r="M225" s="270"/>
      <c r="N225" s="270"/>
      <c r="O225" s="270"/>
      <c r="P225" s="270"/>
      <c r="Q225" s="270"/>
      <c r="R225" s="270"/>
      <c r="S225" s="270"/>
      <c r="T225" s="270"/>
      <c r="U225" s="270"/>
      <c r="V225" s="270"/>
      <c r="W225" s="270"/>
      <c r="X225" s="270"/>
      <c r="Y225" s="270"/>
    </row>
    <row r="226" spans="3:25">
      <c r="C226" s="270"/>
      <c r="D226" s="270"/>
      <c r="E226" s="270"/>
      <c r="F226" s="270"/>
      <c r="G226" s="270"/>
      <c r="H226" s="270"/>
      <c r="I226" s="270"/>
      <c r="J226" s="270"/>
      <c r="K226" s="270"/>
      <c r="L226" s="270"/>
      <c r="M226" s="270"/>
      <c r="N226" s="270"/>
      <c r="O226" s="270"/>
      <c r="P226" s="270"/>
      <c r="Q226" s="270"/>
      <c r="R226" s="270"/>
      <c r="S226" s="270"/>
      <c r="T226" s="270"/>
      <c r="U226" s="270"/>
      <c r="V226" s="270"/>
      <c r="W226" s="270"/>
      <c r="X226" s="270"/>
      <c r="Y226" s="270"/>
    </row>
    <row r="227" spans="3:25">
      <c r="C227" s="270"/>
      <c r="D227" s="270"/>
      <c r="E227" s="270"/>
      <c r="F227" s="270"/>
      <c r="G227" s="270"/>
      <c r="H227" s="270"/>
      <c r="I227" s="270"/>
      <c r="J227" s="270"/>
      <c r="K227" s="270"/>
      <c r="L227" s="270"/>
      <c r="M227" s="270"/>
      <c r="N227" s="270"/>
      <c r="O227" s="270"/>
      <c r="P227" s="270"/>
      <c r="Q227" s="270"/>
      <c r="R227" s="270"/>
      <c r="S227" s="270"/>
      <c r="T227" s="270"/>
      <c r="U227" s="270"/>
      <c r="V227" s="270"/>
      <c r="W227" s="270"/>
      <c r="X227" s="270"/>
      <c r="Y227" s="270"/>
    </row>
    <row r="228" spans="3:25">
      <c r="C228" s="270"/>
      <c r="D228" s="270"/>
      <c r="E228" s="270"/>
      <c r="F228" s="270"/>
      <c r="G228" s="270"/>
      <c r="H228" s="270"/>
      <c r="I228" s="270"/>
      <c r="J228" s="270"/>
      <c r="K228" s="270"/>
      <c r="L228" s="270"/>
      <c r="M228" s="270"/>
      <c r="N228" s="270"/>
      <c r="O228" s="270"/>
      <c r="P228" s="270"/>
      <c r="Q228" s="270"/>
      <c r="R228" s="270"/>
      <c r="S228" s="270"/>
      <c r="T228" s="270"/>
      <c r="U228" s="270"/>
      <c r="V228" s="270"/>
      <c r="W228" s="270"/>
      <c r="X228" s="270"/>
      <c r="Y228" s="270"/>
    </row>
    <row r="229" spans="3:25">
      <c r="C229" s="270"/>
      <c r="D229" s="270"/>
      <c r="E229" s="270"/>
      <c r="F229" s="270"/>
      <c r="G229" s="270"/>
      <c r="H229" s="270"/>
      <c r="I229" s="270"/>
      <c r="J229" s="270"/>
      <c r="K229" s="270"/>
      <c r="L229" s="270"/>
      <c r="M229" s="270"/>
      <c r="N229" s="270"/>
      <c r="O229" s="270"/>
      <c r="P229" s="270"/>
      <c r="Q229" s="270"/>
      <c r="R229" s="270"/>
      <c r="S229" s="270"/>
      <c r="T229" s="270"/>
      <c r="U229" s="270"/>
      <c r="V229" s="270"/>
      <c r="W229" s="270"/>
      <c r="X229" s="270"/>
      <c r="Y229" s="270"/>
    </row>
    <row r="230" spans="3:25">
      <c r="C230" s="270"/>
      <c r="D230" s="270"/>
      <c r="E230" s="270"/>
      <c r="F230" s="270"/>
      <c r="G230" s="270"/>
      <c r="H230" s="270"/>
      <c r="I230" s="270"/>
      <c r="J230" s="270"/>
      <c r="K230" s="270"/>
      <c r="L230" s="270"/>
      <c r="M230" s="270"/>
      <c r="N230" s="270"/>
      <c r="O230" s="270"/>
      <c r="P230" s="270"/>
      <c r="Q230" s="270"/>
      <c r="R230" s="270"/>
      <c r="S230" s="270"/>
      <c r="T230" s="270"/>
      <c r="U230" s="270"/>
      <c r="V230" s="270"/>
      <c r="W230" s="270"/>
      <c r="X230" s="270"/>
      <c r="Y230" s="270"/>
    </row>
    <row r="231" spans="3:25">
      <c r="C231" s="270"/>
      <c r="D231" s="270"/>
      <c r="E231" s="270"/>
      <c r="F231" s="270"/>
      <c r="G231" s="270"/>
      <c r="H231" s="270"/>
      <c r="I231" s="270"/>
      <c r="J231" s="270"/>
      <c r="K231" s="270"/>
      <c r="L231" s="270"/>
      <c r="M231" s="270"/>
      <c r="N231" s="270"/>
      <c r="O231" s="270"/>
      <c r="P231" s="270"/>
      <c r="Q231" s="270"/>
      <c r="R231" s="270"/>
      <c r="S231" s="270"/>
      <c r="T231" s="270"/>
      <c r="U231" s="270"/>
      <c r="V231" s="270"/>
      <c r="W231" s="270"/>
      <c r="X231" s="270"/>
      <c r="Y231" s="270"/>
    </row>
    <row r="232" spans="3:25">
      <c r="C232" s="270"/>
      <c r="D232" s="270"/>
      <c r="E232" s="270"/>
      <c r="F232" s="270"/>
      <c r="G232" s="270"/>
      <c r="H232" s="270"/>
      <c r="I232" s="270"/>
      <c r="J232" s="270"/>
      <c r="K232" s="270"/>
      <c r="L232" s="270"/>
      <c r="M232" s="270"/>
      <c r="N232" s="270"/>
      <c r="O232" s="270"/>
      <c r="P232" s="270"/>
      <c r="Q232" s="270"/>
      <c r="R232" s="270"/>
      <c r="S232" s="270"/>
      <c r="T232" s="270"/>
      <c r="U232" s="270"/>
      <c r="V232" s="270"/>
      <c r="W232" s="270"/>
      <c r="X232" s="270"/>
      <c r="Y232" s="270"/>
    </row>
    <row r="233" spans="3:25">
      <c r="C233" s="270"/>
      <c r="D233" s="270"/>
      <c r="E233" s="270"/>
      <c r="F233" s="270"/>
      <c r="G233" s="270"/>
      <c r="H233" s="270"/>
      <c r="I233" s="270"/>
      <c r="J233" s="270"/>
      <c r="K233" s="270"/>
      <c r="L233" s="270"/>
      <c r="M233" s="270"/>
      <c r="N233" s="270"/>
      <c r="O233" s="270"/>
      <c r="P233" s="270"/>
      <c r="Q233" s="270"/>
      <c r="R233" s="270"/>
      <c r="S233" s="270"/>
      <c r="T233" s="270"/>
      <c r="U233" s="270"/>
      <c r="V233" s="270"/>
      <c r="W233" s="270"/>
      <c r="X233" s="270"/>
      <c r="Y233" s="270"/>
    </row>
    <row r="234" spans="3:25">
      <c r="C234" s="270"/>
      <c r="D234" s="270"/>
      <c r="E234" s="270"/>
      <c r="F234" s="270"/>
      <c r="G234" s="270"/>
      <c r="H234" s="270"/>
      <c r="I234" s="270"/>
      <c r="J234" s="270"/>
      <c r="K234" s="270"/>
      <c r="L234" s="270"/>
      <c r="M234" s="270"/>
      <c r="N234" s="270"/>
      <c r="O234" s="270"/>
      <c r="P234" s="270"/>
      <c r="Q234" s="270"/>
      <c r="R234" s="270"/>
      <c r="S234" s="270"/>
      <c r="T234" s="270"/>
      <c r="U234" s="270"/>
      <c r="V234" s="270"/>
      <c r="W234" s="270"/>
      <c r="X234" s="270"/>
      <c r="Y234" s="270"/>
    </row>
    <row r="235" spans="3:25">
      <c r="C235" s="270"/>
      <c r="D235" s="270"/>
      <c r="E235" s="270"/>
      <c r="F235" s="270"/>
      <c r="G235" s="270"/>
      <c r="H235" s="270"/>
      <c r="I235" s="270"/>
      <c r="J235" s="270"/>
      <c r="K235" s="270"/>
      <c r="L235" s="270"/>
      <c r="M235" s="270"/>
      <c r="N235" s="270"/>
      <c r="O235" s="270"/>
      <c r="P235" s="270"/>
      <c r="Q235" s="270"/>
      <c r="R235" s="270"/>
      <c r="S235" s="270"/>
      <c r="T235" s="270"/>
      <c r="U235" s="270"/>
      <c r="V235" s="270"/>
      <c r="W235" s="270"/>
      <c r="X235" s="270"/>
      <c r="Y235" s="270"/>
    </row>
    <row r="236" spans="3:25">
      <c r="C236" s="270"/>
      <c r="D236" s="270"/>
      <c r="E236" s="270"/>
      <c r="F236" s="270"/>
      <c r="G236" s="270"/>
      <c r="H236" s="270"/>
      <c r="I236" s="270"/>
      <c r="J236" s="270"/>
      <c r="K236" s="270"/>
      <c r="L236" s="270"/>
      <c r="M236" s="270"/>
      <c r="N236" s="270"/>
      <c r="O236" s="270"/>
      <c r="P236" s="270"/>
      <c r="Q236" s="270"/>
      <c r="R236" s="270"/>
      <c r="S236" s="270"/>
      <c r="T236" s="270"/>
      <c r="U236" s="270"/>
      <c r="V236" s="270"/>
      <c r="W236" s="270"/>
      <c r="X236" s="270"/>
      <c r="Y236" s="270"/>
    </row>
    <row r="237" spans="3:25">
      <c r="C237" s="270"/>
      <c r="D237" s="270"/>
      <c r="E237" s="270"/>
      <c r="F237" s="270"/>
      <c r="G237" s="270"/>
      <c r="H237" s="270"/>
      <c r="I237" s="270"/>
      <c r="J237" s="270"/>
      <c r="K237" s="270"/>
      <c r="L237" s="270"/>
      <c r="M237" s="270"/>
      <c r="N237" s="270"/>
      <c r="O237" s="270"/>
      <c r="P237" s="270"/>
      <c r="Q237" s="270"/>
      <c r="R237" s="270"/>
      <c r="S237" s="270"/>
      <c r="T237" s="270"/>
      <c r="U237" s="270"/>
      <c r="V237" s="270"/>
      <c r="W237" s="270"/>
      <c r="X237" s="270"/>
      <c r="Y237" s="270"/>
    </row>
    <row r="238" spans="3:25">
      <c r="C238" s="270"/>
      <c r="D238" s="270"/>
      <c r="E238" s="270"/>
      <c r="F238" s="270"/>
      <c r="G238" s="270"/>
      <c r="H238" s="270"/>
      <c r="I238" s="270"/>
      <c r="J238" s="270"/>
      <c r="K238" s="270"/>
      <c r="L238" s="270"/>
      <c r="M238" s="270"/>
      <c r="N238" s="270"/>
      <c r="O238" s="270"/>
      <c r="P238" s="270"/>
      <c r="Q238" s="270"/>
      <c r="R238" s="270"/>
      <c r="S238" s="270"/>
      <c r="T238" s="270"/>
      <c r="U238" s="270"/>
      <c r="V238" s="270"/>
      <c r="W238" s="270"/>
      <c r="X238" s="270"/>
      <c r="Y238" s="270"/>
    </row>
    <row r="239" spans="3:25">
      <c r="C239" s="270"/>
      <c r="D239" s="270"/>
      <c r="E239" s="270"/>
      <c r="F239" s="270"/>
      <c r="G239" s="270"/>
      <c r="H239" s="270"/>
      <c r="I239" s="270"/>
      <c r="J239" s="270"/>
      <c r="K239" s="270"/>
      <c r="L239" s="270"/>
      <c r="M239" s="270"/>
      <c r="N239" s="270"/>
      <c r="O239" s="270"/>
      <c r="P239" s="270"/>
      <c r="Q239" s="270"/>
      <c r="R239" s="270"/>
      <c r="S239" s="270"/>
      <c r="T239" s="270"/>
      <c r="U239" s="270"/>
      <c r="V239" s="270"/>
      <c r="W239" s="270"/>
      <c r="X239" s="270"/>
      <c r="Y239" s="270"/>
    </row>
    <row r="240" spans="3:25">
      <c r="C240" s="270"/>
      <c r="D240" s="270"/>
      <c r="E240" s="270"/>
      <c r="F240" s="270"/>
      <c r="G240" s="270"/>
      <c r="H240" s="270"/>
      <c r="I240" s="270"/>
      <c r="J240" s="270"/>
      <c r="K240" s="270"/>
      <c r="L240" s="270"/>
      <c r="M240" s="270"/>
      <c r="N240" s="270"/>
      <c r="O240" s="270"/>
      <c r="P240" s="270"/>
      <c r="Q240" s="270"/>
      <c r="R240" s="270"/>
      <c r="S240" s="270"/>
      <c r="T240" s="270"/>
      <c r="U240" s="270"/>
      <c r="V240" s="270"/>
      <c r="W240" s="270"/>
      <c r="X240" s="270"/>
      <c r="Y240" s="270"/>
    </row>
    <row r="241" spans="3:25">
      <c r="C241" s="270"/>
      <c r="D241" s="270"/>
      <c r="E241" s="270"/>
      <c r="F241" s="270"/>
      <c r="G241" s="270"/>
      <c r="H241" s="270"/>
      <c r="I241" s="270"/>
      <c r="J241" s="270"/>
      <c r="K241" s="270"/>
      <c r="L241" s="270"/>
      <c r="M241" s="270"/>
      <c r="N241" s="270"/>
      <c r="O241" s="270"/>
      <c r="P241" s="270"/>
      <c r="Q241" s="270"/>
      <c r="R241" s="270"/>
      <c r="S241" s="270"/>
      <c r="T241" s="270"/>
      <c r="U241" s="270"/>
      <c r="V241" s="270"/>
      <c r="W241" s="270"/>
      <c r="X241" s="270"/>
      <c r="Y241" s="270"/>
    </row>
    <row r="242" spans="3:25">
      <c r="C242" s="270"/>
      <c r="D242" s="270"/>
      <c r="E242" s="270"/>
      <c r="F242" s="270"/>
      <c r="G242" s="270"/>
      <c r="H242" s="270"/>
      <c r="I242" s="270"/>
      <c r="J242" s="270"/>
      <c r="K242" s="270"/>
      <c r="L242" s="270"/>
      <c r="M242" s="270"/>
      <c r="N242" s="270"/>
      <c r="O242" s="270"/>
      <c r="P242" s="270"/>
      <c r="Q242" s="270"/>
      <c r="R242" s="270"/>
      <c r="S242" s="270"/>
      <c r="T242" s="270"/>
      <c r="U242" s="270"/>
      <c r="V242" s="270"/>
      <c r="W242" s="270"/>
      <c r="X242" s="270"/>
      <c r="Y242" s="270"/>
    </row>
    <row r="243" spans="3:25">
      <c r="C243" s="270"/>
      <c r="D243" s="270"/>
      <c r="E243" s="270"/>
      <c r="F243" s="270"/>
      <c r="G243" s="270"/>
      <c r="H243" s="270"/>
      <c r="I243" s="270"/>
      <c r="J243" s="270"/>
      <c r="K243" s="270"/>
      <c r="L243" s="270"/>
      <c r="M243" s="270"/>
      <c r="N243" s="270"/>
      <c r="O243" s="270"/>
      <c r="P243" s="270"/>
      <c r="Q243" s="270"/>
      <c r="R243" s="270"/>
      <c r="S243" s="270"/>
      <c r="T243" s="270"/>
      <c r="U243" s="270"/>
      <c r="V243" s="270"/>
      <c r="W243" s="270"/>
      <c r="X243" s="270"/>
      <c r="Y243" s="270"/>
    </row>
    <row r="244" spans="3:25">
      <c r="C244" s="270"/>
      <c r="D244" s="270"/>
      <c r="E244" s="270"/>
      <c r="F244" s="270"/>
      <c r="G244" s="270"/>
      <c r="H244" s="270"/>
      <c r="I244" s="270"/>
      <c r="J244" s="270"/>
      <c r="K244" s="270"/>
      <c r="L244" s="270"/>
      <c r="M244" s="270"/>
      <c r="N244" s="270"/>
      <c r="O244" s="270"/>
      <c r="P244" s="270"/>
      <c r="Q244" s="270"/>
      <c r="R244" s="270"/>
      <c r="S244" s="270"/>
      <c r="T244" s="270"/>
      <c r="U244" s="270"/>
      <c r="V244" s="270"/>
      <c r="W244" s="270"/>
      <c r="X244" s="270"/>
      <c r="Y244" s="270"/>
    </row>
    <row r="245" spans="3:25">
      <c r="C245" s="270"/>
      <c r="D245" s="270"/>
      <c r="E245" s="270"/>
      <c r="F245" s="270"/>
      <c r="G245" s="270"/>
      <c r="H245" s="270"/>
      <c r="I245" s="270"/>
      <c r="J245" s="270"/>
      <c r="K245" s="270"/>
      <c r="L245" s="270"/>
      <c r="M245" s="270"/>
      <c r="N245" s="270"/>
      <c r="O245" s="270"/>
      <c r="P245" s="270"/>
      <c r="Q245" s="270"/>
      <c r="R245" s="270"/>
      <c r="S245" s="270"/>
      <c r="T245" s="270"/>
      <c r="U245" s="270"/>
      <c r="V245" s="270"/>
      <c r="W245" s="270"/>
      <c r="X245" s="270"/>
      <c r="Y245" s="270"/>
    </row>
    <row r="246" spans="3:25">
      <c r="C246" s="270"/>
      <c r="D246" s="270"/>
      <c r="E246" s="270"/>
      <c r="F246" s="270"/>
      <c r="G246" s="270"/>
      <c r="H246" s="270"/>
      <c r="I246" s="270"/>
      <c r="J246" s="270"/>
      <c r="K246" s="270"/>
      <c r="L246" s="270"/>
      <c r="M246" s="270"/>
      <c r="N246" s="270"/>
      <c r="O246" s="270"/>
      <c r="P246" s="270"/>
      <c r="Q246" s="270"/>
      <c r="R246" s="270"/>
      <c r="S246" s="270"/>
      <c r="T246" s="270"/>
      <c r="U246" s="270"/>
      <c r="V246" s="270"/>
      <c r="W246" s="270"/>
      <c r="X246" s="270"/>
      <c r="Y246" s="270"/>
    </row>
    <row r="247" spans="3:25">
      <c r="C247" s="270"/>
      <c r="D247" s="270"/>
      <c r="E247" s="270"/>
      <c r="F247" s="270"/>
      <c r="G247" s="270"/>
      <c r="H247" s="270"/>
      <c r="I247" s="270"/>
      <c r="J247" s="270"/>
      <c r="K247" s="270"/>
      <c r="L247" s="270"/>
      <c r="M247" s="270"/>
      <c r="N247" s="270"/>
      <c r="O247" s="270"/>
      <c r="P247" s="270"/>
      <c r="Q247" s="270"/>
      <c r="R247" s="270"/>
      <c r="S247" s="270"/>
      <c r="T247" s="270"/>
      <c r="U247" s="270"/>
      <c r="V247" s="270"/>
      <c r="W247" s="270"/>
      <c r="X247" s="270"/>
      <c r="Y247" s="270"/>
    </row>
    <row r="248" spans="3:25">
      <c r="C248" s="270"/>
      <c r="D248" s="270"/>
      <c r="E248" s="270"/>
      <c r="F248" s="270"/>
      <c r="G248" s="270"/>
      <c r="H248" s="270"/>
      <c r="I248" s="270"/>
      <c r="J248" s="270"/>
      <c r="K248" s="270"/>
      <c r="L248" s="270"/>
      <c r="M248" s="270"/>
      <c r="N248" s="270"/>
      <c r="O248" s="270"/>
      <c r="P248" s="270"/>
      <c r="Q248" s="270"/>
      <c r="R248" s="270"/>
      <c r="S248" s="270"/>
      <c r="T248" s="270"/>
      <c r="U248" s="270"/>
      <c r="V248" s="270"/>
      <c r="W248" s="270"/>
      <c r="X248" s="270"/>
      <c r="Y248" s="270"/>
    </row>
    <row r="249" spans="3:25">
      <c r="C249" s="270"/>
      <c r="D249" s="270"/>
      <c r="E249" s="270"/>
      <c r="F249" s="270"/>
      <c r="G249" s="270"/>
      <c r="H249" s="270"/>
      <c r="I249" s="270"/>
      <c r="J249" s="270"/>
      <c r="K249" s="270"/>
      <c r="L249" s="270"/>
      <c r="M249" s="270"/>
      <c r="N249" s="270"/>
      <c r="O249" s="270"/>
      <c r="P249" s="270"/>
      <c r="Q249" s="270"/>
      <c r="R249" s="270"/>
      <c r="S249" s="270"/>
      <c r="T249" s="270"/>
      <c r="U249" s="270"/>
      <c r="V249" s="270"/>
      <c r="W249" s="270"/>
      <c r="X249" s="270"/>
      <c r="Y249" s="270"/>
    </row>
    <row r="250" spans="3:25">
      <c r="C250" s="270"/>
      <c r="D250" s="270"/>
      <c r="E250" s="270"/>
      <c r="F250" s="270"/>
      <c r="G250" s="270"/>
      <c r="H250" s="270"/>
      <c r="I250" s="270"/>
      <c r="J250" s="270"/>
      <c r="K250" s="270"/>
      <c r="L250" s="270"/>
      <c r="M250" s="270"/>
      <c r="N250" s="270"/>
      <c r="O250" s="270"/>
      <c r="P250" s="270"/>
      <c r="Q250" s="270"/>
      <c r="R250" s="270"/>
      <c r="S250" s="270"/>
      <c r="T250" s="270"/>
      <c r="U250" s="270"/>
      <c r="V250" s="270"/>
      <c r="W250" s="270"/>
      <c r="X250" s="270"/>
      <c r="Y250" s="270"/>
    </row>
    <row r="251" spans="3:25">
      <c r="C251" s="270"/>
      <c r="D251" s="270"/>
      <c r="E251" s="270"/>
      <c r="F251" s="270"/>
      <c r="G251" s="270"/>
      <c r="H251" s="270"/>
      <c r="I251" s="270"/>
      <c r="J251" s="270"/>
      <c r="K251" s="270"/>
      <c r="L251" s="270"/>
      <c r="M251" s="270"/>
      <c r="N251" s="270"/>
      <c r="O251" s="270"/>
      <c r="P251" s="270"/>
      <c r="Q251" s="270"/>
      <c r="R251" s="270"/>
      <c r="S251" s="270"/>
      <c r="T251" s="270"/>
      <c r="U251" s="270"/>
      <c r="V251" s="270"/>
      <c r="W251" s="270"/>
      <c r="X251" s="270"/>
      <c r="Y251" s="270"/>
    </row>
    <row r="252" spans="3:25">
      <c r="C252" s="270"/>
      <c r="D252" s="270"/>
      <c r="E252" s="270"/>
      <c r="F252" s="270"/>
      <c r="G252" s="270"/>
      <c r="H252" s="270"/>
      <c r="I252" s="270"/>
      <c r="J252" s="270"/>
      <c r="K252" s="270"/>
      <c r="L252" s="270"/>
      <c r="M252" s="270"/>
      <c r="N252" s="270"/>
      <c r="O252" s="270"/>
      <c r="P252" s="270"/>
      <c r="Q252" s="270"/>
      <c r="R252" s="270"/>
      <c r="S252" s="270"/>
      <c r="T252" s="270"/>
      <c r="U252" s="270"/>
      <c r="V252" s="270"/>
      <c r="W252" s="270"/>
      <c r="X252" s="270"/>
      <c r="Y252" s="270"/>
    </row>
    <row r="253" spans="3:25">
      <c r="C253" s="270"/>
      <c r="D253" s="270"/>
      <c r="E253" s="270"/>
      <c r="F253" s="270"/>
      <c r="G253" s="270"/>
      <c r="H253" s="270"/>
      <c r="I253" s="270"/>
      <c r="J253" s="270"/>
      <c r="K253" s="270"/>
      <c r="L253" s="270"/>
      <c r="M253" s="270"/>
      <c r="N253" s="270"/>
      <c r="O253" s="270"/>
      <c r="P253" s="270"/>
      <c r="Q253" s="270"/>
      <c r="R253" s="270"/>
      <c r="S253" s="270"/>
      <c r="T253" s="270"/>
      <c r="U253" s="270"/>
      <c r="V253" s="270"/>
      <c r="W253" s="270"/>
      <c r="X253" s="270"/>
      <c r="Y253" s="270"/>
    </row>
    <row r="254" spans="3:25">
      <c r="C254" s="270"/>
      <c r="D254" s="270"/>
      <c r="E254" s="270"/>
      <c r="F254" s="270"/>
      <c r="G254" s="270"/>
      <c r="H254" s="270"/>
      <c r="I254" s="270"/>
      <c r="J254" s="270"/>
      <c r="K254" s="270"/>
      <c r="L254" s="270"/>
      <c r="M254" s="270"/>
      <c r="N254" s="270"/>
      <c r="O254" s="270"/>
      <c r="P254" s="270"/>
      <c r="Q254" s="270"/>
      <c r="R254" s="270"/>
      <c r="S254" s="270"/>
      <c r="T254" s="270"/>
      <c r="U254" s="270"/>
      <c r="V254" s="270"/>
      <c r="W254" s="270"/>
      <c r="X254" s="270"/>
      <c r="Y254" s="270"/>
    </row>
    <row r="255" spans="3:25">
      <c r="C255" s="270"/>
      <c r="D255" s="270"/>
      <c r="E255" s="270"/>
      <c r="F255" s="270"/>
      <c r="G255" s="270"/>
      <c r="H255" s="270"/>
      <c r="I255" s="270"/>
      <c r="J255" s="270"/>
      <c r="K255" s="270"/>
      <c r="L255" s="270"/>
      <c r="M255" s="270"/>
      <c r="N255" s="270"/>
      <c r="O255" s="270"/>
      <c r="P255" s="270"/>
      <c r="Q255" s="270"/>
      <c r="R255" s="270"/>
      <c r="S255" s="270"/>
      <c r="T255" s="270"/>
      <c r="U255" s="270"/>
      <c r="V255" s="270"/>
      <c r="W255" s="270"/>
      <c r="X255" s="270"/>
      <c r="Y255" s="270"/>
    </row>
    <row r="256" spans="3:25">
      <c r="C256" s="270"/>
      <c r="D256" s="270"/>
      <c r="E256" s="270"/>
      <c r="F256" s="270"/>
      <c r="G256" s="270"/>
      <c r="H256" s="270"/>
      <c r="I256" s="270"/>
      <c r="J256" s="270"/>
      <c r="K256" s="270"/>
      <c r="L256" s="270"/>
      <c r="M256" s="270"/>
      <c r="N256" s="270"/>
      <c r="O256" s="270"/>
      <c r="P256" s="270"/>
      <c r="Q256" s="270"/>
      <c r="R256" s="270"/>
      <c r="S256" s="270"/>
      <c r="T256" s="270"/>
      <c r="U256" s="270"/>
      <c r="V256" s="270"/>
      <c r="W256" s="270"/>
      <c r="X256" s="270"/>
      <c r="Y256" s="270"/>
    </row>
    <row r="257" spans="3:25">
      <c r="C257" s="270"/>
      <c r="D257" s="270"/>
      <c r="E257" s="270"/>
      <c r="F257" s="270"/>
      <c r="G257" s="270"/>
      <c r="H257" s="270"/>
      <c r="I257" s="270"/>
      <c r="J257" s="270"/>
      <c r="K257" s="270"/>
      <c r="L257" s="270"/>
      <c r="M257" s="270"/>
      <c r="N257" s="270"/>
      <c r="O257" s="270"/>
      <c r="P257" s="270"/>
      <c r="Q257" s="270"/>
      <c r="R257" s="270"/>
      <c r="S257" s="270"/>
      <c r="T257" s="270"/>
      <c r="U257" s="270"/>
      <c r="V257" s="270"/>
      <c r="W257" s="270"/>
      <c r="X257" s="270"/>
      <c r="Y257" s="270"/>
    </row>
    <row r="258" spans="3:25">
      <c r="C258" s="270"/>
      <c r="D258" s="270"/>
      <c r="E258" s="270"/>
      <c r="F258" s="270"/>
      <c r="G258" s="270"/>
      <c r="H258" s="270"/>
      <c r="I258" s="270"/>
      <c r="J258" s="270"/>
      <c r="K258" s="270"/>
      <c r="L258" s="270"/>
      <c r="M258" s="270"/>
      <c r="N258" s="270"/>
      <c r="O258" s="270"/>
      <c r="P258" s="270"/>
      <c r="Q258" s="270"/>
      <c r="R258" s="270"/>
      <c r="S258" s="270"/>
      <c r="T258" s="270"/>
      <c r="U258" s="270"/>
      <c r="V258" s="270"/>
      <c r="W258" s="270"/>
      <c r="X258" s="270"/>
      <c r="Y258" s="270"/>
    </row>
    <row r="259" spans="3:25">
      <c r="C259" s="270"/>
      <c r="D259" s="270"/>
      <c r="E259" s="270"/>
      <c r="F259" s="270"/>
      <c r="G259" s="270"/>
      <c r="H259" s="270"/>
      <c r="I259" s="270"/>
      <c r="J259" s="270"/>
      <c r="K259" s="270"/>
      <c r="L259" s="270"/>
      <c r="M259" s="270"/>
      <c r="N259" s="270"/>
      <c r="O259" s="270"/>
      <c r="P259" s="270"/>
      <c r="Q259" s="270"/>
      <c r="R259" s="270"/>
      <c r="S259" s="270"/>
      <c r="T259" s="270"/>
      <c r="U259" s="270"/>
      <c r="V259" s="270"/>
      <c r="W259" s="270"/>
      <c r="X259" s="270"/>
      <c r="Y259" s="270"/>
    </row>
    <row r="260" spans="3:25">
      <c r="C260" s="270"/>
      <c r="D260" s="270"/>
      <c r="E260" s="270"/>
      <c r="F260" s="270"/>
      <c r="G260" s="270"/>
      <c r="H260" s="270"/>
      <c r="I260" s="270"/>
      <c r="J260" s="270"/>
      <c r="K260" s="270"/>
      <c r="L260" s="270"/>
      <c r="M260" s="270"/>
      <c r="N260" s="270"/>
      <c r="O260" s="270"/>
      <c r="P260" s="270"/>
      <c r="Q260" s="270"/>
      <c r="R260" s="270"/>
      <c r="S260" s="270"/>
      <c r="T260" s="270"/>
      <c r="U260" s="270"/>
      <c r="V260" s="270"/>
      <c r="W260" s="270"/>
      <c r="X260" s="270"/>
      <c r="Y260" s="270"/>
    </row>
    <row r="261" spans="3:25">
      <c r="C261" s="270"/>
      <c r="D261" s="270"/>
      <c r="E261" s="270"/>
      <c r="F261" s="270"/>
      <c r="G261" s="270"/>
      <c r="H261" s="270"/>
      <c r="I261" s="270"/>
      <c r="J261" s="270"/>
      <c r="K261" s="270"/>
      <c r="L261" s="270"/>
      <c r="M261" s="270"/>
      <c r="N261" s="270"/>
      <c r="O261" s="270"/>
      <c r="P261" s="270"/>
      <c r="Q261" s="270"/>
      <c r="R261" s="270"/>
      <c r="S261" s="270"/>
      <c r="T261" s="270"/>
      <c r="U261" s="270"/>
      <c r="V261" s="270"/>
      <c r="W261" s="270"/>
      <c r="X261" s="270"/>
      <c r="Y261" s="270"/>
    </row>
    <row r="262" spans="3:25">
      <c r="C262" s="270"/>
      <c r="D262" s="270"/>
      <c r="E262" s="270"/>
      <c r="F262" s="270"/>
      <c r="G262" s="270"/>
      <c r="H262" s="270"/>
      <c r="I262" s="270"/>
      <c r="J262" s="270"/>
      <c r="K262" s="270"/>
      <c r="L262" s="270"/>
      <c r="M262" s="270"/>
      <c r="N262" s="270"/>
      <c r="O262" s="270"/>
      <c r="P262" s="270"/>
      <c r="Q262" s="270"/>
      <c r="R262" s="270"/>
      <c r="S262" s="270"/>
      <c r="T262" s="270"/>
      <c r="U262" s="270"/>
      <c r="V262" s="270"/>
      <c r="W262" s="270"/>
      <c r="X262" s="270"/>
      <c r="Y262" s="270"/>
    </row>
    <row r="263" spans="3:25">
      <c r="C263" s="270"/>
      <c r="D263" s="270"/>
      <c r="E263" s="270"/>
      <c r="F263" s="270"/>
      <c r="G263" s="270"/>
      <c r="H263" s="270"/>
      <c r="I263" s="270"/>
      <c r="J263" s="270"/>
      <c r="K263" s="270"/>
      <c r="L263" s="270"/>
      <c r="M263" s="270"/>
      <c r="N263" s="270"/>
      <c r="O263" s="270"/>
      <c r="P263" s="270"/>
      <c r="Q263" s="270"/>
      <c r="R263" s="270"/>
      <c r="S263" s="270"/>
      <c r="T263" s="270"/>
      <c r="U263" s="270"/>
      <c r="V263" s="270"/>
      <c r="W263" s="270"/>
      <c r="X263" s="270"/>
      <c r="Y263" s="270"/>
    </row>
    <row r="264" spans="3:25">
      <c r="C264" s="270"/>
      <c r="D264" s="270"/>
      <c r="E264" s="270"/>
      <c r="F264" s="270"/>
      <c r="G264" s="270"/>
      <c r="H264" s="270"/>
      <c r="I264" s="270"/>
      <c r="J264" s="270"/>
      <c r="K264" s="270"/>
      <c r="L264" s="270"/>
      <c r="M264" s="270"/>
      <c r="N264" s="270"/>
      <c r="O264" s="270"/>
      <c r="P264" s="270"/>
      <c r="Q264" s="270"/>
      <c r="R264" s="270"/>
      <c r="S264" s="270"/>
      <c r="T264" s="270"/>
      <c r="U264" s="270"/>
      <c r="V264" s="270"/>
      <c r="W264" s="270"/>
      <c r="X264" s="270"/>
      <c r="Y264" s="270"/>
    </row>
    <row r="265" spans="3:25">
      <c r="C265" s="270"/>
      <c r="D265" s="270"/>
      <c r="E265" s="270"/>
      <c r="F265" s="270"/>
      <c r="G265" s="270"/>
      <c r="H265" s="270"/>
      <c r="I265" s="270"/>
      <c r="J265" s="270"/>
      <c r="K265" s="270"/>
      <c r="L265" s="270"/>
      <c r="M265" s="270"/>
      <c r="N265" s="270"/>
      <c r="O265" s="270"/>
      <c r="P265" s="270"/>
      <c r="Q265" s="270"/>
      <c r="R265" s="270"/>
      <c r="S265" s="270"/>
      <c r="T265" s="270"/>
      <c r="U265" s="270"/>
      <c r="V265" s="270"/>
      <c r="W265" s="270"/>
      <c r="X265" s="270"/>
      <c r="Y265" s="270"/>
    </row>
    <row r="266" spans="3:25">
      <c r="C266" s="270"/>
      <c r="D266" s="270"/>
      <c r="E266" s="270"/>
      <c r="F266" s="270"/>
      <c r="G266" s="270"/>
      <c r="H266" s="270"/>
      <c r="I266" s="270"/>
      <c r="J266" s="270"/>
      <c r="K266" s="270"/>
      <c r="L266" s="270"/>
      <c r="M266" s="270"/>
      <c r="N266" s="270"/>
      <c r="O266" s="270"/>
      <c r="P266" s="270"/>
      <c r="Q266" s="270"/>
      <c r="R266" s="270"/>
      <c r="S266" s="270"/>
      <c r="T266" s="270"/>
      <c r="U266" s="270"/>
      <c r="V266" s="270"/>
      <c r="W266" s="270"/>
      <c r="X266" s="270"/>
      <c r="Y266" s="270"/>
    </row>
    <row r="267" spans="3:25">
      <c r="C267" s="270"/>
      <c r="D267" s="270"/>
      <c r="E267" s="270"/>
      <c r="F267" s="270"/>
      <c r="G267" s="270"/>
      <c r="H267" s="270"/>
      <c r="I267" s="270"/>
      <c r="J267" s="270"/>
      <c r="K267" s="270"/>
      <c r="L267" s="270"/>
      <c r="M267" s="270"/>
      <c r="N267" s="270"/>
      <c r="O267" s="270"/>
      <c r="P267" s="270"/>
      <c r="Q267" s="270"/>
      <c r="R267" s="270"/>
      <c r="S267" s="270"/>
      <c r="T267" s="270"/>
      <c r="U267" s="270"/>
      <c r="V267" s="270"/>
      <c r="W267" s="270"/>
      <c r="X267" s="270"/>
      <c r="Y267" s="270"/>
    </row>
    <row r="268" spans="3:25">
      <c r="C268" s="270"/>
      <c r="D268" s="270"/>
      <c r="E268" s="270"/>
      <c r="F268" s="270"/>
      <c r="G268" s="270"/>
      <c r="H268" s="270"/>
      <c r="I268" s="270"/>
      <c r="J268" s="270"/>
      <c r="K268" s="270"/>
      <c r="L268" s="270"/>
      <c r="M268" s="270"/>
      <c r="N268" s="270"/>
      <c r="O268" s="270"/>
      <c r="P268" s="270"/>
      <c r="Q268" s="270"/>
      <c r="R268" s="270"/>
      <c r="S268" s="270"/>
      <c r="T268" s="270"/>
      <c r="U268" s="270"/>
      <c r="V268" s="270"/>
      <c r="W268" s="270"/>
      <c r="X268" s="270"/>
      <c r="Y268" s="270"/>
    </row>
    <row r="269" spans="3:25">
      <c r="C269" s="270"/>
      <c r="D269" s="270"/>
      <c r="E269" s="270"/>
      <c r="F269" s="270"/>
      <c r="G269" s="270"/>
      <c r="H269" s="270"/>
      <c r="I269" s="270"/>
      <c r="J269" s="270"/>
      <c r="K269" s="270"/>
      <c r="L269" s="270"/>
      <c r="M269" s="270"/>
      <c r="N269" s="270"/>
      <c r="O269" s="270"/>
      <c r="P269" s="270"/>
      <c r="Q269" s="270"/>
      <c r="R269" s="270"/>
      <c r="S269" s="270"/>
      <c r="T269" s="270"/>
      <c r="U269" s="270"/>
      <c r="V269" s="270"/>
      <c r="W269" s="270"/>
      <c r="X269" s="270"/>
      <c r="Y269" s="270"/>
    </row>
    <row r="270" spans="3:25">
      <c r="C270" s="270"/>
      <c r="D270" s="270"/>
      <c r="E270" s="270"/>
      <c r="F270" s="270"/>
      <c r="G270" s="270"/>
      <c r="H270" s="270"/>
      <c r="I270" s="270"/>
      <c r="J270" s="270"/>
      <c r="K270" s="270"/>
      <c r="L270" s="270"/>
      <c r="M270" s="270"/>
      <c r="N270" s="270"/>
      <c r="O270" s="270"/>
      <c r="P270" s="270"/>
      <c r="Q270" s="270"/>
      <c r="R270" s="270"/>
      <c r="S270" s="270"/>
      <c r="T270" s="270"/>
      <c r="U270" s="270"/>
      <c r="V270" s="270"/>
      <c r="W270" s="270"/>
      <c r="X270" s="270"/>
      <c r="Y270" s="270"/>
    </row>
    <row r="271" spans="3:25">
      <c r="C271" s="270"/>
      <c r="D271" s="270"/>
      <c r="E271" s="270"/>
      <c r="F271" s="270"/>
      <c r="G271" s="270"/>
      <c r="H271" s="270"/>
      <c r="I271" s="270"/>
      <c r="J271" s="270"/>
      <c r="K271" s="270"/>
      <c r="L271" s="270"/>
      <c r="M271" s="270"/>
      <c r="N271" s="270"/>
      <c r="O271" s="270"/>
      <c r="P271" s="270"/>
      <c r="Q271" s="270"/>
      <c r="R271" s="270"/>
      <c r="S271" s="270"/>
      <c r="T271" s="270"/>
      <c r="U271" s="270"/>
      <c r="V271" s="270"/>
      <c r="W271" s="270"/>
      <c r="X271" s="270"/>
      <c r="Y271" s="270"/>
    </row>
    <row r="272" spans="3:25">
      <c r="C272" s="270"/>
      <c r="D272" s="270"/>
      <c r="E272" s="270"/>
      <c r="F272" s="270"/>
      <c r="G272" s="270"/>
      <c r="H272" s="270"/>
      <c r="I272" s="270"/>
      <c r="J272" s="270"/>
      <c r="K272" s="270"/>
      <c r="L272" s="270"/>
      <c r="M272" s="270"/>
      <c r="N272" s="270"/>
      <c r="O272" s="270"/>
      <c r="P272" s="270"/>
      <c r="Q272" s="270"/>
      <c r="R272" s="270"/>
      <c r="S272" s="270"/>
      <c r="T272" s="270"/>
      <c r="U272" s="270"/>
      <c r="V272" s="270"/>
      <c r="W272" s="270"/>
      <c r="X272" s="270"/>
      <c r="Y272" s="270"/>
    </row>
    <row r="273" spans="3:25">
      <c r="C273" s="270"/>
      <c r="D273" s="270"/>
      <c r="E273" s="270"/>
      <c r="F273" s="270"/>
      <c r="G273" s="270"/>
      <c r="H273" s="270"/>
      <c r="I273" s="270"/>
      <c r="J273" s="270"/>
      <c r="K273" s="270"/>
      <c r="L273" s="270"/>
      <c r="M273" s="270"/>
      <c r="N273" s="270"/>
      <c r="O273" s="270"/>
      <c r="P273" s="270"/>
      <c r="Q273" s="270"/>
      <c r="R273" s="270"/>
      <c r="S273" s="270"/>
      <c r="T273" s="270"/>
      <c r="U273" s="270"/>
      <c r="V273" s="270"/>
      <c r="W273" s="270"/>
      <c r="X273" s="270"/>
      <c r="Y273" s="270"/>
    </row>
    <row r="274" spans="3:25">
      <c r="C274" s="270"/>
      <c r="D274" s="270"/>
      <c r="E274" s="270"/>
      <c r="F274" s="270"/>
      <c r="G274" s="270"/>
      <c r="H274" s="270"/>
      <c r="I274" s="270"/>
      <c r="J274" s="270"/>
      <c r="K274" s="270"/>
      <c r="L274" s="270"/>
      <c r="M274" s="270"/>
      <c r="N274" s="270"/>
      <c r="O274" s="270"/>
      <c r="P274" s="270"/>
      <c r="Q274" s="270"/>
      <c r="R274" s="270"/>
      <c r="S274" s="270"/>
      <c r="T274" s="270"/>
      <c r="U274" s="270"/>
      <c r="V274" s="270"/>
      <c r="W274" s="270"/>
      <c r="X274" s="270"/>
      <c r="Y274" s="270"/>
    </row>
    <row r="275" spans="3:25">
      <c r="C275" s="270"/>
      <c r="D275" s="270"/>
      <c r="E275" s="270"/>
      <c r="F275" s="270"/>
      <c r="G275" s="270"/>
      <c r="H275" s="270"/>
      <c r="I275" s="270"/>
      <c r="J275" s="270"/>
      <c r="K275" s="270"/>
      <c r="L275" s="270"/>
      <c r="M275" s="270"/>
      <c r="N275" s="270"/>
      <c r="O275" s="270"/>
      <c r="P275" s="270"/>
      <c r="Q275" s="270"/>
      <c r="R275" s="270"/>
      <c r="S275" s="270"/>
      <c r="T275" s="270"/>
      <c r="U275" s="270"/>
      <c r="V275" s="270"/>
      <c r="W275" s="270"/>
      <c r="X275" s="270"/>
      <c r="Y275" s="270"/>
    </row>
    <row r="276" spans="3:25">
      <c r="C276" s="270"/>
      <c r="D276" s="270"/>
      <c r="E276" s="270"/>
      <c r="F276" s="270"/>
      <c r="G276" s="270"/>
      <c r="H276" s="270"/>
      <c r="I276" s="270"/>
      <c r="J276" s="270"/>
      <c r="K276" s="270"/>
      <c r="L276" s="270"/>
      <c r="M276" s="270"/>
      <c r="N276" s="270"/>
      <c r="O276" s="270"/>
      <c r="P276" s="270"/>
      <c r="Q276" s="270"/>
      <c r="R276" s="270"/>
      <c r="S276" s="270"/>
      <c r="T276" s="270"/>
      <c r="U276" s="270"/>
      <c r="V276" s="270"/>
      <c r="W276" s="270"/>
      <c r="X276" s="270"/>
      <c r="Y276" s="270"/>
    </row>
    <row r="277" spans="3:25">
      <c r="C277" s="270"/>
      <c r="D277" s="270"/>
      <c r="E277" s="270"/>
      <c r="F277" s="270"/>
      <c r="G277" s="270"/>
      <c r="H277" s="270"/>
      <c r="I277" s="270"/>
      <c r="J277" s="270"/>
      <c r="K277" s="270"/>
      <c r="L277" s="270"/>
      <c r="M277" s="270"/>
      <c r="N277" s="270"/>
      <c r="O277" s="270"/>
      <c r="P277" s="270"/>
      <c r="Q277" s="270"/>
      <c r="R277" s="270"/>
      <c r="S277" s="270"/>
      <c r="T277" s="270"/>
      <c r="U277" s="270"/>
      <c r="V277" s="270"/>
      <c r="W277" s="270"/>
      <c r="X277" s="270"/>
      <c r="Y277" s="270"/>
    </row>
    <row r="278" spans="3:25">
      <c r="C278" s="270"/>
      <c r="D278" s="270"/>
      <c r="E278" s="270"/>
      <c r="F278" s="270"/>
      <c r="G278" s="270"/>
      <c r="H278" s="270"/>
      <c r="I278" s="270"/>
      <c r="J278" s="270"/>
      <c r="K278" s="270"/>
      <c r="L278" s="270"/>
      <c r="M278" s="270"/>
      <c r="N278" s="270"/>
      <c r="O278" s="270"/>
      <c r="P278" s="270"/>
      <c r="Q278" s="270"/>
      <c r="R278" s="270"/>
      <c r="S278" s="270"/>
      <c r="T278" s="270"/>
      <c r="U278" s="270"/>
      <c r="V278" s="270"/>
      <c r="W278" s="270"/>
      <c r="X278" s="270"/>
      <c r="Y278" s="270"/>
    </row>
    <row r="279" spans="3:25">
      <c r="C279" s="270"/>
      <c r="D279" s="270"/>
      <c r="E279" s="270"/>
      <c r="F279" s="270"/>
      <c r="G279" s="270"/>
      <c r="H279" s="270"/>
      <c r="I279" s="270"/>
      <c r="J279" s="270"/>
      <c r="K279" s="270"/>
      <c r="L279" s="270"/>
      <c r="M279" s="270"/>
      <c r="N279" s="270"/>
      <c r="O279" s="270"/>
      <c r="P279" s="270"/>
      <c r="Q279" s="270"/>
      <c r="R279" s="270"/>
      <c r="S279" s="270"/>
      <c r="T279" s="270"/>
      <c r="U279" s="270"/>
      <c r="V279" s="270"/>
      <c r="W279" s="270"/>
      <c r="X279" s="270"/>
      <c r="Y279" s="270"/>
    </row>
    <row r="280" spans="3:25">
      <c r="C280" s="270"/>
      <c r="D280" s="270"/>
      <c r="E280" s="270"/>
      <c r="F280" s="270"/>
      <c r="G280" s="270"/>
      <c r="H280" s="270"/>
      <c r="I280" s="270"/>
      <c r="J280" s="270"/>
      <c r="K280" s="270"/>
      <c r="L280" s="270"/>
      <c r="M280" s="270"/>
      <c r="N280" s="270"/>
      <c r="O280" s="270"/>
      <c r="P280" s="270"/>
      <c r="Q280" s="270"/>
      <c r="R280" s="270"/>
      <c r="S280" s="270"/>
      <c r="T280" s="270"/>
      <c r="U280" s="270"/>
      <c r="V280" s="270"/>
      <c r="W280" s="270"/>
      <c r="X280" s="270"/>
      <c r="Y280" s="270"/>
    </row>
    <row r="281" spans="3:25">
      <c r="C281" s="270"/>
      <c r="D281" s="270"/>
      <c r="E281" s="270"/>
      <c r="F281" s="270"/>
      <c r="G281" s="270"/>
      <c r="H281" s="270"/>
      <c r="I281" s="270"/>
      <c r="J281" s="270"/>
      <c r="K281" s="270"/>
      <c r="L281" s="270"/>
      <c r="M281" s="270"/>
      <c r="N281" s="270"/>
      <c r="O281" s="270"/>
      <c r="P281" s="270"/>
      <c r="Q281" s="270"/>
      <c r="R281" s="270"/>
      <c r="S281" s="270"/>
      <c r="T281" s="270"/>
      <c r="U281" s="270"/>
      <c r="V281" s="270"/>
      <c r="W281" s="270"/>
      <c r="X281" s="270"/>
      <c r="Y281" s="270"/>
    </row>
    <row r="282" spans="3:25">
      <c r="C282" s="270"/>
      <c r="D282" s="270"/>
      <c r="E282" s="270"/>
      <c r="F282" s="270"/>
      <c r="G282" s="270"/>
      <c r="H282" s="270"/>
      <c r="I282" s="270"/>
      <c r="J282" s="270"/>
      <c r="K282" s="270"/>
      <c r="L282" s="270"/>
      <c r="M282" s="270"/>
      <c r="N282" s="270"/>
      <c r="O282" s="270"/>
      <c r="P282" s="270"/>
      <c r="Q282" s="270"/>
      <c r="R282" s="270"/>
      <c r="S282" s="270"/>
      <c r="T282" s="270"/>
      <c r="U282" s="270"/>
      <c r="V282" s="270"/>
      <c r="W282" s="270"/>
      <c r="X282" s="270"/>
      <c r="Y282" s="270"/>
    </row>
    <row r="283" spans="3:25">
      <c r="C283" s="270"/>
      <c r="D283" s="270"/>
      <c r="E283" s="270"/>
      <c r="F283" s="270"/>
      <c r="G283" s="270"/>
      <c r="H283" s="270"/>
      <c r="I283" s="270"/>
      <c r="J283" s="270"/>
      <c r="K283" s="270"/>
      <c r="L283" s="270"/>
      <c r="M283" s="270"/>
      <c r="N283" s="270"/>
      <c r="O283" s="270"/>
      <c r="P283" s="270"/>
      <c r="Q283" s="270"/>
      <c r="R283" s="270"/>
      <c r="S283" s="270"/>
      <c r="T283" s="270"/>
      <c r="U283" s="270"/>
      <c r="V283" s="270"/>
      <c r="W283" s="270"/>
      <c r="X283" s="270"/>
      <c r="Y283" s="270"/>
    </row>
    <row r="284" spans="3:25">
      <c r="C284" s="270"/>
      <c r="D284" s="270"/>
      <c r="E284" s="270"/>
      <c r="F284" s="270"/>
      <c r="G284" s="270"/>
      <c r="H284" s="270"/>
      <c r="I284" s="270"/>
      <c r="J284" s="270"/>
      <c r="K284" s="270"/>
      <c r="L284" s="270"/>
      <c r="M284" s="270"/>
      <c r="N284" s="270"/>
      <c r="O284" s="270"/>
      <c r="P284" s="270"/>
      <c r="Q284" s="270"/>
      <c r="R284" s="270"/>
      <c r="S284" s="270"/>
      <c r="T284" s="270"/>
      <c r="U284" s="270"/>
      <c r="V284" s="270"/>
      <c r="W284" s="270"/>
      <c r="X284" s="270"/>
      <c r="Y284" s="270"/>
    </row>
    <row r="285" spans="3:25">
      <c r="C285" s="270"/>
      <c r="D285" s="270"/>
      <c r="E285" s="270"/>
      <c r="F285" s="270"/>
      <c r="G285" s="270"/>
      <c r="H285" s="270"/>
      <c r="I285" s="270"/>
      <c r="J285" s="270"/>
      <c r="K285" s="270"/>
      <c r="L285" s="270"/>
      <c r="M285" s="270"/>
      <c r="N285" s="270"/>
      <c r="O285" s="270"/>
      <c r="P285" s="270"/>
      <c r="Q285" s="270"/>
      <c r="R285" s="270"/>
      <c r="S285" s="270"/>
      <c r="T285" s="270"/>
      <c r="U285" s="270"/>
      <c r="V285" s="270"/>
      <c r="W285" s="270"/>
      <c r="X285" s="270"/>
      <c r="Y285" s="270"/>
    </row>
    <row r="286" spans="3:25">
      <c r="C286" s="270"/>
      <c r="D286" s="270"/>
      <c r="E286" s="270"/>
      <c r="F286" s="270"/>
      <c r="G286" s="270"/>
      <c r="H286" s="270"/>
      <c r="I286" s="270"/>
      <c r="J286" s="270"/>
      <c r="K286" s="270"/>
      <c r="L286" s="270"/>
      <c r="M286" s="270"/>
      <c r="N286" s="270"/>
      <c r="O286" s="270"/>
      <c r="P286" s="270"/>
      <c r="Q286" s="270"/>
      <c r="R286" s="270"/>
      <c r="S286" s="270"/>
      <c r="T286" s="270"/>
      <c r="U286" s="270"/>
      <c r="V286" s="270"/>
      <c r="W286" s="270"/>
      <c r="X286" s="270"/>
      <c r="Y286" s="270"/>
    </row>
    <row r="287" spans="3:25">
      <c r="C287" s="270"/>
      <c r="D287" s="270"/>
      <c r="E287" s="270"/>
      <c r="F287" s="270"/>
      <c r="G287" s="270"/>
      <c r="H287" s="270"/>
      <c r="I287" s="270"/>
      <c r="J287" s="270"/>
      <c r="K287" s="270"/>
      <c r="L287" s="270"/>
      <c r="M287" s="270"/>
      <c r="N287" s="270"/>
      <c r="O287" s="270"/>
      <c r="P287" s="270"/>
      <c r="Q287" s="270"/>
      <c r="R287" s="270"/>
      <c r="S287" s="270"/>
      <c r="T287" s="270"/>
      <c r="U287" s="270"/>
      <c r="V287" s="270"/>
      <c r="W287" s="270"/>
      <c r="X287" s="270"/>
      <c r="Y287" s="270"/>
    </row>
    <row r="288" spans="3:25">
      <c r="C288" s="270"/>
      <c r="D288" s="270"/>
      <c r="E288" s="270"/>
      <c r="F288" s="270"/>
      <c r="G288" s="270"/>
      <c r="H288" s="270"/>
      <c r="I288" s="270"/>
      <c r="J288" s="270"/>
      <c r="K288" s="270"/>
      <c r="L288" s="270"/>
      <c r="M288" s="270"/>
      <c r="N288" s="270"/>
      <c r="O288" s="270"/>
      <c r="P288" s="270"/>
      <c r="Q288" s="270"/>
      <c r="R288" s="270"/>
      <c r="S288" s="270"/>
      <c r="T288" s="270"/>
      <c r="U288" s="270"/>
      <c r="V288" s="270"/>
      <c r="W288" s="270"/>
      <c r="X288" s="270"/>
      <c r="Y288" s="270"/>
    </row>
    <row r="289" spans="3:25">
      <c r="C289" s="270"/>
      <c r="D289" s="270"/>
      <c r="E289" s="270"/>
      <c r="F289" s="270"/>
      <c r="G289" s="270"/>
      <c r="H289" s="270"/>
      <c r="I289" s="270"/>
      <c r="J289" s="270"/>
      <c r="K289" s="270"/>
      <c r="L289" s="270"/>
      <c r="M289" s="270"/>
      <c r="N289" s="270"/>
      <c r="O289" s="270"/>
      <c r="P289" s="270"/>
      <c r="Q289" s="270"/>
      <c r="R289" s="270"/>
      <c r="S289" s="270"/>
      <c r="T289" s="270"/>
      <c r="U289" s="270"/>
      <c r="V289" s="270"/>
      <c r="W289" s="270"/>
      <c r="X289" s="270"/>
      <c r="Y289" s="270"/>
    </row>
    <row r="290" spans="3:25">
      <c r="C290" s="270"/>
      <c r="D290" s="270"/>
      <c r="E290" s="270"/>
      <c r="F290" s="270"/>
      <c r="G290" s="270"/>
      <c r="H290" s="270"/>
      <c r="I290" s="270"/>
      <c r="J290" s="270"/>
      <c r="K290" s="270"/>
      <c r="L290" s="270"/>
      <c r="M290" s="270"/>
      <c r="N290" s="270"/>
      <c r="O290" s="270"/>
      <c r="P290" s="270"/>
      <c r="Q290" s="270"/>
      <c r="R290" s="270"/>
      <c r="S290" s="270"/>
      <c r="T290" s="270"/>
      <c r="U290" s="270"/>
      <c r="V290" s="270"/>
      <c r="W290" s="270"/>
      <c r="X290" s="270"/>
      <c r="Y290" s="270"/>
    </row>
    <row r="291" spans="3:25">
      <c r="C291" s="270"/>
      <c r="D291" s="270"/>
      <c r="E291" s="270"/>
      <c r="F291" s="270"/>
      <c r="G291" s="270"/>
      <c r="H291" s="270"/>
      <c r="I291" s="270"/>
      <c r="J291" s="270"/>
      <c r="K291" s="270"/>
      <c r="L291" s="270"/>
      <c r="M291" s="270"/>
      <c r="N291" s="270"/>
      <c r="O291" s="270"/>
      <c r="P291" s="270"/>
      <c r="Q291" s="270"/>
      <c r="R291" s="270"/>
      <c r="S291" s="270"/>
      <c r="T291" s="270"/>
      <c r="U291" s="270"/>
      <c r="V291" s="270"/>
      <c r="W291" s="270"/>
      <c r="X291" s="270"/>
      <c r="Y291" s="270"/>
    </row>
    <row r="292" spans="3:25">
      <c r="C292" s="270"/>
      <c r="D292" s="270"/>
      <c r="E292" s="270"/>
      <c r="F292" s="270"/>
      <c r="G292" s="270"/>
      <c r="H292" s="270"/>
      <c r="I292" s="270"/>
      <c r="J292" s="270"/>
      <c r="K292" s="270"/>
      <c r="L292" s="270"/>
      <c r="M292" s="270"/>
      <c r="N292" s="270"/>
      <c r="O292" s="270"/>
      <c r="P292" s="270"/>
      <c r="Q292" s="270"/>
      <c r="R292" s="270"/>
      <c r="S292" s="270"/>
      <c r="T292" s="270"/>
      <c r="U292" s="270"/>
      <c r="V292" s="270"/>
      <c r="W292" s="270"/>
      <c r="X292" s="270"/>
      <c r="Y292" s="270"/>
    </row>
    <row r="293" spans="3:25">
      <c r="C293" s="270"/>
      <c r="D293" s="270"/>
      <c r="E293" s="270"/>
      <c r="F293" s="270"/>
      <c r="G293" s="270"/>
      <c r="H293" s="270"/>
      <c r="I293" s="270"/>
      <c r="J293" s="270"/>
      <c r="K293" s="270"/>
      <c r="L293" s="270"/>
      <c r="M293" s="270"/>
      <c r="N293" s="270"/>
      <c r="O293" s="270"/>
      <c r="P293" s="270"/>
      <c r="Q293" s="270"/>
      <c r="R293" s="270"/>
      <c r="S293" s="270"/>
      <c r="T293" s="270"/>
      <c r="U293" s="270"/>
      <c r="V293" s="270"/>
      <c r="W293" s="270"/>
      <c r="X293" s="270"/>
      <c r="Y293" s="270"/>
    </row>
    <row r="294" spans="3:25">
      <c r="C294" s="270"/>
      <c r="D294" s="270"/>
      <c r="E294" s="270"/>
      <c r="F294" s="270"/>
      <c r="G294" s="270"/>
      <c r="H294" s="270"/>
      <c r="I294" s="270"/>
      <c r="J294" s="270"/>
      <c r="K294" s="270"/>
      <c r="L294" s="270"/>
      <c r="M294" s="270"/>
      <c r="N294" s="270"/>
      <c r="O294" s="270"/>
      <c r="P294" s="270"/>
      <c r="Q294" s="270"/>
      <c r="R294" s="270"/>
      <c r="S294" s="270"/>
      <c r="T294" s="270"/>
      <c r="U294" s="270"/>
      <c r="V294" s="270"/>
      <c r="W294" s="270"/>
      <c r="X294" s="270"/>
      <c r="Y294" s="270"/>
    </row>
    <row r="295" spans="3:25">
      <c r="C295" s="270"/>
      <c r="D295" s="270"/>
      <c r="E295" s="270"/>
      <c r="F295" s="270"/>
      <c r="G295" s="270"/>
      <c r="H295" s="270"/>
      <c r="I295" s="270"/>
      <c r="J295" s="270"/>
      <c r="K295" s="270"/>
      <c r="L295" s="270"/>
      <c r="M295" s="270"/>
      <c r="N295" s="270"/>
      <c r="O295" s="270"/>
      <c r="P295" s="270"/>
      <c r="Q295" s="270"/>
      <c r="R295" s="270"/>
      <c r="S295" s="270"/>
      <c r="T295" s="270"/>
      <c r="U295" s="270"/>
      <c r="V295" s="270"/>
      <c r="W295" s="270"/>
      <c r="X295" s="270"/>
      <c r="Y295" s="270"/>
    </row>
    <row r="296" spans="3:25">
      <c r="C296" s="270"/>
      <c r="D296" s="270"/>
      <c r="E296" s="270"/>
      <c r="F296" s="270"/>
      <c r="G296" s="270"/>
      <c r="H296" s="270"/>
      <c r="I296" s="270"/>
      <c r="J296" s="270"/>
      <c r="K296" s="270"/>
      <c r="L296" s="270"/>
      <c r="M296" s="270"/>
      <c r="N296" s="270"/>
      <c r="O296" s="270"/>
      <c r="P296" s="270"/>
      <c r="Q296" s="270"/>
      <c r="R296" s="270"/>
      <c r="S296" s="270"/>
      <c r="T296" s="270"/>
      <c r="U296" s="270"/>
      <c r="V296" s="270"/>
      <c r="W296" s="270"/>
      <c r="X296" s="270"/>
      <c r="Y296" s="270"/>
    </row>
    <row r="297" spans="3:25">
      <c r="C297" s="270"/>
      <c r="D297" s="270"/>
      <c r="E297" s="270"/>
      <c r="F297" s="270"/>
      <c r="G297" s="270"/>
      <c r="H297" s="270"/>
      <c r="I297" s="270"/>
      <c r="J297" s="270"/>
      <c r="K297" s="270"/>
      <c r="L297" s="270"/>
      <c r="M297" s="270"/>
      <c r="N297" s="270"/>
      <c r="O297" s="270"/>
      <c r="P297" s="270"/>
      <c r="Q297" s="270"/>
      <c r="R297" s="270"/>
    </row>
    <row r="298" spans="3:25">
      <c r="C298" s="270"/>
      <c r="D298" s="270"/>
      <c r="E298" s="270"/>
      <c r="F298" s="270"/>
      <c r="G298" s="270"/>
      <c r="H298" s="270"/>
      <c r="I298" s="270"/>
      <c r="J298" s="270"/>
      <c r="K298" s="270"/>
      <c r="L298" s="270"/>
      <c r="M298" s="270"/>
      <c r="N298" s="270"/>
      <c r="O298" s="270"/>
      <c r="P298" s="270"/>
      <c r="Q298" s="270"/>
      <c r="R298" s="270"/>
    </row>
    <row r="299" spans="3:25">
      <c r="C299" s="270"/>
      <c r="D299" s="270"/>
      <c r="E299" s="270"/>
      <c r="F299" s="270"/>
      <c r="G299" s="270"/>
      <c r="H299" s="270"/>
      <c r="I299" s="270"/>
      <c r="J299" s="270"/>
      <c r="K299" s="270"/>
      <c r="L299" s="270"/>
      <c r="M299" s="270"/>
      <c r="N299" s="270"/>
      <c r="O299" s="270"/>
      <c r="P299" s="270"/>
      <c r="Q299" s="270"/>
      <c r="R299" s="270"/>
    </row>
    <row r="300" spans="3:25">
      <c r="C300" s="270"/>
      <c r="D300" s="270"/>
      <c r="E300" s="270"/>
      <c r="F300" s="270"/>
      <c r="G300" s="270"/>
      <c r="H300" s="270"/>
      <c r="I300" s="270"/>
      <c r="J300" s="270"/>
      <c r="K300" s="270"/>
      <c r="L300" s="270"/>
      <c r="M300" s="270"/>
      <c r="N300" s="270"/>
      <c r="O300" s="270"/>
      <c r="P300" s="270"/>
      <c r="Q300" s="270"/>
      <c r="R300" s="270"/>
    </row>
    <row r="301" spans="3:25">
      <c r="C301" s="270"/>
      <c r="D301" s="270"/>
      <c r="E301" s="270"/>
      <c r="F301" s="270"/>
      <c r="G301" s="270"/>
      <c r="H301" s="270"/>
      <c r="I301" s="270"/>
      <c r="J301" s="270"/>
      <c r="K301" s="270"/>
      <c r="L301" s="270"/>
      <c r="M301" s="270"/>
      <c r="N301" s="270"/>
      <c r="O301" s="270"/>
      <c r="P301" s="270"/>
      <c r="Q301" s="270"/>
      <c r="R301" s="270"/>
    </row>
    <row r="302" spans="3:25">
      <c r="C302" s="270"/>
      <c r="D302" s="270"/>
      <c r="E302" s="270"/>
      <c r="F302" s="270"/>
      <c r="G302" s="270"/>
      <c r="H302" s="270"/>
      <c r="I302" s="270"/>
      <c r="J302" s="270"/>
      <c r="K302" s="270"/>
      <c r="L302" s="270"/>
      <c r="M302" s="270"/>
      <c r="N302" s="270"/>
      <c r="O302" s="270"/>
      <c r="P302" s="270"/>
      <c r="Q302" s="270"/>
      <c r="R302" s="270"/>
    </row>
    <row r="303" spans="3:25">
      <c r="C303" s="270"/>
      <c r="D303" s="270"/>
      <c r="E303" s="270"/>
      <c r="F303" s="270"/>
      <c r="G303" s="270"/>
      <c r="H303" s="270"/>
      <c r="I303" s="270"/>
      <c r="J303" s="270"/>
      <c r="K303" s="270"/>
      <c r="L303" s="270"/>
      <c r="M303" s="270"/>
      <c r="N303" s="270"/>
      <c r="O303" s="270"/>
      <c r="P303" s="270"/>
      <c r="Q303" s="270"/>
      <c r="R303" s="270"/>
    </row>
    <row r="304" spans="3:25">
      <c r="C304" s="270"/>
      <c r="D304" s="270"/>
      <c r="E304" s="270"/>
      <c r="F304" s="270"/>
      <c r="G304" s="270"/>
      <c r="H304" s="270"/>
      <c r="I304" s="270"/>
      <c r="J304" s="270"/>
      <c r="K304" s="270"/>
      <c r="L304" s="270"/>
      <c r="M304" s="270"/>
      <c r="N304" s="270"/>
      <c r="O304" s="270"/>
      <c r="P304" s="270"/>
      <c r="Q304" s="270"/>
      <c r="R304" s="270"/>
    </row>
  </sheetData>
  <mergeCells count="9">
    <mergeCell ref="C103:R103"/>
    <mergeCell ref="C104:R104"/>
    <mergeCell ref="C105:R105"/>
    <mergeCell ref="C96:R96"/>
    <mergeCell ref="C98:R98"/>
    <mergeCell ref="C99:R99"/>
    <mergeCell ref="C100:R100"/>
    <mergeCell ref="C101:R101"/>
    <mergeCell ref="C102:R102"/>
  </mergeCells>
  <pageMargins left="0.75" right="0.75" top="1" bottom="1" header="0.5" footer="0.5"/>
  <pageSetup scale="41" fitToHeight="2" orientation="landscape" r:id="rId1"/>
  <headerFooter alignWithMargins="0"/>
  <rowBreaks count="1" manualBreakCount="1">
    <brk id="59" max="1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K64"/>
  <sheetViews>
    <sheetView showGridLines="0" workbookViewId="0">
      <selection activeCell="C59" sqref="C59"/>
    </sheetView>
  </sheetViews>
  <sheetFormatPr defaultRowHeight="12.75"/>
  <cols>
    <col min="1" max="1" width="18.625" style="330" customWidth="1"/>
    <col min="2" max="2" width="28.75" style="330" customWidth="1"/>
    <col min="3" max="3" width="14.375" style="330" customWidth="1"/>
    <col min="4" max="7" width="9.625" style="330" customWidth="1"/>
    <col min="8" max="9" width="9.625" style="330" hidden="1" customWidth="1"/>
    <col min="10" max="10" width="10.125" style="330" hidden="1" customWidth="1"/>
    <col min="11" max="11" width="8" style="330" hidden="1" customWidth="1"/>
    <col min="12" max="16384" width="9" style="330"/>
  </cols>
  <sheetData>
    <row r="1" spans="1:11" s="394" customFormat="1" ht="18">
      <c r="A1" s="393" t="s">
        <v>543</v>
      </c>
    </row>
    <row r="2" spans="1:11">
      <c r="A2" s="395"/>
    </row>
    <row r="3" spans="1:11">
      <c r="A3" s="396" t="s">
        <v>517</v>
      </c>
      <c r="B3" s="397">
        <v>2016</v>
      </c>
      <c r="C3" s="398"/>
    </row>
    <row r="4" spans="1:11">
      <c r="A4" s="395"/>
      <c r="B4" s="398"/>
      <c r="C4" s="398"/>
    </row>
    <row r="5" spans="1:11" ht="15">
      <c r="A5" s="396" t="s">
        <v>518</v>
      </c>
      <c r="B5" s="440" t="s">
        <v>287</v>
      </c>
      <c r="C5" s="398"/>
      <c r="D5" s="441"/>
      <c r="E5" s="441"/>
      <c r="F5" s="441"/>
      <c r="G5" s="441"/>
    </row>
    <row r="6" spans="1:11" ht="15">
      <c r="A6" s="395"/>
      <c r="B6" s="398"/>
      <c r="C6" s="398"/>
      <c r="D6" s="441"/>
      <c r="E6" s="441"/>
      <c r="F6" s="441"/>
      <c r="G6" s="441"/>
      <c r="K6" s="401" t="s">
        <v>519</v>
      </c>
    </row>
    <row r="7" spans="1:11">
      <c r="A7" s="402"/>
      <c r="B7" s="403" t="s">
        <v>520</v>
      </c>
      <c r="C7" s="404" t="s">
        <v>544</v>
      </c>
      <c r="D7" s="442"/>
      <c r="E7" s="442"/>
      <c r="F7" s="442"/>
      <c r="G7" s="442"/>
      <c r="H7" s="406"/>
      <c r="I7" s="406"/>
      <c r="J7" s="406"/>
      <c r="K7" s="405" t="s">
        <v>521</v>
      </c>
    </row>
    <row r="8" spans="1:11">
      <c r="A8" s="402"/>
      <c r="B8" s="403" t="s">
        <v>12</v>
      </c>
      <c r="C8" s="406" t="s">
        <v>29</v>
      </c>
      <c r="D8" s="442"/>
      <c r="E8" s="442"/>
      <c r="F8" s="442"/>
      <c r="G8" s="442"/>
      <c r="H8" s="406"/>
      <c r="I8" s="406"/>
      <c r="J8" s="406"/>
    </row>
    <row r="9" spans="1:11" ht="15" customHeight="1">
      <c r="A9" s="402"/>
      <c r="B9" s="403" t="s">
        <v>522</v>
      </c>
      <c r="C9" s="406" t="s">
        <v>519</v>
      </c>
      <c r="D9" s="442" t="s">
        <v>519</v>
      </c>
      <c r="E9" s="442" t="s">
        <v>519</v>
      </c>
      <c r="F9" s="442" t="s">
        <v>519</v>
      </c>
      <c r="G9" s="442" t="s">
        <v>519</v>
      </c>
      <c r="H9" s="443" t="s">
        <v>519</v>
      </c>
      <c r="I9" s="443" t="s">
        <v>521</v>
      </c>
      <c r="J9" s="443" t="s">
        <v>521</v>
      </c>
    </row>
    <row r="10" spans="1:11">
      <c r="A10" s="407" t="s">
        <v>523</v>
      </c>
      <c r="B10" s="408" t="str">
        <f xml:space="preserve"> "December " &amp; B3-1</f>
        <v>December 2015</v>
      </c>
      <c r="C10" s="409">
        <v>444306561.35127813</v>
      </c>
      <c r="D10" s="444"/>
      <c r="E10" s="444"/>
      <c r="F10" s="444"/>
      <c r="G10" s="444"/>
      <c r="H10" s="445"/>
      <c r="I10" s="446"/>
      <c r="J10" s="445"/>
    </row>
    <row r="11" spans="1:11">
      <c r="A11" s="411" t="s">
        <v>524</v>
      </c>
      <c r="B11" s="412" t="str">
        <f xml:space="preserve"> "January " &amp; B3</f>
        <v>January 2016</v>
      </c>
      <c r="C11" s="447">
        <v>441281796.63394946</v>
      </c>
      <c r="D11" s="448"/>
      <c r="E11" s="448"/>
      <c r="F11" s="448"/>
      <c r="G11" s="448"/>
      <c r="H11" s="449"/>
      <c r="I11" s="450"/>
      <c r="J11" s="449"/>
    </row>
    <row r="12" spans="1:11">
      <c r="A12" s="411"/>
      <c r="B12" s="415" t="s">
        <v>525</v>
      </c>
      <c r="C12" s="447">
        <v>444097836.65169823</v>
      </c>
      <c r="D12" s="448"/>
      <c r="E12" s="448"/>
      <c r="F12" s="448"/>
      <c r="G12" s="448"/>
      <c r="H12" s="449"/>
      <c r="I12" s="450"/>
      <c r="J12" s="449"/>
    </row>
    <row r="13" spans="1:11">
      <c r="A13" s="411"/>
      <c r="B13" s="415" t="s">
        <v>526</v>
      </c>
      <c r="C13" s="447">
        <v>445197015.93208534</v>
      </c>
      <c r="D13" s="448"/>
      <c r="E13" s="448"/>
      <c r="F13" s="448"/>
      <c r="G13" s="448"/>
      <c r="H13" s="449"/>
      <c r="I13" s="450"/>
      <c r="J13" s="449"/>
    </row>
    <row r="14" spans="1:11">
      <c r="A14" s="411"/>
      <c r="B14" s="415" t="s">
        <v>527</v>
      </c>
      <c r="C14" s="447">
        <v>443381131.31728059</v>
      </c>
      <c r="D14" s="448"/>
      <c r="E14" s="448"/>
      <c r="F14" s="448"/>
      <c r="G14" s="448"/>
      <c r="H14" s="449"/>
      <c r="I14" s="450"/>
      <c r="J14" s="449"/>
    </row>
    <row r="15" spans="1:11">
      <c r="A15" s="411"/>
      <c r="B15" s="415" t="s">
        <v>59</v>
      </c>
      <c r="C15" s="447">
        <v>442979962.31247455</v>
      </c>
      <c r="D15" s="448"/>
      <c r="E15" s="448"/>
      <c r="F15" s="448"/>
      <c r="G15" s="448"/>
      <c r="H15" s="449"/>
      <c r="I15" s="450"/>
      <c r="J15" s="449"/>
    </row>
    <row r="16" spans="1:11">
      <c r="A16" s="411"/>
      <c r="B16" s="415" t="s">
        <v>528</v>
      </c>
      <c r="C16" s="447">
        <v>442708375.63096648</v>
      </c>
      <c r="D16" s="448"/>
      <c r="E16" s="448"/>
      <c r="F16" s="448"/>
      <c r="G16" s="448"/>
      <c r="H16" s="449"/>
      <c r="I16" s="450"/>
      <c r="J16" s="449"/>
    </row>
    <row r="17" spans="1:10">
      <c r="A17" s="411"/>
      <c r="B17" s="415" t="s">
        <v>529</v>
      </c>
      <c r="C17" s="447">
        <v>441898311.02157301</v>
      </c>
      <c r="D17" s="448"/>
      <c r="E17" s="448"/>
      <c r="F17" s="448"/>
      <c r="G17" s="448"/>
      <c r="H17" s="449"/>
      <c r="I17" s="450"/>
      <c r="J17" s="449"/>
    </row>
    <row r="18" spans="1:10">
      <c r="A18" s="411"/>
      <c r="B18" s="415" t="s">
        <v>530</v>
      </c>
      <c r="C18" s="447">
        <v>440366031.62178195</v>
      </c>
      <c r="D18" s="448"/>
      <c r="E18" s="448"/>
      <c r="F18" s="448"/>
      <c r="G18" s="448"/>
      <c r="H18" s="449"/>
      <c r="I18" s="450"/>
      <c r="J18" s="449"/>
    </row>
    <row r="19" spans="1:10">
      <c r="A19" s="411"/>
      <c r="B19" s="415" t="s">
        <v>531</v>
      </c>
      <c r="C19" s="447">
        <v>440760788.5629037</v>
      </c>
      <c r="D19" s="448"/>
      <c r="E19" s="448"/>
      <c r="F19" s="448"/>
      <c r="G19" s="448"/>
      <c r="H19" s="449"/>
      <c r="I19" s="450"/>
      <c r="J19" s="449"/>
    </row>
    <row r="20" spans="1:10">
      <c r="A20" s="411"/>
      <c r="B20" s="415" t="s">
        <v>532</v>
      </c>
      <c r="C20" s="447">
        <v>441898568.06212068</v>
      </c>
      <c r="D20" s="448"/>
      <c r="E20" s="448"/>
      <c r="F20" s="448"/>
      <c r="G20" s="448"/>
      <c r="H20" s="449"/>
      <c r="I20" s="450"/>
      <c r="J20" s="449"/>
    </row>
    <row r="21" spans="1:10">
      <c r="A21" s="411"/>
      <c r="B21" s="415" t="s">
        <v>533</v>
      </c>
      <c r="C21" s="447">
        <v>442636734.62854022</v>
      </c>
      <c r="D21" s="448"/>
      <c r="E21" s="448"/>
      <c r="F21" s="448"/>
      <c r="G21" s="448"/>
      <c r="H21" s="449"/>
      <c r="I21" s="450"/>
      <c r="J21" s="449"/>
    </row>
    <row r="22" spans="1:10">
      <c r="A22" s="416"/>
      <c r="B22" s="417" t="str">
        <f xml:space="preserve"> "December " &amp; B3</f>
        <v>December 2016</v>
      </c>
      <c r="C22" s="451">
        <v>443408959.7525773</v>
      </c>
      <c r="D22" s="448"/>
      <c r="E22" s="448"/>
      <c r="F22" s="448"/>
      <c r="G22" s="448"/>
      <c r="H22" s="449"/>
      <c r="I22" s="450"/>
      <c r="J22" s="449"/>
    </row>
    <row r="23" spans="1:10">
      <c r="A23" s="418"/>
      <c r="B23" s="419" t="s">
        <v>534</v>
      </c>
      <c r="C23" s="420">
        <f>AVERAGE(C10:C22)</f>
        <v>442686313.34455609</v>
      </c>
      <c r="D23" s="452"/>
      <c r="E23" s="452"/>
      <c r="F23" s="452"/>
      <c r="G23" s="452"/>
      <c r="H23" s="453"/>
      <c r="I23" s="454"/>
      <c r="J23" s="453"/>
    </row>
    <row r="24" spans="1:10">
      <c r="A24" s="418"/>
      <c r="B24" s="419"/>
      <c r="C24" s="455"/>
      <c r="D24" s="456"/>
      <c r="E24" s="456"/>
      <c r="F24" s="456"/>
      <c r="G24" s="456"/>
      <c r="H24" s="457"/>
      <c r="I24" s="458"/>
      <c r="J24" s="457"/>
    </row>
    <row r="25" spans="1:10">
      <c r="A25" s="418"/>
      <c r="B25" s="419"/>
      <c r="C25" s="455"/>
      <c r="D25" s="456"/>
      <c r="E25" s="456"/>
      <c r="F25" s="456"/>
      <c r="G25" s="456"/>
      <c r="H25" s="457"/>
      <c r="I25" s="458"/>
      <c r="J25" s="457"/>
    </row>
    <row r="26" spans="1:10">
      <c r="A26" s="407" t="s">
        <v>535</v>
      </c>
      <c r="B26" s="408" t="str">
        <f>B10</f>
        <v>December 2015</v>
      </c>
      <c r="C26" s="409">
        <v>12204521.442736607</v>
      </c>
      <c r="D26" s="444"/>
      <c r="E26" s="444"/>
      <c r="F26" s="444"/>
      <c r="G26" s="444"/>
      <c r="H26" s="445"/>
      <c r="I26" s="446"/>
      <c r="J26" s="445"/>
    </row>
    <row r="27" spans="1:10">
      <c r="A27" s="411" t="s">
        <v>536</v>
      </c>
      <c r="B27" s="412" t="str">
        <f>B11</f>
        <v>January 2016</v>
      </c>
      <c r="C27" s="447">
        <v>13374788.060361145</v>
      </c>
      <c r="D27" s="448"/>
      <c r="E27" s="448"/>
      <c r="F27" s="448"/>
      <c r="G27" s="448"/>
      <c r="H27" s="449"/>
      <c r="I27" s="450"/>
      <c r="J27" s="449"/>
    </row>
    <row r="28" spans="1:10">
      <c r="A28" s="411" t="s">
        <v>545</v>
      </c>
      <c r="B28" s="423" t="s">
        <v>525</v>
      </c>
      <c r="C28" s="447">
        <v>13905983.094762746</v>
      </c>
      <c r="D28" s="448"/>
      <c r="E28" s="448"/>
      <c r="F28" s="448"/>
      <c r="G28" s="448"/>
      <c r="H28" s="449"/>
      <c r="I28" s="450"/>
      <c r="J28" s="449"/>
    </row>
    <row r="29" spans="1:10">
      <c r="A29" s="411"/>
      <c r="B29" s="423" t="s">
        <v>526</v>
      </c>
      <c r="C29" s="447">
        <v>14665711.253280617</v>
      </c>
      <c r="D29" s="448"/>
      <c r="E29" s="448"/>
      <c r="F29" s="448"/>
      <c r="G29" s="448"/>
      <c r="H29" s="449"/>
      <c r="I29" s="450"/>
      <c r="J29" s="449"/>
    </row>
    <row r="30" spans="1:10">
      <c r="A30" s="411"/>
      <c r="B30" s="423" t="s">
        <v>527</v>
      </c>
      <c r="C30" s="447">
        <v>15410416.272785496</v>
      </c>
      <c r="D30" s="448"/>
      <c r="E30" s="448"/>
      <c r="F30" s="448"/>
      <c r="G30" s="448"/>
      <c r="H30" s="449"/>
      <c r="I30" s="450"/>
      <c r="J30" s="449"/>
    </row>
    <row r="31" spans="1:10">
      <c r="A31" s="411"/>
      <c r="B31" s="423" t="s">
        <v>59</v>
      </c>
      <c r="C31" s="447">
        <v>16156302.253311088</v>
      </c>
      <c r="D31" s="448"/>
      <c r="E31" s="448"/>
      <c r="F31" s="448"/>
      <c r="G31" s="448"/>
      <c r="H31" s="449"/>
      <c r="I31" s="450"/>
      <c r="J31" s="449"/>
    </row>
    <row r="32" spans="1:10">
      <c r="A32" s="411"/>
      <c r="B32" s="423" t="s">
        <v>528</v>
      </c>
      <c r="C32" s="447">
        <v>16901237.58102015</v>
      </c>
      <c r="D32" s="448"/>
      <c r="E32" s="448"/>
      <c r="F32" s="448"/>
      <c r="G32" s="448"/>
      <c r="H32" s="449"/>
      <c r="I32" s="450"/>
      <c r="J32" s="449"/>
    </row>
    <row r="33" spans="1:10">
      <c r="A33" s="411"/>
      <c r="B33" s="423" t="s">
        <v>529</v>
      </c>
      <c r="C33" s="447">
        <v>17647408.5980733</v>
      </c>
      <c r="D33" s="448"/>
      <c r="E33" s="448"/>
      <c r="F33" s="448"/>
      <c r="G33" s="448"/>
      <c r="H33" s="449"/>
      <c r="I33" s="450"/>
      <c r="J33" s="449"/>
    </row>
    <row r="34" spans="1:10">
      <c r="A34" s="411"/>
      <c r="B34" s="423" t="s">
        <v>530</v>
      </c>
      <c r="C34" s="447">
        <v>18392197.788824469</v>
      </c>
      <c r="D34" s="448"/>
      <c r="E34" s="448"/>
      <c r="F34" s="448"/>
      <c r="G34" s="448"/>
      <c r="H34" s="449"/>
      <c r="I34" s="450"/>
      <c r="J34" s="449"/>
    </row>
    <row r="35" spans="1:10">
      <c r="A35" s="411"/>
      <c r="B35" s="423" t="s">
        <v>531</v>
      </c>
      <c r="C35" s="447">
        <v>19136594.788016062</v>
      </c>
      <c r="D35" s="448"/>
      <c r="E35" s="448"/>
      <c r="F35" s="448"/>
      <c r="G35" s="448"/>
      <c r="H35" s="449"/>
      <c r="I35" s="450"/>
      <c r="J35" s="449"/>
    </row>
    <row r="36" spans="1:10">
      <c r="A36" s="411"/>
      <c r="B36" s="423" t="s">
        <v>532</v>
      </c>
      <c r="C36" s="447">
        <v>19880919.941153489</v>
      </c>
      <c r="D36" s="448"/>
      <c r="E36" s="448"/>
      <c r="F36" s="448"/>
      <c r="G36" s="448"/>
      <c r="H36" s="449"/>
      <c r="I36" s="450"/>
      <c r="J36" s="449"/>
    </row>
    <row r="37" spans="1:10">
      <c r="A37" s="411"/>
      <c r="B37" s="423" t="s">
        <v>533</v>
      </c>
      <c r="C37" s="447">
        <v>20625370.254812002</v>
      </c>
      <c r="D37" s="448"/>
      <c r="E37" s="448"/>
      <c r="F37" s="448"/>
      <c r="G37" s="448"/>
      <c r="H37" s="449"/>
      <c r="I37" s="450"/>
      <c r="J37" s="449"/>
    </row>
    <row r="38" spans="1:10">
      <c r="A38" s="416"/>
      <c r="B38" s="417" t="str">
        <f>+B22</f>
        <v>December 2016</v>
      </c>
      <c r="C38" s="451">
        <v>21370019.313462902</v>
      </c>
      <c r="D38" s="448"/>
      <c r="E38" s="448"/>
      <c r="F38" s="448"/>
      <c r="G38" s="448"/>
      <c r="H38" s="449"/>
      <c r="I38" s="450"/>
      <c r="J38" s="449"/>
    </row>
    <row r="39" spans="1:10">
      <c r="A39" s="418"/>
      <c r="B39" s="419" t="s">
        <v>534</v>
      </c>
      <c r="C39" s="420">
        <f>AVERAGE(C26:C38)</f>
        <v>16897805.434046157</v>
      </c>
      <c r="D39" s="452"/>
      <c r="E39" s="452"/>
      <c r="F39" s="452"/>
      <c r="G39" s="452"/>
      <c r="H39" s="453"/>
      <c r="I39" s="454"/>
      <c r="J39" s="453"/>
    </row>
    <row r="40" spans="1:10" s="400" customFormat="1">
      <c r="A40" s="424"/>
      <c r="B40" s="425"/>
      <c r="C40" s="455"/>
      <c r="D40" s="456"/>
      <c r="E40" s="456"/>
      <c r="F40" s="456"/>
      <c r="G40" s="456"/>
      <c r="H40" s="455"/>
      <c r="I40" s="455"/>
      <c r="J40" s="455"/>
    </row>
    <row r="41" spans="1:10">
      <c r="A41" s="418"/>
      <c r="B41" s="426"/>
      <c r="C41" s="459"/>
      <c r="D41" s="460"/>
      <c r="E41" s="460"/>
      <c r="F41" s="460"/>
      <c r="G41" s="460"/>
      <c r="H41" s="461"/>
      <c r="I41" s="461"/>
      <c r="J41" s="461"/>
    </row>
    <row r="42" spans="1:10">
      <c r="A42" s="418"/>
      <c r="B42" s="428"/>
      <c r="C42" s="462"/>
      <c r="D42" s="463"/>
      <c r="E42" s="463"/>
      <c r="F42" s="463"/>
      <c r="G42" s="463"/>
      <c r="H42" s="426"/>
      <c r="I42" s="426"/>
      <c r="J42" s="426"/>
    </row>
    <row r="43" spans="1:10">
      <c r="A43" s="407" t="s">
        <v>537</v>
      </c>
      <c r="B43" s="430" t="str">
        <f>B10</f>
        <v>December 2015</v>
      </c>
      <c r="C43" s="409">
        <f t="shared" ref="C43:C55" si="0">+C10-C26</f>
        <v>432102039.9085415</v>
      </c>
      <c r="D43" s="444"/>
      <c r="E43" s="444"/>
      <c r="F43" s="444"/>
      <c r="G43" s="444"/>
      <c r="H43" s="464"/>
      <c r="I43" s="465"/>
      <c r="J43" s="464"/>
    </row>
    <row r="44" spans="1:10">
      <c r="A44" s="411" t="s">
        <v>546</v>
      </c>
      <c r="B44" s="431" t="str">
        <f>B11</f>
        <v>January 2016</v>
      </c>
      <c r="C44" s="447">
        <f t="shared" si="0"/>
        <v>427907008.57358831</v>
      </c>
      <c r="D44" s="448"/>
      <c r="E44" s="448"/>
      <c r="F44" s="448"/>
      <c r="G44" s="448"/>
      <c r="H44" s="466"/>
      <c r="I44" s="467"/>
      <c r="J44" s="466"/>
    </row>
    <row r="45" spans="1:10">
      <c r="A45" s="411"/>
      <c r="B45" s="423" t="s">
        <v>525</v>
      </c>
      <c r="C45" s="447">
        <f t="shared" si="0"/>
        <v>430191853.55693549</v>
      </c>
      <c r="D45" s="448"/>
      <c r="E45" s="448"/>
      <c r="F45" s="448"/>
      <c r="G45" s="448"/>
      <c r="H45" s="466"/>
      <c r="I45" s="467"/>
      <c r="J45" s="466"/>
    </row>
    <row r="46" spans="1:10">
      <c r="A46" s="411"/>
      <c r="B46" s="423" t="s">
        <v>526</v>
      </c>
      <c r="C46" s="447">
        <f t="shared" si="0"/>
        <v>430531304.6788047</v>
      </c>
      <c r="D46" s="448"/>
      <c r="E46" s="448"/>
      <c r="F46" s="448"/>
      <c r="G46" s="448"/>
      <c r="H46" s="466"/>
      <c r="I46" s="467"/>
      <c r="J46" s="466"/>
    </row>
    <row r="47" spans="1:10">
      <c r="A47" s="411"/>
      <c r="B47" s="423" t="s">
        <v>527</v>
      </c>
      <c r="C47" s="447">
        <f t="shared" si="0"/>
        <v>427970715.04449511</v>
      </c>
      <c r="D47" s="448"/>
      <c r="E47" s="448"/>
      <c r="F47" s="448"/>
      <c r="G47" s="448"/>
      <c r="H47" s="466"/>
      <c r="I47" s="467"/>
      <c r="J47" s="466"/>
    </row>
    <row r="48" spans="1:10">
      <c r="A48" s="411"/>
      <c r="B48" s="423" t="s">
        <v>59</v>
      </c>
      <c r="C48" s="447">
        <f t="shared" si="0"/>
        <v>426823660.05916345</v>
      </c>
      <c r="D48" s="448"/>
      <c r="E48" s="448"/>
      <c r="F48" s="448"/>
      <c r="G48" s="448"/>
      <c r="H48" s="466"/>
      <c r="I48" s="467"/>
      <c r="J48" s="466"/>
    </row>
    <row r="49" spans="1:10">
      <c r="A49" s="411"/>
      <c r="B49" s="423" t="s">
        <v>528</v>
      </c>
      <c r="C49" s="447">
        <f t="shared" si="0"/>
        <v>425807138.04994631</v>
      </c>
      <c r="D49" s="448"/>
      <c r="E49" s="448"/>
      <c r="F49" s="448"/>
      <c r="G49" s="448"/>
      <c r="H49" s="466"/>
      <c r="I49" s="467"/>
      <c r="J49" s="466"/>
    </row>
    <row r="50" spans="1:10">
      <c r="A50" s="411"/>
      <c r="B50" s="423" t="s">
        <v>529</v>
      </c>
      <c r="C50" s="447">
        <f t="shared" si="0"/>
        <v>424250902.4234997</v>
      </c>
      <c r="D50" s="448"/>
      <c r="E50" s="448"/>
      <c r="F50" s="448"/>
      <c r="G50" s="448"/>
      <c r="H50" s="466"/>
      <c r="I50" s="467"/>
      <c r="J50" s="466"/>
    </row>
    <row r="51" spans="1:10">
      <c r="A51" s="411"/>
      <c r="B51" s="423" t="s">
        <v>530</v>
      </c>
      <c r="C51" s="447">
        <f t="shared" si="0"/>
        <v>421973833.83295751</v>
      </c>
      <c r="D51" s="448"/>
      <c r="E51" s="448"/>
      <c r="F51" s="448"/>
      <c r="G51" s="448"/>
      <c r="H51" s="466"/>
      <c r="I51" s="467"/>
      <c r="J51" s="466"/>
    </row>
    <row r="52" spans="1:10">
      <c r="A52" s="411"/>
      <c r="B52" s="423" t="s">
        <v>531</v>
      </c>
      <c r="C52" s="447">
        <f t="shared" si="0"/>
        <v>421624193.77488762</v>
      </c>
      <c r="D52" s="448"/>
      <c r="E52" s="448"/>
      <c r="F52" s="448"/>
      <c r="G52" s="448"/>
      <c r="H52" s="466"/>
      <c r="I52" s="467"/>
      <c r="J52" s="466"/>
    </row>
    <row r="53" spans="1:10">
      <c r="A53" s="411"/>
      <c r="B53" s="423" t="s">
        <v>532</v>
      </c>
      <c r="C53" s="447">
        <f t="shared" si="0"/>
        <v>422017648.12096721</v>
      </c>
      <c r="D53" s="448"/>
      <c r="E53" s="448"/>
      <c r="F53" s="448"/>
      <c r="G53" s="448"/>
      <c r="H53" s="466"/>
      <c r="I53" s="467"/>
      <c r="J53" s="466"/>
    </row>
    <row r="54" spans="1:10">
      <c r="A54" s="411"/>
      <c r="B54" s="423" t="s">
        <v>533</v>
      </c>
      <c r="C54" s="447">
        <f t="shared" si="0"/>
        <v>422011364.37372822</v>
      </c>
      <c r="D54" s="448"/>
      <c r="E54" s="448"/>
      <c r="F54" s="448"/>
      <c r="G54" s="448"/>
      <c r="H54" s="466"/>
      <c r="I54" s="467"/>
      <c r="J54" s="466"/>
    </row>
    <row r="55" spans="1:10">
      <c r="A55" s="416"/>
      <c r="B55" s="432" t="str">
        <f>+B38</f>
        <v>December 2016</v>
      </c>
      <c r="C55" s="451">
        <f t="shared" si="0"/>
        <v>422038940.43911439</v>
      </c>
      <c r="D55" s="448"/>
      <c r="E55" s="448"/>
      <c r="F55" s="448"/>
      <c r="G55" s="448"/>
      <c r="H55" s="466"/>
      <c r="I55" s="467"/>
      <c r="J55" s="466"/>
    </row>
    <row r="56" spans="1:10">
      <c r="A56" s="418"/>
      <c r="B56" s="419" t="s">
        <v>534</v>
      </c>
      <c r="C56" s="420">
        <f>AVERAGE(C43:C55)</f>
        <v>425788507.91051</v>
      </c>
      <c r="D56" s="452"/>
      <c r="E56" s="452"/>
      <c r="F56" s="452"/>
      <c r="G56" s="452"/>
      <c r="H56" s="453"/>
      <c r="I56" s="454"/>
      <c r="J56" s="453"/>
    </row>
    <row r="57" spans="1:10">
      <c r="A57" s="418"/>
      <c r="B57" s="426"/>
      <c r="C57" s="455"/>
      <c r="D57" s="456"/>
      <c r="E57" s="456"/>
      <c r="F57" s="456"/>
      <c r="G57" s="456"/>
      <c r="H57" s="468"/>
      <c r="I57" s="468"/>
      <c r="J57" s="468"/>
    </row>
    <row r="58" spans="1:10" ht="15">
      <c r="A58" s="418"/>
      <c r="B58" s="434"/>
      <c r="C58" s="469"/>
      <c r="D58" s="470"/>
      <c r="E58" s="470"/>
      <c r="F58" s="470"/>
      <c r="G58" s="470"/>
      <c r="H58" s="471"/>
      <c r="I58" s="471"/>
      <c r="J58" s="471"/>
    </row>
    <row r="59" spans="1:10">
      <c r="A59" s="435" t="s">
        <v>539</v>
      </c>
      <c r="B59" s="436" t="s">
        <v>351</v>
      </c>
      <c r="C59" s="437">
        <v>8952334.306681348</v>
      </c>
      <c r="D59" s="452"/>
      <c r="E59" s="452"/>
      <c r="F59" s="452"/>
      <c r="G59" s="452"/>
      <c r="H59" s="472"/>
      <c r="I59" s="473"/>
      <c r="J59" s="474"/>
    </row>
    <row r="60" spans="1:10">
      <c r="A60" s="416" t="s">
        <v>547</v>
      </c>
      <c r="B60" s="438" t="s">
        <v>541</v>
      </c>
      <c r="C60" s="475">
        <v>0</v>
      </c>
      <c r="D60" s="448"/>
      <c r="E60" s="448"/>
      <c r="F60" s="448"/>
      <c r="G60" s="448"/>
      <c r="H60" s="476"/>
      <c r="I60" s="477"/>
      <c r="J60" s="478"/>
    </row>
    <row r="61" spans="1:10">
      <c r="A61" s="395"/>
      <c r="B61" s="419" t="s">
        <v>542</v>
      </c>
      <c r="C61" s="420">
        <f>+C59+C60</f>
        <v>8952334.306681348</v>
      </c>
      <c r="D61" s="452"/>
      <c r="E61" s="452"/>
      <c r="F61" s="452"/>
      <c r="G61" s="452"/>
      <c r="H61" s="453"/>
      <c r="I61" s="454"/>
      <c r="J61" s="453"/>
    </row>
    <row r="62" spans="1:10" ht="15">
      <c r="D62" s="441"/>
      <c r="E62" s="441"/>
      <c r="F62" s="441"/>
      <c r="G62" s="441"/>
    </row>
    <row r="63" spans="1:10" ht="15">
      <c r="D63" s="441"/>
      <c r="E63" s="441"/>
      <c r="F63" s="441"/>
      <c r="G63" s="441"/>
    </row>
    <row r="64" spans="1:10" ht="15">
      <c r="D64" s="441"/>
      <c r="E64" s="441"/>
      <c r="F64" s="441"/>
      <c r="G64" s="441"/>
    </row>
  </sheetData>
  <dataValidations disablePrompts="1" count="1">
    <dataValidation type="list" allowBlank="1" showInputMessage="1" showErrorMessage="1" sqref="C9:J9">
      <formula1>$K$6:$K$7</formula1>
    </dataValidation>
  </dataValidations>
  <pageMargins left="0.7" right="0.7" top="0.75" bottom="0.75" header="0.3" footer="0.3"/>
  <pageSetup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59999389629810485"/>
    <pageSetUpPr fitToPage="1"/>
  </sheetPr>
  <dimension ref="B3:G14"/>
  <sheetViews>
    <sheetView showGridLines="0" workbookViewId="0">
      <selection activeCell="E38" sqref="E38"/>
    </sheetView>
  </sheetViews>
  <sheetFormatPr defaultRowHeight="15.75"/>
  <cols>
    <col min="1" max="1" width="1.875" customWidth="1"/>
    <col min="2" max="2" width="17.75" bestFit="1" customWidth="1"/>
    <col min="3" max="3" width="4.375" customWidth="1"/>
    <col min="4" max="4" width="12.625" style="73" bestFit="1" customWidth="1"/>
    <col min="5" max="5" width="13.75" bestFit="1" customWidth="1"/>
    <col min="6" max="6" width="4.125" customWidth="1"/>
    <col min="7" max="7" width="62.875" bestFit="1" customWidth="1"/>
  </cols>
  <sheetData>
    <row r="3" spans="2:7">
      <c r="B3" t="s">
        <v>159</v>
      </c>
      <c r="D3" s="73">
        <f>'Att GG True Up Combined'!H912</f>
        <v>87155526.489999995</v>
      </c>
      <c r="G3" s="486" t="s">
        <v>601</v>
      </c>
    </row>
    <row r="5" spans="2:7">
      <c r="B5" t="s">
        <v>167</v>
      </c>
      <c r="D5" s="177">
        <f>'Att GG True Up Combined'!G867</f>
        <v>4204771.9488030383</v>
      </c>
    </row>
    <row r="7" spans="2:7">
      <c r="B7" t="s">
        <v>168</v>
      </c>
      <c r="D7" s="73">
        <f>'Att GG True Up Combined'!J867</f>
        <v>1454389.5200000014</v>
      </c>
    </row>
    <row r="8" spans="2:7">
      <c r="E8" s="98"/>
    </row>
    <row r="9" spans="2:7">
      <c r="B9" t="s">
        <v>169</v>
      </c>
      <c r="E9" s="177">
        <f>D3-D5-D7</f>
        <v>81496365.021196961</v>
      </c>
    </row>
    <row r="14" spans="2:7">
      <c r="B14" s="486" t="s">
        <v>602</v>
      </c>
      <c r="E14" s="73">
        <f>'Att GG True Up Combined'!F862</f>
        <v>81496365.049999997</v>
      </c>
      <c r="G14" s="486" t="s">
        <v>603</v>
      </c>
    </row>
  </sheetData>
  <phoneticPr fontId="4" type="noConversion"/>
  <pageMargins left="0.75" right="0.75" top="1" bottom="1" header="0.5" footer="0.5"/>
  <pageSetup scale="66"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P940"/>
  <sheetViews>
    <sheetView showGridLines="0" tabSelected="1" zoomScale="80" zoomScaleNormal="80" workbookViewId="0"/>
  </sheetViews>
  <sheetFormatPr defaultRowHeight="15.75"/>
  <cols>
    <col min="1" max="1" width="2.625" style="163" customWidth="1"/>
    <col min="2" max="2" width="17.5" style="163" customWidth="1"/>
    <col min="3" max="3" width="13.625" style="163" bestFit="1" customWidth="1"/>
    <col min="4" max="4" width="11.625" style="163" bestFit="1" customWidth="1"/>
    <col min="5" max="5" width="15.25" style="163" customWidth="1"/>
    <col min="6" max="6" width="17.5" style="163" customWidth="1"/>
    <col min="7" max="7" width="14.125" style="163" customWidth="1"/>
    <col min="8" max="8" width="15.625" style="126" customWidth="1"/>
    <col min="9" max="9" width="16.125" style="163" customWidth="1"/>
    <col min="10" max="10" width="15.625" style="86" customWidth="1"/>
    <col min="11" max="11" width="14.625" style="163" customWidth="1"/>
    <col min="12" max="12" width="12" style="163" customWidth="1"/>
    <col min="13" max="13" width="17.125" style="163" customWidth="1"/>
    <col min="14" max="14" width="1.625" style="82" customWidth="1"/>
    <col min="15" max="15" width="9.375" style="163" bestFit="1" customWidth="1"/>
    <col min="16" max="16" width="12.25" style="163" bestFit="1" customWidth="1"/>
    <col min="17" max="17" width="11.375" style="163" bestFit="1" customWidth="1"/>
    <col min="18" max="16384" width="9" style="163"/>
  </cols>
  <sheetData>
    <row r="1" spans="2:16" ht="18.75">
      <c r="E1" s="38" t="s">
        <v>600</v>
      </c>
    </row>
    <row r="2" spans="2:16" ht="18.75">
      <c r="C2" s="74"/>
      <c r="D2" s="74"/>
      <c r="E2" s="123" t="s">
        <v>172</v>
      </c>
      <c r="F2" s="74"/>
      <c r="J2" s="99" t="s">
        <v>155</v>
      </c>
      <c r="K2" s="3" t="s">
        <v>40</v>
      </c>
      <c r="M2" s="3" t="s">
        <v>54</v>
      </c>
    </row>
    <row r="3" spans="2:16">
      <c r="B3" s="74"/>
      <c r="C3" s="74"/>
      <c r="D3" s="74"/>
      <c r="E3" s="74"/>
      <c r="F3" s="74"/>
      <c r="G3" s="3" t="s">
        <v>37</v>
      </c>
      <c r="H3" s="127" t="s">
        <v>38</v>
      </c>
      <c r="I3" s="92" t="s">
        <v>39</v>
      </c>
      <c r="J3" s="100" t="s">
        <v>156</v>
      </c>
      <c r="K3" s="4" t="s">
        <v>157</v>
      </c>
      <c r="L3" s="4" t="s">
        <v>53</v>
      </c>
      <c r="M3" s="4" t="s">
        <v>158</v>
      </c>
      <c r="N3" s="191"/>
    </row>
    <row r="4" spans="2:16">
      <c r="B4" s="74"/>
      <c r="C4" s="74"/>
      <c r="D4" s="74"/>
      <c r="E4" s="74"/>
      <c r="F4" s="74"/>
      <c r="G4" s="5"/>
      <c r="H4" s="662" t="s">
        <v>41</v>
      </c>
      <c r="I4" s="663"/>
      <c r="J4" s="664"/>
      <c r="K4" s="6" t="s">
        <v>42</v>
      </c>
      <c r="L4" s="5"/>
      <c r="M4" s="6" t="s">
        <v>43</v>
      </c>
      <c r="N4" s="191"/>
    </row>
    <row r="5" spans="2:16">
      <c r="B5" s="119"/>
      <c r="C5" s="120"/>
      <c r="D5" s="120"/>
      <c r="E5" s="114"/>
      <c r="F5" s="87" t="s">
        <v>154</v>
      </c>
      <c r="G5" s="8" t="s">
        <v>44</v>
      </c>
      <c r="H5" s="128"/>
      <c r="I5" s="5"/>
      <c r="J5" s="101" t="s">
        <v>45</v>
      </c>
      <c r="K5" s="8" t="s">
        <v>46</v>
      </c>
      <c r="L5" s="9"/>
      <c r="M5" s="8" t="s">
        <v>47</v>
      </c>
    </row>
    <row r="6" spans="2:16" ht="15.75" customHeight="1">
      <c r="B6" s="117"/>
      <c r="C6" s="16"/>
      <c r="D6" s="16"/>
      <c r="E6" s="115"/>
      <c r="F6" s="88" t="s">
        <v>7</v>
      </c>
      <c r="G6" s="11" t="s">
        <v>48</v>
      </c>
      <c r="H6" s="129" t="s">
        <v>49</v>
      </c>
      <c r="I6" s="12" t="s">
        <v>152</v>
      </c>
      <c r="J6" s="102" t="s">
        <v>48</v>
      </c>
      <c r="K6" s="12" t="s">
        <v>48</v>
      </c>
      <c r="L6" s="12" t="s">
        <v>50</v>
      </c>
      <c r="M6" s="12" t="s">
        <v>51</v>
      </c>
    </row>
    <row r="7" spans="2:16" ht="31.5">
      <c r="B7" s="121"/>
      <c r="C7" s="16"/>
      <c r="D7" s="16"/>
      <c r="E7" s="116" t="s">
        <v>12</v>
      </c>
      <c r="F7" s="156" t="s">
        <v>14</v>
      </c>
      <c r="G7" s="16" t="s">
        <v>52</v>
      </c>
      <c r="H7" s="130"/>
      <c r="I7" s="17"/>
      <c r="J7" s="103" t="s">
        <v>52</v>
      </c>
      <c r="K7" s="17"/>
      <c r="L7" s="17"/>
      <c r="M7" s="16" t="s">
        <v>52</v>
      </c>
    </row>
    <row r="8" spans="2:16">
      <c r="B8" s="28"/>
      <c r="C8" s="122"/>
      <c r="D8" s="122"/>
      <c r="E8" s="124" t="s">
        <v>15</v>
      </c>
      <c r="F8" s="506">
        <f>F57+F97+F137+F177+F219+F259+F301+F343+F383+F425+F467+F509+F551+F593+F635+F680+F726+F772+F818</f>
        <v>1506002.9300000002</v>
      </c>
      <c r="G8" s="506">
        <f t="shared" ref="G8:M10" si="0">G57+G97+G137+G177+G219+G259+G301+G343+G383+G425+G467+G509+G551+G593+G635+G680+G726+G772+G818</f>
        <v>73454.307188390725</v>
      </c>
      <c r="H8" s="506">
        <f t="shared" si="0"/>
        <v>1506002.9300000002</v>
      </c>
      <c r="I8" s="506">
        <f t="shared" si="0"/>
        <v>1522159.61</v>
      </c>
      <c r="J8" s="506">
        <f t="shared" si="0"/>
        <v>16156.679999999968</v>
      </c>
      <c r="K8" s="506">
        <f t="shared" si="0"/>
        <v>89610.987188390704</v>
      </c>
      <c r="L8" s="652">
        <f t="shared" si="0"/>
        <v>7525.8718525194536</v>
      </c>
      <c r="M8" s="506">
        <f t="shared" si="0"/>
        <v>97136.85904091016</v>
      </c>
    </row>
    <row r="9" spans="2:16">
      <c r="B9" s="28"/>
      <c r="C9" s="122"/>
      <c r="D9" s="122"/>
      <c r="E9" s="125" t="s">
        <v>16</v>
      </c>
      <c r="F9" s="93">
        <f>F58+F98+F138+F178+F220+F260+F302+F344+F384+F426+F468+F510+F552+F594+F636+F681+F727+F773+F819</f>
        <v>72452.22</v>
      </c>
      <c r="G9" s="93">
        <f t="shared" si="0"/>
        <v>2745.8080562025852</v>
      </c>
      <c r="H9" s="93">
        <f t="shared" si="0"/>
        <v>69743.98000000001</v>
      </c>
      <c r="I9" s="93">
        <f t="shared" si="0"/>
        <v>70492.210000000006</v>
      </c>
      <c r="J9" s="93">
        <f t="shared" si="0"/>
        <v>-1960.0100000000002</v>
      </c>
      <c r="K9" s="93">
        <f t="shared" si="0"/>
        <v>785.79805620258514</v>
      </c>
      <c r="L9" s="653">
        <f t="shared" si="0"/>
        <v>361.34970998517878</v>
      </c>
      <c r="M9" s="93">
        <f t="shared" si="0"/>
        <v>1147.1477661877639</v>
      </c>
    </row>
    <row r="10" spans="2:16" s="174" customFormat="1">
      <c r="B10" s="28"/>
      <c r="C10" s="122"/>
      <c r="D10" s="122"/>
      <c r="E10" s="125" t="s">
        <v>190</v>
      </c>
      <c r="F10" s="93">
        <f>F59+F99+F139+F179+F221+F261+F303+F345+F385+F427+F469+F511+F553+F595+F637+F682+F728+F774+F820</f>
        <v>578234.1</v>
      </c>
      <c r="G10" s="93">
        <f t="shared" si="0"/>
        <v>28202.8097496263</v>
      </c>
      <c r="H10" s="93">
        <f t="shared" si="0"/>
        <v>578234.1</v>
      </c>
      <c r="I10" s="93">
        <f t="shared" si="0"/>
        <v>584437.50999999989</v>
      </c>
      <c r="J10" s="93">
        <f t="shared" si="0"/>
        <v>6203.4100000000199</v>
      </c>
      <c r="K10" s="93">
        <f t="shared" si="0"/>
        <v>34406.219749626318</v>
      </c>
      <c r="L10" s="653">
        <f t="shared" si="0"/>
        <v>2889.5796479365195</v>
      </c>
      <c r="M10" s="93">
        <f t="shared" si="0"/>
        <v>37295.799397562841</v>
      </c>
      <c r="N10" s="82"/>
      <c r="O10" s="163"/>
      <c r="P10" s="163"/>
    </row>
    <row r="11" spans="2:16" s="174" customFormat="1">
      <c r="B11" s="28"/>
      <c r="C11" s="122"/>
      <c r="D11" s="122"/>
      <c r="E11" s="125" t="s">
        <v>249</v>
      </c>
      <c r="F11" s="93">
        <f t="shared" ref="F11:M18" si="1">F60+F100+F140+F180+F222+F262+F304+F346+F386+F428+F470+F512+F554+F596+F638+F683+F729+F775+F821</f>
        <v>795243.56</v>
      </c>
      <c r="G11" s="93">
        <f t="shared" si="1"/>
        <v>30312.783707472161</v>
      </c>
      <c r="H11" s="93">
        <f t="shared" si="1"/>
        <v>807914.3</v>
      </c>
      <c r="I11" s="93">
        <f t="shared" si="1"/>
        <v>816581.76</v>
      </c>
      <c r="J11" s="93">
        <f t="shared" si="1"/>
        <v>21338.2</v>
      </c>
      <c r="K11" s="93">
        <f t="shared" si="1"/>
        <v>51650.983707472165</v>
      </c>
      <c r="L11" s="653">
        <f t="shared" si="1"/>
        <v>3966.4287381737695</v>
      </c>
      <c r="M11" s="93">
        <f t="shared" si="1"/>
        <v>55617.412445645939</v>
      </c>
      <c r="N11" s="82"/>
      <c r="O11" s="163"/>
      <c r="P11" s="163"/>
    </row>
    <row r="12" spans="2:16">
      <c r="B12" s="28"/>
      <c r="C12" s="122"/>
      <c r="D12" s="122"/>
      <c r="E12" s="125" t="s">
        <v>17</v>
      </c>
      <c r="F12" s="93">
        <f t="shared" si="1"/>
        <v>135495.57999999999</v>
      </c>
      <c r="G12" s="93">
        <f t="shared" si="1"/>
        <v>5280.2771491900403</v>
      </c>
      <c r="H12" s="93">
        <f t="shared" si="1"/>
        <v>134978.63999999998</v>
      </c>
      <c r="I12" s="93">
        <f t="shared" si="1"/>
        <v>136426.71000000002</v>
      </c>
      <c r="J12" s="93">
        <f t="shared" si="1"/>
        <v>931.12999999998374</v>
      </c>
      <c r="K12" s="93">
        <f t="shared" si="1"/>
        <v>6211.4071491900231</v>
      </c>
      <c r="L12" s="653">
        <f t="shared" si="1"/>
        <v>675.90851644510417</v>
      </c>
      <c r="M12" s="93">
        <f t="shared" si="1"/>
        <v>6887.3156656351284</v>
      </c>
    </row>
    <row r="13" spans="2:16">
      <c r="B13" s="28"/>
      <c r="C13" s="122"/>
      <c r="D13" s="122"/>
      <c r="E13" s="125" t="s">
        <v>18</v>
      </c>
      <c r="F13" s="93">
        <f t="shared" si="1"/>
        <v>339743.51999999996</v>
      </c>
      <c r="G13" s="93">
        <f t="shared" si="1"/>
        <v>13348.324660705623</v>
      </c>
      <c r="H13" s="93">
        <f t="shared" si="1"/>
        <v>338255.92</v>
      </c>
      <c r="I13" s="93">
        <f t="shared" si="1"/>
        <v>341884.79000000004</v>
      </c>
      <c r="J13" s="93">
        <f t="shared" si="1"/>
        <v>2141.2700000000063</v>
      </c>
      <c r="K13" s="93">
        <f t="shared" si="1"/>
        <v>15489.594660705627</v>
      </c>
      <c r="L13" s="653">
        <f t="shared" si="1"/>
        <v>1694.8803603511078</v>
      </c>
      <c r="M13" s="93">
        <f t="shared" si="1"/>
        <v>17184.475021056733</v>
      </c>
    </row>
    <row r="14" spans="2:16">
      <c r="B14" s="28"/>
      <c r="C14" s="122"/>
      <c r="D14" s="122"/>
      <c r="E14" s="125" t="s">
        <v>19</v>
      </c>
      <c r="F14" s="93">
        <f t="shared" si="1"/>
        <v>391745.13</v>
      </c>
      <c r="G14" s="93">
        <f t="shared" si="1"/>
        <v>15206.611476345697</v>
      </c>
      <c r="H14" s="93">
        <f t="shared" si="1"/>
        <v>381827.79000000004</v>
      </c>
      <c r="I14" s="93">
        <f t="shared" si="1"/>
        <v>385924.11000000004</v>
      </c>
      <c r="J14" s="93">
        <f t="shared" si="1"/>
        <v>-5821.0200000000077</v>
      </c>
      <c r="K14" s="93">
        <f t="shared" si="1"/>
        <v>9385.5914763456894</v>
      </c>
      <c r="L14" s="653">
        <f t="shared" si="1"/>
        <v>1954.147671662372</v>
      </c>
      <c r="M14" s="93">
        <f t="shared" si="1"/>
        <v>11339.739148008062</v>
      </c>
    </row>
    <row r="15" spans="2:16">
      <c r="B15" s="28"/>
      <c r="C15" s="122"/>
      <c r="D15" s="122"/>
      <c r="E15" s="125" t="s">
        <v>20</v>
      </c>
      <c r="F15" s="93">
        <f t="shared" si="1"/>
        <v>917991.9</v>
      </c>
      <c r="G15" s="93">
        <f t="shared" si="1"/>
        <v>35980.496953227608</v>
      </c>
      <c r="H15" s="93">
        <f t="shared" si="1"/>
        <v>913983.19999999984</v>
      </c>
      <c r="I15" s="93">
        <f t="shared" si="1"/>
        <v>923788.59</v>
      </c>
      <c r="J15" s="93">
        <f t="shared" si="1"/>
        <v>5796.6899999999796</v>
      </c>
      <c r="K15" s="93">
        <f t="shared" si="1"/>
        <v>41777.186953227596</v>
      </c>
      <c r="L15" s="653">
        <f t="shared" si="1"/>
        <v>4579.4939531486307</v>
      </c>
      <c r="M15" s="93">
        <f t="shared" si="1"/>
        <v>46356.680906376227</v>
      </c>
    </row>
    <row r="16" spans="2:16">
      <c r="B16" s="28"/>
      <c r="C16" s="122"/>
      <c r="D16" s="122"/>
      <c r="E16" s="125" t="s">
        <v>21</v>
      </c>
      <c r="F16" s="93">
        <f t="shared" si="1"/>
        <v>1217868.73</v>
      </c>
      <c r="G16" s="93">
        <f t="shared" si="1"/>
        <v>48031.499369714846</v>
      </c>
      <c r="H16" s="93">
        <f t="shared" si="1"/>
        <v>1207993.6000000001</v>
      </c>
      <c r="I16" s="93">
        <f t="shared" si="1"/>
        <v>1220953.19</v>
      </c>
      <c r="J16" s="93">
        <f t="shared" si="1"/>
        <v>3084.4599999999718</v>
      </c>
      <c r="K16" s="93">
        <f t="shared" si="1"/>
        <v>51115.959369714816</v>
      </c>
      <c r="L16" s="653">
        <f t="shared" si="1"/>
        <v>6075.7370126477972</v>
      </c>
      <c r="M16" s="93">
        <f t="shared" si="1"/>
        <v>57191.696382362607</v>
      </c>
    </row>
    <row r="17" spans="2:13">
      <c r="B17" s="28"/>
      <c r="C17" s="122"/>
      <c r="D17" s="122"/>
      <c r="E17" s="125" t="s">
        <v>22</v>
      </c>
      <c r="F17" s="93">
        <f t="shared" si="1"/>
        <v>3792598.8400000003</v>
      </c>
      <c r="G17" s="93">
        <f t="shared" si="1"/>
        <v>206808.63443898631</v>
      </c>
      <c r="H17" s="93">
        <f t="shared" si="1"/>
        <v>3742481.1599999997</v>
      </c>
      <c r="I17" s="93">
        <f t="shared" si="1"/>
        <v>3782631.2199999997</v>
      </c>
      <c r="J17" s="93">
        <f t="shared" si="1"/>
        <v>-9967.6199999999608</v>
      </c>
      <c r="K17" s="93">
        <f t="shared" si="1"/>
        <v>196841.01443898634</v>
      </c>
      <c r="L17" s="653">
        <f t="shared" si="1"/>
        <v>18952.028013243715</v>
      </c>
      <c r="M17" s="93">
        <f t="shared" si="1"/>
        <v>215793.04245223006</v>
      </c>
    </row>
    <row r="18" spans="2:13">
      <c r="B18" s="28"/>
      <c r="C18" s="122"/>
      <c r="D18" s="122"/>
      <c r="E18" s="125" t="s">
        <v>23</v>
      </c>
      <c r="F18" s="93">
        <f t="shared" si="1"/>
        <v>30700.799999999999</v>
      </c>
      <c r="G18" s="93">
        <f t="shared" si="1"/>
        <v>1130.330494430405</v>
      </c>
      <c r="H18" s="93">
        <f t="shared" si="1"/>
        <v>29818.07</v>
      </c>
      <c r="I18" s="93">
        <f t="shared" si="1"/>
        <v>30137.96</v>
      </c>
      <c r="J18" s="93">
        <f t="shared" si="1"/>
        <v>-562.8400000000014</v>
      </c>
      <c r="K18" s="93">
        <f t="shared" si="1"/>
        <v>567.49049443040371</v>
      </c>
      <c r="L18" s="653">
        <f t="shared" si="1"/>
        <v>153.09224635442283</v>
      </c>
      <c r="M18" s="93">
        <f t="shared" si="1"/>
        <v>720.58274078482668</v>
      </c>
    </row>
    <row r="19" spans="2:13">
      <c r="B19" s="28"/>
      <c r="C19" s="122"/>
      <c r="D19" s="122"/>
      <c r="E19" s="125" t="s">
        <v>24</v>
      </c>
      <c r="F19" s="93">
        <f>F68+F108+F148+F189+F230+F271+F313+F354+F395+F437+F479+F521+F563+F605+F647+F692+F738+F784+F830</f>
        <v>927457.07000000007</v>
      </c>
      <c r="G19" s="93">
        <f t="shared" ref="G19:M19" si="2">G68+G108+G148+G189+G230+G271+G313+G354+G395+G437+G479+G521+G563+G605+G647+G692+G738+G784+G830</f>
        <v>35833.292193072812</v>
      </c>
      <c r="H19" s="93">
        <f t="shared" si="2"/>
        <v>911456.6</v>
      </c>
      <c r="I19" s="93">
        <f t="shared" si="2"/>
        <v>921234.8899999999</v>
      </c>
      <c r="J19" s="93">
        <f t="shared" si="2"/>
        <v>-6222.1800000000139</v>
      </c>
      <c r="K19" s="93">
        <f t="shared" si="2"/>
        <v>29611.11219307279</v>
      </c>
      <c r="L19" s="653">
        <f t="shared" si="2"/>
        <v>4626.2672236169055</v>
      </c>
      <c r="M19" s="93">
        <f t="shared" si="2"/>
        <v>34237.379416689699</v>
      </c>
    </row>
    <row r="20" spans="2:13">
      <c r="B20" s="28"/>
      <c r="C20" s="122"/>
      <c r="D20" s="122"/>
      <c r="E20" s="125" t="s">
        <v>25</v>
      </c>
      <c r="F20" s="93">
        <f>F69+F109+F149+F188+F231+F270+F312+F355+F394+F436+F478+F520+F562+F604+F646+F691+F737+F783+F829</f>
        <v>928877.53999999992</v>
      </c>
      <c r="G20" s="93">
        <f t="shared" ref="G20:M20" si="3">G69+G109+G149+G188+G231+G270+G312+G355+G394+G436+G478+G520+G562+G604+G646+G691+G737+G783+G829</f>
        <v>35945.469315613082</v>
      </c>
      <c r="H20" s="93">
        <f t="shared" si="3"/>
        <v>876182.5</v>
      </c>
      <c r="I20" s="93">
        <f t="shared" si="3"/>
        <v>885582.34</v>
      </c>
      <c r="J20" s="93">
        <f t="shared" si="3"/>
        <v>-43295.199999999983</v>
      </c>
      <c r="K20" s="93">
        <f t="shared" si="3"/>
        <v>-7349.7306843868955</v>
      </c>
      <c r="L20" s="653">
        <f t="shared" si="3"/>
        <v>4633.4950705633473</v>
      </c>
      <c r="M20" s="93">
        <f t="shared" si="3"/>
        <v>-2716.2356138235464</v>
      </c>
    </row>
    <row r="21" spans="2:13">
      <c r="B21" s="28"/>
      <c r="C21" s="122"/>
      <c r="D21" s="122"/>
      <c r="E21" s="125" t="s">
        <v>116</v>
      </c>
      <c r="F21" s="93">
        <f>F190+F272+F314+F396+F438+F480+F522+F564+F606+F648+F693+F739+F785+F831</f>
        <v>63453.45</v>
      </c>
      <c r="G21" s="93">
        <f t="shared" ref="G21:M22" si="4">G190+G272+G314+G396+G438+G480+G522+G564+G606+G648+G693+G739+G785+G831</f>
        <v>2455.8229084140999</v>
      </c>
      <c r="H21" s="93">
        <f t="shared" si="4"/>
        <v>62733.59</v>
      </c>
      <c r="I21" s="93">
        <f t="shared" si="4"/>
        <v>63406.61</v>
      </c>
      <c r="J21" s="93">
        <f t="shared" si="4"/>
        <v>-46.840000000001311</v>
      </c>
      <c r="K21" s="93">
        <f t="shared" si="4"/>
        <v>2408.9829084140988</v>
      </c>
      <c r="L21" s="653">
        <f t="shared" si="4"/>
        <v>316.57389622014961</v>
      </c>
      <c r="M21" s="93">
        <f t="shared" si="4"/>
        <v>2725.5568046342482</v>
      </c>
    </row>
    <row r="22" spans="2:13">
      <c r="B22" s="28"/>
      <c r="C22" s="122"/>
      <c r="D22" s="122"/>
      <c r="E22" s="125" t="s">
        <v>117</v>
      </c>
      <c r="F22" s="93">
        <f>F191+F273+F315+F397+F439+F481+F523+F565+F607+F649+F694+F740+F786+F832</f>
        <v>16463.89</v>
      </c>
      <c r="G22" s="93">
        <f t="shared" si="4"/>
        <v>635.42063042164705</v>
      </c>
      <c r="H22" s="93">
        <f t="shared" si="4"/>
        <v>16392</v>
      </c>
      <c r="I22" s="93">
        <f t="shared" si="4"/>
        <v>16567.86</v>
      </c>
      <c r="J22" s="93">
        <f t="shared" si="4"/>
        <v>103.96999999999963</v>
      </c>
      <c r="K22" s="93">
        <f t="shared" si="4"/>
        <v>739.39063042164662</v>
      </c>
      <c r="L22" s="653">
        <f t="shared" si="4"/>
        <v>82.137947685471431</v>
      </c>
      <c r="M22" s="93">
        <f t="shared" si="4"/>
        <v>821.52857810711828</v>
      </c>
    </row>
    <row r="23" spans="2:13">
      <c r="B23" s="28"/>
      <c r="C23" s="122"/>
      <c r="D23" s="122"/>
      <c r="E23" s="125" t="s">
        <v>26</v>
      </c>
      <c r="F23" s="93">
        <f>F70+F110+F150+F192+F232+F274+F316+F356+F398+F440+F482+F524+F566+F608+F650+F695+F741+F787+F833</f>
        <v>45788.909999999989</v>
      </c>
      <c r="G23" s="93">
        <f t="shared" ref="G23:M23" si="5">G70+G110+G150+G192+G232+G274+G316+G356+G398+G440+G482+G524+G566+G608+G650+G695+G741+G787+G833</f>
        <v>1817.1975933236859</v>
      </c>
      <c r="H23" s="93">
        <f t="shared" si="5"/>
        <v>42065.159999999996</v>
      </c>
      <c r="I23" s="93">
        <f t="shared" si="5"/>
        <v>42516.44</v>
      </c>
      <c r="J23" s="93">
        <f t="shared" si="5"/>
        <v>-3272.4699999999966</v>
      </c>
      <c r="K23" s="93">
        <f t="shared" si="5"/>
        <v>-1455.2724066763105</v>
      </c>
      <c r="L23" s="653">
        <f t="shared" si="5"/>
        <v>228.44620440644286</v>
      </c>
      <c r="M23" s="93">
        <f t="shared" si="5"/>
        <v>-1226.8262022698677</v>
      </c>
    </row>
    <row r="24" spans="2:13">
      <c r="B24" s="28"/>
      <c r="C24" s="122"/>
      <c r="D24" s="122"/>
      <c r="E24" s="125" t="s">
        <v>27</v>
      </c>
      <c r="F24" s="93">
        <f t="shared" ref="F24:M31" si="6">F71+F111+F151+F193+F233+F275+F317+F357+F399+F441+F483+F525+F567+F609+F651+F696+F742+F788+F834</f>
        <v>48505.579999999994</v>
      </c>
      <c r="G24" s="93">
        <f t="shared" si="6"/>
        <v>1734.1306907236813</v>
      </c>
      <c r="H24" s="93">
        <f t="shared" si="6"/>
        <v>47880.93</v>
      </c>
      <c r="I24" s="93">
        <f t="shared" si="6"/>
        <v>48394.609999999993</v>
      </c>
      <c r="J24" s="93">
        <f t="shared" si="6"/>
        <v>-110.97000000000102</v>
      </c>
      <c r="K24" s="93">
        <f t="shared" si="6"/>
        <v>1623.1606907236805</v>
      </c>
      <c r="L24" s="653">
        <f t="shared" si="6"/>
        <v>241.82904353897661</v>
      </c>
      <c r="M24" s="93">
        <f t="shared" si="6"/>
        <v>1864.9897342626573</v>
      </c>
    </row>
    <row r="25" spans="2:13">
      <c r="B25" s="28"/>
      <c r="C25" s="122"/>
      <c r="D25" s="122"/>
      <c r="E25" s="125" t="s">
        <v>28</v>
      </c>
      <c r="F25" s="93">
        <f t="shared" si="6"/>
        <v>7162132.2699999996</v>
      </c>
      <c r="G25" s="93">
        <f t="shared" si="6"/>
        <v>430128.15485108935</v>
      </c>
      <c r="H25" s="93">
        <f t="shared" si="6"/>
        <v>7343175.8499999996</v>
      </c>
      <c r="I25" s="93">
        <f t="shared" si="6"/>
        <v>7421954.8799999999</v>
      </c>
      <c r="J25" s="93">
        <f t="shared" si="6"/>
        <v>259822.60999999949</v>
      </c>
      <c r="K25" s="93">
        <f t="shared" si="6"/>
        <v>689950.76485108875</v>
      </c>
      <c r="L25" s="653">
        <f t="shared" si="6"/>
        <v>35784.025309464261</v>
      </c>
      <c r="M25" s="93">
        <f t="shared" si="6"/>
        <v>725734.79016055306</v>
      </c>
    </row>
    <row r="26" spans="2:13">
      <c r="B26" s="28"/>
      <c r="C26" s="122"/>
      <c r="D26" s="122"/>
      <c r="E26" s="125" t="s">
        <v>29</v>
      </c>
      <c r="F26" s="93">
        <f t="shared" si="6"/>
        <v>48219862.719999999</v>
      </c>
      <c r="G26" s="93">
        <f t="shared" si="6"/>
        <v>2493307.5892557101</v>
      </c>
      <c r="H26" s="93">
        <f t="shared" si="6"/>
        <v>46207952.460000001</v>
      </c>
      <c r="I26" s="93">
        <f t="shared" si="6"/>
        <v>46703680.280000009</v>
      </c>
      <c r="J26" s="93">
        <f t="shared" si="6"/>
        <v>-1516182.4399999978</v>
      </c>
      <c r="K26" s="93">
        <f t="shared" si="6"/>
        <v>977125.14925571228</v>
      </c>
      <c r="L26" s="653">
        <f t="shared" si="6"/>
        <v>228503.35832482472</v>
      </c>
      <c r="M26" s="93">
        <f t="shared" si="6"/>
        <v>1205628.5075805369</v>
      </c>
    </row>
    <row r="27" spans="2:13">
      <c r="B27" s="28"/>
      <c r="C27" s="122"/>
      <c r="D27" s="122"/>
      <c r="E27" s="125" t="s">
        <v>30</v>
      </c>
      <c r="F27" s="93">
        <f t="shared" si="6"/>
        <v>5232511.4300000006</v>
      </c>
      <c r="G27" s="93">
        <f t="shared" si="6"/>
        <v>213807.63860140007</v>
      </c>
      <c r="H27" s="93">
        <f t="shared" si="6"/>
        <v>5088000.8600000003</v>
      </c>
      <c r="I27" s="93">
        <f t="shared" si="6"/>
        <v>5142585.9200000009</v>
      </c>
      <c r="J27" s="93">
        <f t="shared" si="6"/>
        <v>-89925.510000000315</v>
      </c>
      <c r="K27" s="93">
        <f t="shared" si="6"/>
        <v>123882.12860139979</v>
      </c>
      <c r="L27" s="653">
        <f t="shared" si="6"/>
        <v>26150.379298152649</v>
      </c>
      <c r="M27" s="93">
        <f t="shared" si="6"/>
        <v>150032.50789955244</v>
      </c>
    </row>
    <row r="28" spans="2:13">
      <c r="B28" s="28"/>
      <c r="C28" s="122"/>
      <c r="D28" s="122"/>
      <c r="E28" s="125" t="s">
        <v>31</v>
      </c>
      <c r="F28" s="93">
        <f t="shared" si="6"/>
        <v>2405901.56</v>
      </c>
      <c r="G28" s="93">
        <f t="shared" si="6"/>
        <v>140126.57890220697</v>
      </c>
      <c r="H28" s="93">
        <f t="shared" si="6"/>
        <v>2336100.0200000005</v>
      </c>
      <c r="I28" s="93">
        <f t="shared" si="6"/>
        <v>2361162.16</v>
      </c>
      <c r="J28" s="93">
        <f t="shared" si="6"/>
        <v>-44739.399999999696</v>
      </c>
      <c r="K28" s="93">
        <f t="shared" si="6"/>
        <v>95387.178902207277</v>
      </c>
      <c r="L28" s="653">
        <f t="shared" si="6"/>
        <v>12024.612457465862</v>
      </c>
      <c r="M28" s="93">
        <f t="shared" si="6"/>
        <v>107411.79135967315</v>
      </c>
    </row>
    <row r="29" spans="2:13">
      <c r="B29" s="28"/>
      <c r="C29" s="122"/>
      <c r="D29" s="122"/>
      <c r="E29" s="125" t="s">
        <v>32</v>
      </c>
      <c r="F29" s="93">
        <f t="shared" si="6"/>
        <v>2352006.4000000004</v>
      </c>
      <c r="G29" s="93">
        <f t="shared" si="6"/>
        <v>90094.16632160361</v>
      </c>
      <c r="H29" s="93">
        <f t="shared" si="6"/>
        <v>2256264.5499999998</v>
      </c>
      <c r="I29" s="93">
        <f t="shared" si="6"/>
        <v>2280470.17</v>
      </c>
      <c r="J29" s="93">
        <f t="shared" si="6"/>
        <v>-71536.23000000001</v>
      </c>
      <c r="K29" s="93">
        <f t="shared" si="6"/>
        <v>18557.936321603604</v>
      </c>
      <c r="L29" s="653">
        <f t="shared" si="6"/>
        <v>11754.222603740203</v>
      </c>
      <c r="M29" s="93">
        <f t="shared" si="6"/>
        <v>30312.158925343803</v>
      </c>
    </row>
    <row r="30" spans="2:13">
      <c r="B30" s="28"/>
      <c r="C30" s="122"/>
      <c r="D30" s="122"/>
      <c r="E30" s="125" t="s">
        <v>33</v>
      </c>
      <c r="F30" s="93">
        <f t="shared" si="6"/>
        <v>7729622.3399999989</v>
      </c>
      <c r="G30" s="93">
        <f t="shared" si="6"/>
        <v>256359.45380834441</v>
      </c>
      <c r="H30" s="93">
        <f t="shared" si="6"/>
        <v>10517587.669999998</v>
      </c>
      <c r="I30" s="93">
        <f t="shared" si="6"/>
        <v>10630422.380000001</v>
      </c>
      <c r="J30" s="93">
        <f t="shared" si="6"/>
        <v>2900800.0399999996</v>
      </c>
      <c r="K30" s="93">
        <f t="shared" si="6"/>
        <v>3157159.4938083449</v>
      </c>
      <c r="L30" s="653">
        <f t="shared" si="6"/>
        <v>38631.879211746709</v>
      </c>
      <c r="M30" s="93">
        <f t="shared" si="6"/>
        <v>3195791.3730200911</v>
      </c>
    </row>
    <row r="31" spans="2:13">
      <c r="B31" s="28"/>
      <c r="C31" s="122"/>
      <c r="D31" s="122"/>
      <c r="E31" s="125" t="s">
        <v>34</v>
      </c>
      <c r="F31" s="93">
        <f t="shared" si="6"/>
        <v>435624.20000000007</v>
      </c>
      <c r="G31" s="93">
        <f t="shared" si="6"/>
        <v>17167.216864863236</v>
      </c>
      <c r="H31" s="93">
        <f t="shared" si="6"/>
        <v>489367.75</v>
      </c>
      <c r="I31" s="93">
        <f t="shared" si="6"/>
        <v>494617.77999999997</v>
      </c>
      <c r="J31" s="93">
        <f t="shared" si="6"/>
        <v>58993.579999999973</v>
      </c>
      <c r="K31" s="93">
        <f t="shared" si="6"/>
        <v>76160.796864863209</v>
      </c>
      <c r="L31" s="653">
        <f t="shared" si="6"/>
        <v>2176.6200872733511</v>
      </c>
      <c r="M31" s="93">
        <f t="shared" si="6"/>
        <v>78337.416952136555</v>
      </c>
    </row>
    <row r="32" spans="2:13">
      <c r="B32" s="28"/>
      <c r="C32" s="122"/>
      <c r="D32" s="122"/>
      <c r="E32" s="125" t="s">
        <v>110</v>
      </c>
      <c r="F32" s="93">
        <f>F659+F704+F750+F796+F842</f>
        <v>311.57</v>
      </c>
      <c r="G32" s="93">
        <f t="shared" ref="G32:M32" si="7">G659+G704+G750+G796+G842</f>
        <v>-5626.6637917490134</v>
      </c>
      <c r="H32" s="93">
        <f t="shared" si="7"/>
        <v>304.91000000000003</v>
      </c>
      <c r="I32" s="93">
        <f t="shared" si="7"/>
        <v>308.18</v>
      </c>
      <c r="J32" s="93">
        <f t="shared" si="7"/>
        <v>-3.3899999999999864</v>
      </c>
      <c r="K32" s="93">
        <f t="shared" si="7"/>
        <v>-5630.0537917490137</v>
      </c>
      <c r="L32" s="653">
        <f t="shared" si="7"/>
        <v>-3.4973041215768559</v>
      </c>
      <c r="M32" s="93">
        <f t="shared" si="7"/>
        <v>-5633.55109587059</v>
      </c>
    </row>
    <row r="33" spans="2:14">
      <c r="B33" s="28"/>
      <c r="C33" s="122"/>
      <c r="D33" s="122"/>
      <c r="E33" s="125" t="s">
        <v>111</v>
      </c>
      <c r="F33" s="93">
        <f t="shared" ref="F33:M34" si="8">F660+F705+F751+F797+F843</f>
        <v>10.37</v>
      </c>
      <c r="G33" s="93">
        <f t="shared" si="8"/>
        <v>-159.33436035350221</v>
      </c>
      <c r="H33" s="93">
        <f t="shared" si="8"/>
        <v>10.35</v>
      </c>
      <c r="I33" s="93">
        <f t="shared" si="8"/>
        <v>10.46</v>
      </c>
      <c r="J33" s="93">
        <f t="shared" si="8"/>
        <v>9.0000000000001634E-2</v>
      </c>
      <c r="K33" s="93">
        <f t="shared" si="8"/>
        <v>-159.2443603535022</v>
      </c>
      <c r="L33" s="653">
        <f t="shared" si="8"/>
        <v>-9.1349552862105166E-2</v>
      </c>
      <c r="M33" s="93">
        <f t="shared" si="8"/>
        <v>-159.33570990636429</v>
      </c>
    </row>
    <row r="34" spans="2:14">
      <c r="B34" s="28"/>
      <c r="C34" s="122"/>
      <c r="D34" s="122"/>
      <c r="E34" s="125" t="s">
        <v>118</v>
      </c>
      <c r="F34" s="93">
        <f t="shared" si="8"/>
        <v>354530.37</v>
      </c>
      <c r="G34" s="93">
        <f t="shared" si="8"/>
        <v>32589.518446658811</v>
      </c>
      <c r="H34" s="93">
        <f t="shared" si="8"/>
        <v>323720.94</v>
      </c>
      <c r="I34" s="93">
        <f t="shared" si="8"/>
        <v>327193.88</v>
      </c>
      <c r="J34" s="93">
        <f t="shared" si="8"/>
        <v>-27336.489999999991</v>
      </c>
      <c r="K34" s="93">
        <f t="shared" si="8"/>
        <v>5253.0284466588209</v>
      </c>
      <c r="L34" s="653">
        <f t="shared" si="8"/>
        <v>1770.9392096650156</v>
      </c>
      <c r="M34" s="93">
        <f t="shared" si="8"/>
        <v>7023.9676563238372</v>
      </c>
    </row>
    <row r="35" spans="2:14">
      <c r="B35" s="28"/>
      <c r="C35" s="122"/>
      <c r="D35" s="122"/>
      <c r="E35" s="125" t="s">
        <v>119</v>
      </c>
      <c r="F35" s="93">
        <f>F707+F753+F799+F845</f>
        <v>0</v>
      </c>
      <c r="G35" s="93">
        <f t="shared" ref="G35:M35" si="9">G707+G753+G799+G845</f>
        <v>-1945.5866725975754</v>
      </c>
      <c r="H35" s="93">
        <f t="shared" si="9"/>
        <v>0</v>
      </c>
      <c r="I35" s="93">
        <f t="shared" si="9"/>
        <v>0</v>
      </c>
      <c r="J35" s="93">
        <f t="shared" si="9"/>
        <v>0</v>
      </c>
      <c r="K35" s="93">
        <f t="shared" si="9"/>
        <v>-1945.5866725975754</v>
      </c>
      <c r="L35" s="653">
        <f t="shared" si="9"/>
        <v>-1.7451095581193277</v>
      </c>
      <c r="M35" s="93">
        <f t="shared" si="9"/>
        <v>-1947.3317821556948</v>
      </c>
    </row>
    <row r="36" spans="2:14">
      <c r="B36" s="28"/>
      <c r="C36" s="122"/>
      <c r="D36" s="122"/>
      <c r="E36" s="125" t="s">
        <v>260</v>
      </c>
      <c r="F36" s="93">
        <f t="shared" ref="F36:M42" si="10">F846</f>
        <v>0</v>
      </c>
      <c r="G36" s="93">
        <f t="shared" si="10"/>
        <v>0</v>
      </c>
      <c r="H36" s="93">
        <f t="shared" si="10"/>
        <v>0</v>
      </c>
      <c r="I36" s="93">
        <f t="shared" si="10"/>
        <v>0</v>
      </c>
      <c r="J36" s="93">
        <f t="shared" si="10"/>
        <v>0</v>
      </c>
      <c r="K36" s="93">
        <f t="shared" si="10"/>
        <v>0</v>
      </c>
      <c r="L36" s="653">
        <f t="shared" si="10"/>
        <v>0</v>
      </c>
      <c r="M36" s="93">
        <f t="shared" si="10"/>
        <v>0</v>
      </c>
    </row>
    <row r="37" spans="2:14">
      <c r="B37" s="28"/>
      <c r="C37" s="122"/>
      <c r="D37" s="122"/>
      <c r="E37" s="125" t="s">
        <v>262</v>
      </c>
      <c r="F37" s="93">
        <f t="shared" si="10"/>
        <v>0</v>
      </c>
      <c r="G37" s="93">
        <f t="shared" si="10"/>
        <v>0</v>
      </c>
      <c r="H37" s="93">
        <f t="shared" si="10"/>
        <v>0</v>
      </c>
      <c r="I37" s="93">
        <f t="shared" si="10"/>
        <v>0</v>
      </c>
      <c r="J37" s="93">
        <f t="shared" si="10"/>
        <v>0</v>
      </c>
      <c r="K37" s="93">
        <f t="shared" si="10"/>
        <v>0</v>
      </c>
      <c r="L37" s="653">
        <f t="shared" si="10"/>
        <v>0</v>
      </c>
      <c r="M37" s="93">
        <f t="shared" si="10"/>
        <v>0</v>
      </c>
    </row>
    <row r="38" spans="2:14">
      <c r="B38" s="28"/>
      <c r="C38" s="122"/>
      <c r="D38" s="122"/>
      <c r="E38" s="125" t="s">
        <v>266</v>
      </c>
      <c r="F38" s="93">
        <f t="shared" si="10"/>
        <v>0</v>
      </c>
      <c r="G38" s="93">
        <f t="shared" si="10"/>
        <v>0</v>
      </c>
      <c r="H38" s="93">
        <f t="shared" si="10"/>
        <v>0</v>
      </c>
      <c r="I38" s="93">
        <f t="shared" si="10"/>
        <v>0</v>
      </c>
      <c r="J38" s="93">
        <f t="shared" si="10"/>
        <v>0</v>
      </c>
      <c r="K38" s="93">
        <f t="shared" si="10"/>
        <v>0</v>
      </c>
      <c r="L38" s="653">
        <f t="shared" si="10"/>
        <v>0</v>
      </c>
      <c r="M38" s="93">
        <f t="shared" si="10"/>
        <v>0</v>
      </c>
    </row>
    <row r="39" spans="2:14">
      <c r="B39" s="28"/>
      <c r="C39" s="122"/>
      <c r="D39" s="122"/>
      <c r="E39" s="125" t="s">
        <v>268</v>
      </c>
      <c r="F39" s="93">
        <f t="shared" si="10"/>
        <v>0</v>
      </c>
      <c r="G39" s="93">
        <f t="shared" si="10"/>
        <v>0</v>
      </c>
      <c r="H39" s="93">
        <f t="shared" si="10"/>
        <v>0</v>
      </c>
      <c r="I39" s="93">
        <f t="shared" si="10"/>
        <v>0</v>
      </c>
      <c r="J39" s="93">
        <f t="shared" si="10"/>
        <v>0</v>
      </c>
      <c r="K39" s="93">
        <f t="shared" si="10"/>
        <v>0</v>
      </c>
      <c r="L39" s="653">
        <f t="shared" si="10"/>
        <v>0</v>
      </c>
      <c r="M39" s="93">
        <f t="shared" si="10"/>
        <v>0</v>
      </c>
    </row>
    <row r="40" spans="2:14">
      <c r="B40" s="28"/>
      <c r="C40" s="122"/>
      <c r="D40" s="122"/>
      <c r="E40" s="125" t="s">
        <v>263</v>
      </c>
      <c r="F40" s="93">
        <f t="shared" si="10"/>
        <v>0</v>
      </c>
      <c r="G40" s="93">
        <f t="shared" si="10"/>
        <v>0</v>
      </c>
      <c r="H40" s="93">
        <f t="shared" si="10"/>
        <v>0</v>
      </c>
      <c r="I40" s="93">
        <f t="shared" si="10"/>
        <v>0</v>
      </c>
      <c r="J40" s="93">
        <f t="shared" si="10"/>
        <v>0</v>
      </c>
      <c r="K40" s="93">
        <f t="shared" si="10"/>
        <v>0</v>
      </c>
      <c r="L40" s="653">
        <f t="shared" si="10"/>
        <v>0</v>
      </c>
      <c r="M40" s="93">
        <f t="shared" si="10"/>
        <v>0</v>
      </c>
    </row>
    <row r="41" spans="2:14">
      <c r="B41" s="28"/>
      <c r="C41" s="122"/>
      <c r="D41" s="122"/>
      <c r="E41" s="125" t="s">
        <v>267</v>
      </c>
      <c r="F41" s="93">
        <f t="shared" si="10"/>
        <v>0</v>
      </c>
      <c r="G41" s="93">
        <f t="shared" si="10"/>
        <v>0</v>
      </c>
      <c r="H41" s="93">
        <f t="shared" si="10"/>
        <v>0</v>
      </c>
      <c r="I41" s="93">
        <f t="shared" si="10"/>
        <v>0</v>
      </c>
      <c r="J41" s="93">
        <f t="shared" si="10"/>
        <v>0</v>
      </c>
      <c r="K41" s="93">
        <f t="shared" si="10"/>
        <v>0</v>
      </c>
      <c r="L41" s="653">
        <f t="shared" si="10"/>
        <v>0</v>
      </c>
      <c r="M41" s="93">
        <f t="shared" si="10"/>
        <v>0</v>
      </c>
    </row>
    <row r="42" spans="2:14">
      <c r="B42" s="28"/>
      <c r="C42" s="122"/>
      <c r="D42" s="122"/>
      <c r="E42" s="125" t="s">
        <v>273</v>
      </c>
      <c r="F42" s="507">
        <f t="shared" si="10"/>
        <v>0</v>
      </c>
      <c r="G42" s="93">
        <f t="shared" si="10"/>
        <v>0</v>
      </c>
      <c r="H42" s="93">
        <f t="shared" si="10"/>
        <v>0</v>
      </c>
      <c r="I42" s="93">
        <f t="shared" si="10"/>
        <v>0</v>
      </c>
      <c r="J42" s="93">
        <f t="shared" si="10"/>
        <v>0</v>
      </c>
      <c r="K42" s="93">
        <f t="shared" si="10"/>
        <v>0</v>
      </c>
      <c r="L42" s="653">
        <f t="shared" si="10"/>
        <v>0</v>
      </c>
      <c r="M42" s="93">
        <f t="shared" si="10"/>
        <v>0</v>
      </c>
    </row>
    <row r="43" spans="2:14">
      <c r="B43" s="117"/>
      <c r="C43" s="118"/>
      <c r="D43" s="118"/>
      <c r="E43" s="113"/>
      <c r="F43" s="157">
        <f t="shared" ref="F43:M43" si="11">SUM(F8:F42)</f>
        <v>85701136.980000019</v>
      </c>
      <c r="G43" s="157">
        <f t="shared" si="11"/>
        <v>4204771.9488030374</v>
      </c>
      <c r="H43" s="157">
        <f t="shared" si="11"/>
        <v>86230429.829999983</v>
      </c>
      <c r="I43" s="157">
        <f t="shared" si="11"/>
        <v>87155526.5</v>
      </c>
      <c r="J43" s="157">
        <f t="shared" si="11"/>
        <v>1454389.5200000014</v>
      </c>
      <c r="K43" s="157">
        <f t="shared" si="11"/>
        <v>5659161.4688030398</v>
      </c>
      <c r="L43" s="654">
        <f t="shared" si="11"/>
        <v>415747.96984759957</v>
      </c>
      <c r="M43" s="514">
        <f t="shared" si="11"/>
        <v>6074909.4386506397</v>
      </c>
    </row>
    <row r="44" spans="2:14">
      <c r="H44" s="163"/>
      <c r="J44" s="163"/>
      <c r="K44" s="86"/>
      <c r="L44" s="86"/>
      <c r="M44" s="86"/>
      <c r="N44" s="163"/>
    </row>
    <row r="45" spans="2:14">
      <c r="B45" s="79"/>
      <c r="C45" s="79"/>
      <c r="D45" s="79"/>
      <c r="E45" s="79"/>
      <c r="F45" s="392"/>
      <c r="G45" s="392"/>
      <c r="H45" s="392"/>
      <c r="I45" s="392"/>
      <c r="J45" s="392"/>
      <c r="K45" s="392"/>
      <c r="L45" s="392"/>
      <c r="M45" s="392"/>
    </row>
    <row r="46" spans="2:14">
      <c r="M46" s="21"/>
    </row>
    <row r="47" spans="2:14" ht="15.75" customHeight="1">
      <c r="B47" s="541" t="s">
        <v>0</v>
      </c>
      <c r="C47" s="692" t="s">
        <v>676</v>
      </c>
      <c r="D47" s="693"/>
      <c r="E47" s="693"/>
      <c r="F47" s="693"/>
      <c r="G47" s="693"/>
      <c r="H47" s="694"/>
      <c r="I47" s="1"/>
    </row>
    <row r="48" spans="2:14" ht="15.75" customHeight="1">
      <c r="B48" s="69" t="s">
        <v>1</v>
      </c>
      <c r="C48" s="666" t="s">
        <v>2</v>
      </c>
      <c r="D48" s="687"/>
      <c r="E48" s="687"/>
      <c r="F48" s="687"/>
      <c r="G48" s="687"/>
      <c r="H48" s="688"/>
      <c r="I48" s="1"/>
    </row>
    <row r="49" spans="2:14" ht="15.75" customHeight="1">
      <c r="B49" s="69" t="s">
        <v>3</v>
      </c>
      <c r="C49" s="666" t="s">
        <v>4</v>
      </c>
      <c r="D49" s="687"/>
      <c r="E49" s="687"/>
      <c r="F49" s="687"/>
      <c r="G49" s="687"/>
      <c r="H49" s="688"/>
      <c r="I49" s="1"/>
    </row>
    <row r="50" spans="2:14" ht="15.75" customHeight="1">
      <c r="B50" s="70" t="s">
        <v>5</v>
      </c>
      <c r="C50" s="698" t="s">
        <v>6</v>
      </c>
      <c r="D50" s="690"/>
      <c r="E50" s="690"/>
      <c r="F50" s="690"/>
      <c r="G50" s="690"/>
      <c r="H50" s="691"/>
      <c r="I50" s="1"/>
    </row>
    <row r="51" spans="2:14">
      <c r="B51" s="74"/>
      <c r="C51" s="74"/>
      <c r="D51" s="74"/>
      <c r="E51" s="74"/>
      <c r="F51" s="74"/>
      <c r="J51" s="99" t="s">
        <v>155</v>
      </c>
      <c r="K51" s="3" t="s">
        <v>40</v>
      </c>
      <c r="M51" s="3" t="s">
        <v>54</v>
      </c>
    </row>
    <row r="52" spans="2:14">
      <c r="B52" s="74"/>
      <c r="C52" s="74"/>
      <c r="D52" s="74"/>
      <c r="E52" s="74"/>
      <c r="F52" s="74"/>
      <c r="G52" s="3" t="s">
        <v>37</v>
      </c>
      <c r="H52" s="127" t="s">
        <v>38</v>
      </c>
      <c r="I52" s="92" t="s">
        <v>39</v>
      </c>
      <c r="J52" s="100" t="s">
        <v>156</v>
      </c>
      <c r="K52" s="4" t="s">
        <v>157</v>
      </c>
      <c r="L52" s="4" t="s">
        <v>53</v>
      </c>
      <c r="M52" s="4" t="s">
        <v>158</v>
      </c>
    </row>
    <row r="53" spans="2:14">
      <c r="B53" s="74"/>
      <c r="C53" s="74"/>
      <c r="D53" s="74"/>
      <c r="E53" s="74"/>
      <c r="F53" s="74"/>
      <c r="G53" s="5"/>
      <c r="H53" s="662" t="s">
        <v>41</v>
      </c>
      <c r="I53" s="663"/>
      <c r="J53" s="664"/>
      <c r="K53" s="6" t="s">
        <v>42</v>
      </c>
      <c r="L53" s="5"/>
      <c r="M53" s="6" t="s">
        <v>43</v>
      </c>
    </row>
    <row r="54" spans="2:14">
      <c r="B54" s="75"/>
      <c r="C54" s="7">
        <v>0</v>
      </c>
      <c r="D54" s="7">
        <v>1</v>
      </c>
      <c r="E54" s="7"/>
      <c r="F54" s="87" t="s">
        <v>154</v>
      </c>
      <c r="G54" s="8" t="s">
        <v>44</v>
      </c>
      <c r="H54" s="128"/>
      <c r="I54" s="5"/>
      <c r="J54" s="101" t="s">
        <v>45</v>
      </c>
      <c r="K54" s="8" t="s">
        <v>46</v>
      </c>
      <c r="L54" s="9"/>
      <c r="M54" s="8" t="s">
        <v>47</v>
      </c>
    </row>
    <row r="55" spans="2:14" ht="15.75" customHeight="1">
      <c r="B55" s="10"/>
      <c r="C55" s="68" t="s">
        <v>8</v>
      </c>
      <c r="D55" s="68" t="s">
        <v>9</v>
      </c>
      <c r="E55" s="68" t="s">
        <v>10</v>
      </c>
      <c r="F55" s="88" t="s">
        <v>7</v>
      </c>
      <c r="G55" s="11" t="s">
        <v>48</v>
      </c>
      <c r="H55" s="129" t="s">
        <v>49</v>
      </c>
      <c r="I55" s="12" t="s">
        <v>152</v>
      </c>
      <c r="J55" s="102" t="s">
        <v>48</v>
      </c>
      <c r="K55" s="12" t="s">
        <v>48</v>
      </c>
      <c r="L55" s="12" t="s">
        <v>50</v>
      </c>
      <c r="M55" s="12" t="s">
        <v>51</v>
      </c>
    </row>
    <row r="56" spans="2:14" ht="31.5">
      <c r="B56" s="13" t="s">
        <v>12</v>
      </c>
      <c r="C56" s="14" t="s">
        <v>13</v>
      </c>
      <c r="D56" s="14" t="s">
        <v>13</v>
      </c>
      <c r="E56" s="15" t="s">
        <v>13</v>
      </c>
      <c r="F56" s="89" t="s">
        <v>14</v>
      </c>
      <c r="G56" s="16" t="s">
        <v>52</v>
      </c>
      <c r="H56" s="130"/>
      <c r="I56" s="17"/>
      <c r="J56" s="103" t="s">
        <v>52</v>
      </c>
      <c r="K56" s="17"/>
      <c r="L56" s="17"/>
      <c r="M56" s="16" t="s">
        <v>52</v>
      </c>
    </row>
    <row r="57" spans="2:14" s="174" customFormat="1">
      <c r="B57" s="18" t="s">
        <v>15</v>
      </c>
      <c r="C57" s="211">
        <v>0</v>
      </c>
      <c r="D57" s="214">
        <v>0</v>
      </c>
      <c r="E57" s="216">
        <f>C57+D57</f>
        <v>0</v>
      </c>
      <c r="F57" s="215">
        <f>ROUND(+E57*F$81,2)</f>
        <v>0</v>
      </c>
      <c r="G57" s="170">
        <f>(F$81-F$82)*E57</f>
        <v>0</v>
      </c>
      <c r="H57" s="531">
        <f>ROUND(F57*'Actual Load'!$B$8/'Zonal Load'!$N$8,2)</f>
        <v>0</v>
      </c>
      <c r="I57" s="170">
        <f t="shared" ref="I57:I78" si="12">ROUND((H57*$H$912)/$H$910,2)</f>
        <v>0</v>
      </c>
      <c r="J57" s="170">
        <f t="shared" ref="J57:J78" si="13">I57-F57</f>
        <v>0</v>
      </c>
      <c r="K57" s="170">
        <f t="shared" ref="K57:K78" si="14">+G57+J57</f>
        <v>0</v>
      </c>
      <c r="L57" s="655">
        <f>E57*'Interest Under Collect '!J$6</f>
        <v>0</v>
      </c>
      <c r="M57" s="170">
        <f t="shared" ref="M57:M64" si="15">+K57+L57</f>
        <v>0</v>
      </c>
      <c r="N57" s="82"/>
    </row>
    <row r="58" spans="2:14" s="174" customFormat="1">
      <c r="B58" s="23" t="s">
        <v>16</v>
      </c>
      <c r="C58" s="211">
        <v>0</v>
      </c>
      <c r="D58" s="214">
        <v>0</v>
      </c>
      <c r="E58" s="212">
        <f>C58+D58</f>
        <v>0</v>
      </c>
      <c r="F58" s="213">
        <f>ROUND(+E58*F$81,2)</f>
        <v>0</v>
      </c>
      <c r="G58" s="170">
        <f>(F$81-F$82)*E58</f>
        <v>0</v>
      </c>
      <c r="H58" s="531">
        <f>ROUND(F58*'Actual Load'!$B$14/'Zonal Load'!$N$14,2)</f>
        <v>0</v>
      </c>
      <c r="I58" s="170">
        <f t="shared" si="12"/>
        <v>0</v>
      </c>
      <c r="J58" s="170">
        <f t="shared" si="13"/>
        <v>0</v>
      </c>
      <c r="K58" s="170">
        <f t="shared" si="14"/>
        <v>0</v>
      </c>
      <c r="L58" s="655">
        <f>E58*'Interest Under Collect '!J$6</f>
        <v>0</v>
      </c>
      <c r="M58" s="170">
        <f t="shared" si="15"/>
        <v>0</v>
      </c>
      <c r="N58" s="82"/>
    </row>
    <row r="59" spans="2:14" s="174" customFormat="1">
      <c r="B59" s="23" t="s">
        <v>190</v>
      </c>
      <c r="C59" s="211">
        <f>0%*0.421</f>
        <v>0</v>
      </c>
      <c r="D59" s="214">
        <f>0%*0.421</f>
        <v>0</v>
      </c>
      <c r="E59" s="212">
        <f t="shared" ref="E59:E78" si="16">C59+D59</f>
        <v>0</v>
      </c>
      <c r="F59" s="213">
        <f t="shared" ref="F59:F78" si="17">ROUND(+E59*F$81,2)</f>
        <v>0</v>
      </c>
      <c r="G59" s="170">
        <f t="shared" ref="G59:G78" si="18">(F$81-F$82)*E59</f>
        <v>0</v>
      </c>
      <c r="H59" s="531">
        <f>ROUND(F59*'Actual Load'!$B$9/'Zonal Load'!$N$9,2)</f>
        <v>0</v>
      </c>
      <c r="I59" s="170">
        <f t="shared" si="12"/>
        <v>0</v>
      </c>
      <c r="J59" s="170">
        <f t="shared" si="13"/>
        <v>0</v>
      </c>
      <c r="K59" s="170">
        <f t="shared" si="14"/>
        <v>0</v>
      </c>
      <c r="L59" s="655">
        <f>E59*'Interest Under Collect '!J$6</f>
        <v>0</v>
      </c>
      <c r="M59" s="170">
        <f t="shared" si="15"/>
        <v>0</v>
      </c>
      <c r="N59" s="82"/>
    </row>
    <row r="60" spans="2:14" s="174" customFormat="1">
      <c r="B60" s="125" t="s">
        <v>249</v>
      </c>
      <c r="C60" s="211">
        <f>0%*0.579</f>
        <v>0</v>
      </c>
      <c r="D60" s="214">
        <f>0%*0.579</f>
        <v>0</v>
      </c>
      <c r="E60" s="212">
        <f>C60+D60</f>
        <v>0</v>
      </c>
      <c r="F60" s="213">
        <f t="shared" si="17"/>
        <v>0</v>
      </c>
      <c r="G60" s="170">
        <f>(F$81-F$82)*E60</f>
        <v>0</v>
      </c>
      <c r="H60" s="531">
        <f>ROUND(F60*'Actual Load'!$B$10/'Zonal Load'!$N$10,2)</f>
        <v>0</v>
      </c>
      <c r="I60" s="170">
        <f t="shared" si="12"/>
        <v>0</v>
      </c>
      <c r="J60" s="170">
        <f>I60-F60</f>
        <v>0</v>
      </c>
      <c r="K60" s="170">
        <f>+G60+J60</f>
        <v>0</v>
      </c>
      <c r="L60" s="655">
        <f>E60*'Interest Under Collect '!J$6</f>
        <v>0</v>
      </c>
      <c r="M60" s="170">
        <f>+K60+L60</f>
        <v>0</v>
      </c>
      <c r="N60" s="82"/>
    </row>
    <row r="61" spans="2:14" s="174" customFormat="1">
      <c r="B61" s="23" t="s">
        <v>17</v>
      </c>
      <c r="C61" s="211">
        <v>0</v>
      </c>
      <c r="D61" s="214">
        <v>0</v>
      </c>
      <c r="E61" s="212">
        <f t="shared" si="16"/>
        <v>0</v>
      </c>
      <c r="F61" s="213">
        <f t="shared" si="17"/>
        <v>0</v>
      </c>
      <c r="G61" s="170">
        <f t="shared" si="18"/>
        <v>0</v>
      </c>
      <c r="H61" s="531">
        <f>ROUND(F61*'Actual Load'!$B$26/'Zonal Load'!$N$26,2)</f>
        <v>0</v>
      </c>
      <c r="I61" s="170">
        <f t="shared" si="12"/>
        <v>0</v>
      </c>
      <c r="J61" s="170">
        <f t="shared" si="13"/>
        <v>0</v>
      </c>
      <c r="K61" s="170">
        <f t="shared" si="14"/>
        <v>0</v>
      </c>
      <c r="L61" s="655">
        <f>E61*'Interest Under Collect '!J$6</f>
        <v>0</v>
      </c>
      <c r="M61" s="170">
        <f t="shared" si="15"/>
        <v>0</v>
      </c>
      <c r="N61" s="82"/>
    </row>
    <row r="62" spans="2:14" s="174" customFormat="1">
      <c r="B62" s="23" t="s">
        <v>18</v>
      </c>
      <c r="C62" s="211">
        <v>0</v>
      </c>
      <c r="D62" s="214">
        <v>0</v>
      </c>
      <c r="E62" s="212">
        <f t="shared" si="16"/>
        <v>0</v>
      </c>
      <c r="F62" s="213">
        <f t="shared" si="17"/>
        <v>0</v>
      </c>
      <c r="G62" s="170">
        <f t="shared" si="18"/>
        <v>0</v>
      </c>
      <c r="H62" s="531">
        <f>ROUND(F62*'Actual Load'!$B$16/'Zonal Load'!$N$16,2)</f>
        <v>0</v>
      </c>
      <c r="I62" s="170">
        <f t="shared" si="12"/>
        <v>0</v>
      </c>
      <c r="J62" s="170">
        <f t="shared" si="13"/>
        <v>0</v>
      </c>
      <c r="K62" s="170">
        <f t="shared" si="14"/>
        <v>0</v>
      </c>
      <c r="L62" s="655">
        <f>E62*'Interest Under Collect '!J$6</f>
        <v>0</v>
      </c>
      <c r="M62" s="170">
        <f t="shared" si="15"/>
        <v>0</v>
      </c>
      <c r="N62" s="82"/>
    </row>
    <row r="63" spans="2:14" s="174" customFormat="1">
      <c r="B63" s="23" t="s">
        <v>19</v>
      </c>
      <c r="C63" s="211">
        <v>0</v>
      </c>
      <c r="D63" s="214">
        <v>0</v>
      </c>
      <c r="E63" s="212">
        <f t="shared" si="16"/>
        <v>0</v>
      </c>
      <c r="F63" s="213">
        <f t="shared" si="17"/>
        <v>0</v>
      </c>
      <c r="G63" s="170">
        <f t="shared" si="18"/>
        <v>0</v>
      </c>
      <c r="H63" s="531">
        <f>ROUND(F63*'Actual Load'!$B$22/'Zonal Load'!$N$22,2)</f>
        <v>0</v>
      </c>
      <c r="I63" s="170">
        <f t="shared" si="12"/>
        <v>0</v>
      </c>
      <c r="J63" s="170">
        <f t="shared" si="13"/>
        <v>0</v>
      </c>
      <c r="K63" s="170">
        <f t="shared" si="14"/>
        <v>0</v>
      </c>
      <c r="L63" s="655">
        <f>E63*'Interest Under Collect '!J$6</f>
        <v>0</v>
      </c>
      <c r="M63" s="170">
        <f t="shared" si="15"/>
        <v>0</v>
      </c>
      <c r="N63" s="82"/>
    </row>
    <row r="64" spans="2:14" s="174" customFormat="1">
      <c r="B64" s="23" t="s">
        <v>20</v>
      </c>
      <c r="C64" s="211">
        <v>0</v>
      </c>
      <c r="D64" s="214">
        <v>0</v>
      </c>
      <c r="E64" s="212">
        <f t="shared" si="16"/>
        <v>0</v>
      </c>
      <c r="F64" s="213">
        <f t="shared" si="17"/>
        <v>0</v>
      </c>
      <c r="G64" s="170">
        <f t="shared" si="18"/>
        <v>0</v>
      </c>
      <c r="H64" s="531">
        <f>ROUND(F64*'Actual Load'!$B$17/'Zonal Load'!$N$17,2)</f>
        <v>0</v>
      </c>
      <c r="I64" s="170">
        <f t="shared" si="12"/>
        <v>0</v>
      </c>
      <c r="J64" s="170">
        <f t="shared" si="13"/>
        <v>0</v>
      </c>
      <c r="K64" s="170">
        <f t="shared" si="14"/>
        <v>0</v>
      </c>
      <c r="L64" s="655">
        <f>E64*'Interest Under Collect '!J$6</f>
        <v>0</v>
      </c>
      <c r="M64" s="170">
        <f t="shared" si="15"/>
        <v>0</v>
      </c>
      <c r="N64" s="82"/>
    </row>
    <row r="65" spans="2:14" s="174" customFormat="1">
      <c r="B65" s="23" t="s">
        <v>21</v>
      </c>
      <c r="C65" s="211">
        <v>0</v>
      </c>
      <c r="D65" s="214">
        <v>0</v>
      </c>
      <c r="E65" s="212">
        <f t="shared" si="16"/>
        <v>0</v>
      </c>
      <c r="F65" s="213">
        <f t="shared" si="17"/>
        <v>0</v>
      </c>
      <c r="G65" s="170">
        <f t="shared" si="18"/>
        <v>0</v>
      </c>
      <c r="H65" s="531">
        <f>ROUND(F65*'Actual Load'!$B$15/'Zonal Load'!$N$15,2)</f>
        <v>0</v>
      </c>
      <c r="I65" s="170">
        <f t="shared" si="12"/>
        <v>0</v>
      </c>
      <c r="J65" s="170">
        <f t="shared" si="13"/>
        <v>0</v>
      </c>
      <c r="K65" s="170">
        <f t="shared" si="14"/>
        <v>0</v>
      </c>
      <c r="L65" s="655">
        <f>E65*'Interest Under Collect '!J$6</f>
        <v>0</v>
      </c>
      <c r="M65" s="170">
        <f>+K65+L65</f>
        <v>0</v>
      </c>
      <c r="N65" s="82"/>
    </row>
    <row r="66" spans="2:14" s="174" customFormat="1">
      <c r="B66" s="23" t="s">
        <v>22</v>
      </c>
      <c r="C66" s="211">
        <v>0</v>
      </c>
      <c r="D66" s="214">
        <v>0</v>
      </c>
      <c r="E66" s="212">
        <f t="shared" si="16"/>
        <v>0</v>
      </c>
      <c r="F66" s="213">
        <f t="shared" si="17"/>
        <v>0</v>
      </c>
      <c r="G66" s="170">
        <f t="shared" si="18"/>
        <v>0</v>
      </c>
      <c r="H66" s="531">
        <f>ROUND(F66*'Actual Load'!$B$4/'Zonal Load'!$N$4,2)</f>
        <v>0</v>
      </c>
      <c r="I66" s="170">
        <f t="shared" si="12"/>
        <v>0</v>
      </c>
      <c r="J66" s="170">
        <f t="shared" si="13"/>
        <v>0</v>
      </c>
      <c r="K66" s="170">
        <f t="shared" si="14"/>
        <v>0</v>
      </c>
      <c r="L66" s="655">
        <f>E66*'Interest Under Collect '!J$6</f>
        <v>0</v>
      </c>
      <c r="M66" s="170">
        <f t="shared" ref="M66:M78" si="19">+K66+L66</f>
        <v>0</v>
      </c>
      <c r="N66" s="82"/>
    </row>
    <row r="67" spans="2:14" s="174" customFormat="1">
      <c r="B67" s="23" t="s">
        <v>23</v>
      </c>
      <c r="C67" s="211">
        <v>0</v>
      </c>
      <c r="D67" s="214">
        <v>0</v>
      </c>
      <c r="E67" s="212">
        <f t="shared" si="16"/>
        <v>0</v>
      </c>
      <c r="F67" s="213">
        <f t="shared" si="17"/>
        <v>0</v>
      </c>
      <c r="G67" s="170">
        <f t="shared" si="18"/>
        <v>0</v>
      </c>
      <c r="H67" s="531">
        <f>ROUND(F67*'Actual Load'!$B$11/'Zonal Load'!$N$11,2)</f>
        <v>0</v>
      </c>
      <c r="I67" s="170">
        <f t="shared" si="12"/>
        <v>0</v>
      </c>
      <c r="J67" s="170">
        <f t="shared" si="13"/>
        <v>0</v>
      </c>
      <c r="K67" s="170">
        <f t="shared" si="14"/>
        <v>0</v>
      </c>
      <c r="L67" s="655">
        <f>E67*'Interest Under Collect '!J$6</f>
        <v>0</v>
      </c>
      <c r="M67" s="170">
        <f t="shared" si="19"/>
        <v>0</v>
      </c>
      <c r="N67" s="82"/>
    </row>
    <row r="68" spans="2:14" s="174" customFormat="1">
      <c r="B68" s="23" t="s">
        <v>24</v>
      </c>
      <c r="C68" s="211">
        <v>0</v>
      </c>
      <c r="D68" s="214">
        <v>0</v>
      </c>
      <c r="E68" s="212">
        <f t="shared" si="16"/>
        <v>0</v>
      </c>
      <c r="F68" s="213">
        <f t="shared" si="17"/>
        <v>0</v>
      </c>
      <c r="G68" s="170">
        <f t="shared" si="18"/>
        <v>0</v>
      </c>
      <c r="H68" s="531">
        <f>ROUND(F68*'Actual Load'!$B$6/'Zonal Load'!$N$6,2)</f>
        <v>0</v>
      </c>
      <c r="I68" s="170">
        <f t="shared" si="12"/>
        <v>0</v>
      </c>
      <c r="J68" s="170">
        <f t="shared" si="13"/>
        <v>0</v>
      </c>
      <c r="K68" s="170">
        <f t="shared" si="14"/>
        <v>0</v>
      </c>
      <c r="L68" s="655">
        <f>E68*'Interest Under Collect '!J$6</f>
        <v>0</v>
      </c>
      <c r="M68" s="170">
        <f t="shared" si="19"/>
        <v>0</v>
      </c>
      <c r="N68" s="82"/>
    </row>
    <row r="69" spans="2:14" s="174" customFormat="1">
      <c r="B69" s="23" t="s">
        <v>25</v>
      </c>
      <c r="C69" s="211">
        <v>0</v>
      </c>
      <c r="D69" s="214">
        <v>0</v>
      </c>
      <c r="E69" s="212">
        <f t="shared" si="16"/>
        <v>0</v>
      </c>
      <c r="F69" s="213">
        <f t="shared" si="17"/>
        <v>0</v>
      </c>
      <c r="G69" s="170">
        <f t="shared" si="18"/>
        <v>0</v>
      </c>
      <c r="H69" s="531">
        <f>ROUND(F69*'Actual Load'!$B$7/'Zonal Load'!$N$7,2)</f>
        <v>0</v>
      </c>
      <c r="I69" s="170">
        <f t="shared" si="12"/>
        <v>0</v>
      </c>
      <c r="J69" s="170">
        <f t="shared" si="13"/>
        <v>0</v>
      </c>
      <c r="K69" s="170">
        <f t="shared" si="14"/>
        <v>0</v>
      </c>
      <c r="L69" s="655">
        <f>E69*'Interest Under Collect '!J$6</f>
        <v>0</v>
      </c>
      <c r="M69" s="170">
        <f t="shared" si="19"/>
        <v>0</v>
      </c>
      <c r="N69" s="82"/>
    </row>
    <row r="70" spans="2:14" s="174" customFormat="1">
      <c r="B70" s="23" t="s">
        <v>26</v>
      </c>
      <c r="C70" s="211">
        <v>0</v>
      </c>
      <c r="D70" s="214">
        <v>0</v>
      </c>
      <c r="E70" s="212">
        <f t="shared" si="16"/>
        <v>0</v>
      </c>
      <c r="F70" s="213">
        <f t="shared" si="17"/>
        <v>0</v>
      </c>
      <c r="G70" s="170">
        <f t="shared" si="18"/>
        <v>0</v>
      </c>
      <c r="H70" s="531">
        <f>ROUND(F70*'Actual Load'!$B$12/'Zonal Load'!$N$12,2)</f>
        <v>0</v>
      </c>
      <c r="I70" s="170">
        <f t="shared" si="12"/>
        <v>0</v>
      </c>
      <c r="J70" s="170">
        <f t="shared" si="13"/>
        <v>0</v>
      </c>
      <c r="K70" s="170">
        <f t="shared" si="14"/>
        <v>0</v>
      </c>
      <c r="L70" s="655">
        <f>E70*'Interest Under Collect '!J$6</f>
        <v>0</v>
      </c>
      <c r="M70" s="170">
        <f t="shared" si="19"/>
        <v>0</v>
      </c>
      <c r="N70" s="82"/>
    </row>
    <row r="71" spans="2:14" s="174" customFormat="1">
      <c r="B71" s="23" t="s">
        <v>27</v>
      </c>
      <c r="C71" s="211">
        <v>0</v>
      </c>
      <c r="D71" s="214">
        <v>0</v>
      </c>
      <c r="E71" s="212">
        <f t="shared" si="16"/>
        <v>0</v>
      </c>
      <c r="F71" s="213">
        <f t="shared" si="17"/>
        <v>0</v>
      </c>
      <c r="G71" s="170">
        <f t="shared" si="18"/>
        <v>0</v>
      </c>
      <c r="H71" s="531">
        <f>ROUND(F71*'Actual Load'!$B$24/'Zonal Load'!$N$24,2)</f>
        <v>0</v>
      </c>
      <c r="I71" s="170">
        <f t="shared" si="12"/>
        <v>0</v>
      </c>
      <c r="J71" s="170">
        <f t="shared" si="13"/>
        <v>0</v>
      </c>
      <c r="K71" s="170">
        <f t="shared" si="14"/>
        <v>0</v>
      </c>
      <c r="L71" s="655">
        <f>E71*'Interest Under Collect '!J$6</f>
        <v>0</v>
      </c>
      <c r="M71" s="170">
        <f t="shared" si="19"/>
        <v>0</v>
      </c>
      <c r="N71" s="82"/>
    </row>
    <row r="72" spans="2:14" s="174" customFormat="1">
      <c r="B72" s="23" t="s">
        <v>28</v>
      </c>
      <c r="C72" s="211">
        <v>0</v>
      </c>
      <c r="D72" s="214">
        <v>0</v>
      </c>
      <c r="E72" s="212">
        <f t="shared" si="16"/>
        <v>0</v>
      </c>
      <c r="F72" s="213">
        <f t="shared" si="17"/>
        <v>0</v>
      </c>
      <c r="G72" s="170">
        <f t="shared" si="18"/>
        <v>0</v>
      </c>
      <c r="H72" s="531">
        <f>ROUND(F72*'Actual Load'!$B$5/'Zonal Load'!$N$5,2)</f>
        <v>0</v>
      </c>
      <c r="I72" s="170">
        <f t="shared" si="12"/>
        <v>0</v>
      </c>
      <c r="J72" s="170">
        <f t="shared" si="13"/>
        <v>0</v>
      </c>
      <c r="K72" s="170">
        <f t="shared" si="14"/>
        <v>0</v>
      </c>
      <c r="L72" s="655">
        <f>E72*'Interest Under Collect '!J$6</f>
        <v>0</v>
      </c>
      <c r="M72" s="170">
        <f t="shared" si="19"/>
        <v>0</v>
      </c>
      <c r="N72" s="82"/>
    </row>
    <row r="73" spans="2:14" s="174" customFormat="1">
      <c r="B73" s="23" t="s">
        <v>29</v>
      </c>
      <c r="C73" s="211">
        <v>0</v>
      </c>
      <c r="D73" s="214">
        <v>1</v>
      </c>
      <c r="E73" s="212">
        <f t="shared" si="16"/>
        <v>1</v>
      </c>
      <c r="F73" s="213">
        <f t="shared" si="17"/>
        <v>932017</v>
      </c>
      <c r="G73" s="170">
        <f t="shared" si="18"/>
        <v>21673</v>
      </c>
      <c r="H73" s="531">
        <f>ROUND(F73*'Actual Load'!$B$21/'Zonal Load'!$N$21,2)</f>
        <v>893129.82</v>
      </c>
      <c r="I73" s="170">
        <f t="shared" si="12"/>
        <v>902711.49</v>
      </c>
      <c r="J73" s="170">
        <f t="shared" si="13"/>
        <v>-29305.510000000009</v>
      </c>
      <c r="K73" s="170">
        <f t="shared" si="14"/>
        <v>-7632.5100000000093</v>
      </c>
      <c r="L73" s="655">
        <f>E73*'Interest Under Collect '!J$6</f>
        <v>-816.5</v>
      </c>
      <c r="M73" s="170">
        <f t="shared" si="19"/>
        <v>-8449.0100000000093</v>
      </c>
      <c r="N73" s="82"/>
    </row>
    <row r="74" spans="2:14" s="174" customFormat="1">
      <c r="B74" s="23" t="s">
        <v>30</v>
      </c>
      <c r="C74" s="211">
        <v>0</v>
      </c>
      <c r="D74" s="214">
        <v>0</v>
      </c>
      <c r="E74" s="212">
        <f t="shared" si="16"/>
        <v>0</v>
      </c>
      <c r="F74" s="213">
        <f t="shared" si="17"/>
        <v>0</v>
      </c>
      <c r="G74" s="170">
        <f t="shared" si="18"/>
        <v>0</v>
      </c>
      <c r="H74" s="531">
        <f>ROUND(F74*'Actual Load'!$B$19/'Zonal Load'!$N$19,2)</f>
        <v>0</v>
      </c>
      <c r="I74" s="170">
        <f t="shared" si="12"/>
        <v>0</v>
      </c>
      <c r="J74" s="170">
        <f t="shared" si="13"/>
        <v>0</v>
      </c>
      <c r="K74" s="170">
        <f t="shared" si="14"/>
        <v>0</v>
      </c>
      <c r="L74" s="655">
        <f>E74*'Interest Under Collect '!J$6</f>
        <v>0</v>
      </c>
      <c r="M74" s="170">
        <f t="shared" si="19"/>
        <v>0</v>
      </c>
      <c r="N74" s="82"/>
    </row>
    <row r="75" spans="2:14" s="174" customFormat="1">
      <c r="B75" s="23" t="s">
        <v>31</v>
      </c>
      <c r="C75" s="211">
        <v>0</v>
      </c>
      <c r="D75" s="214">
        <v>0</v>
      </c>
      <c r="E75" s="212">
        <f t="shared" si="16"/>
        <v>0</v>
      </c>
      <c r="F75" s="213">
        <f t="shared" si="17"/>
        <v>0</v>
      </c>
      <c r="G75" s="170">
        <f t="shared" si="18"/>
        <v>0</v>
      </c>
      <c r="H75" s="531">
        <f>ROUND(F75*'Actual Load'!$B$25/'Zonal Load'!$N$25,2)</f>
        <v>0</v>
      </c>
      <c r="I75" s="170">
        <f t="shared" si="12"/>
        <v>0</v>
      </c>
      <c r="J75" s="170">
        <f t="shared" si="13"/>
        <v>0</v>
      </c>
      <c r="K75" s="170">
        <f t="shared" si="14"/>
        <v>0</v>
      </c>
      <c r="L75" s="655">
        <f>E75*'Interest Under Collect '!J$6</f>
        <v>0</v>
      </c>
      <c r="M75" s="170">
        <f t="shared" si="19"/>
        <v>0</v>
      </c>
      <c r="N75" s="82"/>
    </row>
    <row r="76" spans="2:14" s="174" customFormat="1">
      <c r="B76" s="23" t="s">
        <v>32</v>
      </c>
      <c r="C76" s="211">
        <v>0</v>
      </c>
      <c r="D76" s="214">
        <v>0</v>
      </c>
      <c r="E76" s="212">
        <f t="shared" si="16"/>
        <v>0</v>
      </c>
      <c r="F76" s="213">
        <f t="shared" si="17"/>
        <v>0</v>
      </c>
      <c r="G76" s="170">
        <f t="shared" si="18"/>
        <v>0</v>
      </c>
      <c r="H76" s="531">
        <f>ROUND(F76*'Actual Load'!$B$13/'Zonal Load'!$N$13,2)</f>
        <v>0</v>
      </c>
      <c r="I76" s="170">
        <f t="shared" si="12"/>
        <v>0</v>
      </c>
      <c r="J76" s="170">
        <f t="shared" si="13"/>
        <v>0</v>
      </c>
      <c r="K76" s="170">
        <f t="shared" si="14"/>
        <v>0</v>
      </c>
      <c r="L76" s="655">
        <f>E76*'Interest Under Collect '!J$6</f>
        <v>0</v>
      </c>
      <c r="M76" s="170">
        <f t="shared" si="19"/>
        <v>0</v>
      </c>
      <c r="N76" s="82"/>
    </row>
    <row r="77" spans="2:14" s="174" customFormat="1">
      <c r="B77" s="23" t="s">
        <v>33</v>
      </c>
      <c r="C77" s="211">
        <v>0</v>
      </c>
      <c r="D77" s="214">
        <v>0</v>
      </c>
      <c r="E77" s="212">
        <f t="shared" si="16"/>
        <v>0</v>
      </c>
      <c r="F77" s="213">
        <f t="shared" si="17"/>
        <v>0</v>
      </c>
      <c r="G77" s="170">
        <f t="shared" si="18"/>
        <v>0</v>
      </c>
      <c r="H77" s="531">
        <f>ROUND(F77*'Actual Load'!$B$23/'Zonal Load'!$N$23,2)</f>
        <v>0</v>
      </c>
      <c r="I77" s="170">
        <f t="shared" si="12"/>
        <v>0</v>
      </c>
      <c r="J77" s="170">
        <f t="shared" si="13"/>
        <v>0</v>
      </c>
      <c r="K77" s="170">
        <f t="shared" si="14"/>
        <v>0</v>
      </c>
      <c r="L77" s="655">
        <f>E77*'Interest Under Collect '!J$6</f>
        <v>0</v>
      </c>
      <c r="M77" s="170">
        <f t="shared" si="19"/>
        <v>0</v>
      </c>
      <c r="N77" s="82"/>
    </row>
    <row r="78" spans="2:14" s="174" customFormat="1">
      <c r="B78" s="24" t="s">
        <v>34</v>
      </c>
      <c r="C78" s="211">
        <v>0</v>
      </c>
      <c r="D78" s="214">
        <v>0</v>
      </c>
      <c r="E78" s="212">
        <f t="shared" si="16"/>
        <v>0</v>
      </c>
      <c r="F78" s="213">
        <f t="shared" si="17"/>
        <v>0</v>
      </c>
      <c r="G78" s="170">
        <f t="shared" si="18"/>
        <v>0</v>
      </c>
      <c r="H78" s="531">
        <f>ROUND(F78*'Actual Load'!$B$20/'Zonal Load'!$N$20,2)</f>
        <v>0</v>
      </c>
      <c r="I78" s="170">
        <f t="shared" si="12"/>
        <v>0</v>
      </c>
      <c r="J78" s="170">
        <f t="shared" si="13"/>
        <v>0</v>
      </c>
      <c r="K78" s="170">
        <f t="shared" si="14"/>
        <v>0</v>
      </c>
      <c r="L78" s="655">
        <f>E78*'Interest Under Collect '!J$6</f>
        <v>0</v>
      </c>
      <c r="M78" s="170">
        <f t="shared" si="19"/>
        <v>0</v>
      </c>
      <c r="N78" s="82"/>
    </row>
    <row r="79" spans="2:14">
      <c r="B79" s="25"/>
      <c r="C79" s="26">
        <f>SUM(C57:C78)</f>
        <v>0</v>
      </c>
      <c r="D79" s="27">
        <f>SUM(D57:D78)</f>
        <v>1</v>
      </c>
      <c r="E79" s="95">
        <f>SUM(E57:E78)</f>
        <v>1</v>
      </c>
      <c r="F79" s="90">
        <f>SUM(F57:F78)</f>
        <v>932017</v>
      </c>
      <c r="G79" s="76">
        <f t="shared" ref="G79:M79" si="20">SUM(G57:G78)</f>
        <v>21673</v>
      </c>
      <c r="H79" s="131">
        <f t="shared" si="20"/>
        <v>893129.82</v>
      </c>
      <c r="I79" s="77">
        <f t="shared" si="20"/>
        <v>902711.49</v>
      </c>
      <c r="J79" s="104">
        <f t="shared" si="20"/>
        <v>-29305.510000000009</v>
      </c>
      <c r="K79" s="485">
        <f t="shared" si="20"/>
        <v>-7632.5100000000093</v>
      </c>
      <c r="L79" s="656">
        <f t="shared" si="20"/>
        <v>-816.5</v>
      </c>
      <c r="M79" s="77">
        <f t="shared" si="20"/>
        <v>-8449.0100000000093</v>
      </c>
    </row>
    <row r="80" spans="2:14">
      <c r="F80" s="3" t="s">
        <v>623</v>
      </c>
      <c r="G80" s="21"/>
      <c r="I80" s="569" t="s">
        <v>621</v>
      </c>
      <c r="J80" s="570" t="s">
        <v>622</v>
      </c>
    </row>
    <row r="81" spans="2:14">
      <c r="E81" s="479" t="s">
        <v>610</v>
      </c>
      <c r="F81" s="168">
        <f>ROUND((I81*M$884)+(J81*M$888),0)</f>
        <v>932017</v>
      </c>
      <c r="H81" s="132"/>
      <c r="I81" s="571">
        <v>946356.29212476197</v>
      </c>
      <c r="J81" s="168">
        <v>884038.97410796024</v>
      </c>
      <c r="K81" s="170"/>
      <c r="L81" s="174"/>
    </row>
    <row r="82" spans="2:14">
      <c r="E82" s="480" t="s">
        <v>611</v>
      </c>
      <c r="F82" s="169">
        <f>ROUND((I82*M$884)+(J82*M$888),0)</f>
        <v>910344</v>
      </c>
      <c r="G82" s="528">
        <f>F81-F82</f>
        <v>21673</v>
      </c>
      <c r="H82" s="529"/>
      <c r="I82" s="572">
        <f>'Att GG at 12.38 '!N73</f>
        <v>924366.40998013585</v>
      </c>
      <c r="J82" s="169">
        <f>'Att GG at 10.82'!N73</f>
        <v>863424.93300830037</v>
      </c>
      <c r="L82" s="174"/>
    </row>
    <row r="83" spans="2:14">
      <c r="E83" s="91" t="s">
        <v>153</v>
      </c>
      <c r="F83" s="175">
        <f>I79</f>
        <v>902711.49</v>
      </c>
      <c r="G83" s="528">
        <f>F83-F81</f>
        <v>-29305.510000000009</v>
      </c>
      <c r="H83" s="530"/>
      <c r="I83" s="21"/>
      <c r="J83" s="21"/>
      <c r="K83" s="86"/>
      <c r="L83" s="644"/>
      <c r="M83" s="86"/>
    </row>
    <row r="84" spans="2:14">
      <c r="G84" s="528">
        <f>G82+G83</f>
        <v>-7632.5100000000093</v>
      </c>
      <c r="H84" s="529">
        <f>F83-F82</f>
        <v>-7632.5100000000093</v>
      </c>
      <c r="K84" s="86"/>
      <c r="L84" s="86"/>
      <c r="M84" s="86"/>
    </row>
    <row r="85" spans="2:14">
      <c r="B85" s="79"/>
      <c r="C85" s="79"/>
      <c r="D85" s="79"/>
      <c r="E85" s="79"/>
      <c r="F85" s="79"/>
      <c r="G85" s="79"/>
      <c r="H85" s="79"/>
      <c r="I85" s="79"/>
      <c r="J85" s="105"/>
      <c r="K85" s="79"/>
      <c r="L85" s="79"/>
      <c r="M85" s="79"/>
    </row>
    <row r="87" spans="2:14" ht="15.75" customHeight="1">
      <c r="B87" s="541" t="s">
        <v>0</v>
      </c>
      <c r="C87" s="692" t="s">
        <v>677</v>
      </c>
      <c r="D87" s="693"/>
      <c r="E87" s="693"/>
      <c r="F87" s="693"/>
      <c r="G87" s="693"/>
      <c r="H87" s="694"/>
      <c r="I87" s="1"/>
    </row>
    <row r="88" spans="2:14" ht="15.75" customHeight="1">
      <c r="B88" s="69" t="s">
        <v>1</v>
      </c>
      <c r="C88" s="666" t="s">
        <v>35</v>
      </c>
      <c r="D88" s="687"/>
      <c r="E88" s="687"/>
      <c r="F88" s="687"/>
      <c r="G88" s="687"/>
      <c r="H88" s="688"/>
      <c r="I88" s="1"/>
    </row>
    <row r="89" spans="2:14" ht="15.75" customHeight="1">
      <c r="B89" s="69" t="s">
        <v>3</v>
      </c>
      <c r="C89" s="666" t="s">
        <v>36</v>
      </c>
      <c r="D89" s="687"/>
      <c r="E89" s="687"/>
      <c r="F89" s="687"/>
      <c r="G89" s="687"/>
      <c r="H89" s="688"/>
      <c r="I89" s="1"/>
    </row>
    <row r="90" spans="2:14" ht="15.75" customHeight="1">
      <c r="B90" s="70" t="s">
        <v>5</v>
      </c>
      <c r="C90" s="698" t="s">
        <v>6</v>
      </c>
      <c r="D90" s="690"/>
      <c r="E90" s="690"/>
      <c r="F90" s="690"/>
      <c r="G90" s="690"/>
      <c r="H90" s="691"/>
      <c r="I90" s="1"/>
    </row>
    <row r="91" spans="2:14">
      <c r="B91" s="74"/>
      <c r="C91" s="74"/>
      <c r="D91" s="74"/>
      <c r="E91" s="74"/>
      <c r="F91" s="74"/>
      <c r="J91" s="99" t="s">
        <v>155</v>
      </c>
      <c r="K91" s="3" t="s">
        <v>40</v>
      </c>
      <c r="M91" s="3" t="s">
        <v>54</v>
      </c>
    </row>
    <row r="92" spans="2:14">
      <c r="B92" s="74"/>
      <c r="C92" s="74"/>
      <c r="D92" s="74"/>
      <c r="E92" s="74"/>
      <c r="F92" s="74"/>
      <c r="G92" s="3" t="s">
        <v>37</v>
      </c>
      <c r="H92" s="127" t="s">
        <v>38</v>
      </c>
      <c r="I92" s="92" t="s">
        <v>39</v>
      </c>
      <c r="J92" s="100" t="s">
        <v>156</v>
      </c>
      <c r="K92" s="4" t="s">
        <v>157</v>
      </c>
      <c r="L92" s="4" t="s">
        <v>53</v>
      </c>
      <c r="M92" s="4" t="s">
        <v>158</v>
      </c>
      <c r="N92" s="191"/>
    </row>
    <row r="93" spans="2:14">
      <c r="B93" s="74"/>
      <c r="C93" s="74"/>
      <c r="D93" s="74"/>
      <c r="E93" s="74"/>
      <c r="F93" s="74"/>
      <c r="G93" s="5"/>
      <c r="H93" s="662" t="s">
        <v>41</v>
      </c>
      <c r="I93" s="663"/>
      <c r="J93" s="664"/>
      <c r="K93" s="6" t="s">
        <v>42</v>
      </c>
      <c r="L93" s="5"/>
      <c r="M93" s="6" t="s">
        <v>43</v>
      </c>
      <c r="N93" s="191"/>
    </row>
    <row r="94" spans="2:14">
      <c r="B94" s="75"/>
      <c r="C94" s="7">
        <v>0</v>
      </c>
      <c r="D94" s="7">
        <v>1</v>
      </c>
      <c r="E94" s="7"/>
      <c r="F94" s="87" t="s">
        <v>154</v>
      </c>
      <c r="G94" s="8" t="s">
        <v>44</v>
      </c>
      <c r="H94" s="128"/>
      <c r="I94" s="5"/>
      <c r="J94" s="101" t="s">
        <v>45</v>
      </c>
      <c r="K94" s="8" t="s">
        <v>46</v>
      </c>
      <c r="L94" s="9"/>
      <c r="M94" s="8" t="s">
        <v>47</v>
      </c>
    </row>
    <row r="95" spans="2:14" ht="15.75" customHeight="1">
      <c r="B95" s="10"/>
      <c r="C95" s="68" t="s">
        <v>8</v>
      </c>
      <c r="D95" s="68" t="s">
        <v>9</v>
      </c>
      <c r="E95" s="68" t="s">
        <v>10</v>
      </c>
      <c r="F95" s="88" t="s">
        <v>7</v>
      </c>
      <c r="G95" s="11" t="s">
        <v>48</v>
      </c>
      <c r="H95" s="129" t="s">
        <v>49</v>
      </c>
      <c r="I95" s="12" t="s">
        <v>152</v>
      </c>
      <c r="J95" s="102" t="s">
        <v>48</v>
      </c>
      <c r="K95" s="12" t="s">
        <v>48</v>
      </c>
      <c r="L95" s="12" t="s">
        <v>50</v>
      </c>
      <c r="M95" s="12" t="s">
        <v>51</v>
      </c>
    </row>
    <row r="96" spans="2:14" ht="31.5">
      <c r="B96" s="13" t="s">
        <v>12</v>
      </c>
      <c r="C96" s="14" t="s">
        <v>13</v>
      </c>
      <c r="D96" s="14" t="s">
        <v>13</v>
      </c>
      <c r="E96" s="15" t="s">
        <v>13</v>
      </c>
      <c r="F96" s="89" t="s">
        <v>14</v>
      </c>
      <c r="G96" s="16" t="s">
        <v>52</v>
      </c>
      <c r="H96" s="130"/>
      <c r="I96" s="17"/>
      <c r="J96" s="103" t="s">
        <v>52</v>
      </c>
      <c r="K96" s="17"/>
      <c r="L96" s="17"/>
      <c r="M96" s="16" t="s">
        <v>52</v>
      </c>
    </row>
    <row r="97" spans="1:14" s="174" customFormat="1">
      <c r="B97" s="18" t="s">
        <v>15</v>
      </c>
      <c r="C97" s="211">
        <v>0</v>
      </c>
      <c r="D97" s="214">
        <v>0</v>
      </c>
      <c r="E97" s="212">
        <f t="shared" ref="E97:E118" si="21">C97+D97</f>
        <v>0</v>
      </c>
      <c r="F97" s="215">
        <f>ROUND(+E97*F$121,2)</f>
        <v>0</v>
      </c>
      <c r="G97" s="170">
        <f t="shared" ref="G97:G118" si="22">(F$121-F$122)*E97</f>
        <v>0</v>
      </c>
      <c r="H97" s="531">
        <f>ROUND(F97*'Actual Load'!$B$8/'Zonal Load'!$N$8,2)</f>
        <v>0</v>
      </c>
      <c r="I97" s="170">
        <f t="shared" ref="I97:I118" si="23">ROUND((H97*$H$912)/$H$910,2)</f>
        <v>0</v>
      </c>
      <c r="J97" s="170">
        <f t="shared" ref="J97:J118" si="24">I97-F97</f>
        <v>0</v>
      </c>
      <c r="K97" s="170">
        <f t="shared" ref="K97:K118" si="25">+G97+J97</f>
        <v>0</v>
      </c>
      <c r="L97" s="655">
        <f>E97*'Interest Under Collect '!J$7</f>
        <v>0</v>
      </c>
      <c r="M97" s="170">
        <f t="shared" ref="M97:M104" si="26">+K97+L97</f>
        <v>0</v>
      </c>
      <c r="N97" s="82"/>
    </row>
    <row r="98" spans="1:14" s="174" customFormat="1">
      <c r="B98" s="23" t="s">
        <v>16</v>
      </c>
      <c r="C98" s="211">
        <v>0</v>
      </c>
      <c r="D98" s="214">
        <v>0</v>
      </c>
      <c r="E98" s="212">
        <f t="shared" si="21"/>
        <v>0</v>
      </c>
      <c r="F98" s="213">
        <f>ROUND(+E98*F$121,2)</f>
        <v>0</v>
      </c>
      <c r="G98" s="170">
        <f t="shared" si="22"/>
        <v>0</v>
      </c>
      <c r="H98" s="531">
        <f>ROUND(F98*'Actual Load'!$B$14/'Zonal Load'!$N$14,2)</f>
        <v>0</v>
      </c>
      <c r="I98" s="170">
        <f t="shared" si="23"/>
        <v>0</v>
      </c>
      <c r="J98" s="170">
        <f t="shared" si="24"/>
        <v>0</v>
      </c>
      <c r="K98" s="170">
        <f t="shared" si="25"/>
        <v>0</v>
      </c>
      <c r="L98" s="655">
        <f>E98*'Interest Under Collect '!J$7</f>
        <v>0</v>
      </c>
      <c r="M98" s="170">
        <f t="shared" si="26"/>
        <v>0</v>
      </c>
      <c r="N98" s="82"/>
    </row>
    <row r="99" spans="1:14" s="174" customFormat="1">
      <c r="B99" s="23" t="s">
        <v>190</v>
      </c>
      <c r="C99" s="211">
        <f>0%*0.421</f>
        <v>0</v>
      </c>
      <c r="D99" s="214">
        <f>0%*0.421</f>
        <v>0</v>
      </c>
      <c r="E99" s="212">
        <f t="shared" si="21"/>
        <v>0</v>
      </c>
      <c r="F99" s="213">
        <f t="shared" ref="F99:F118" si="27">ROUND(+E99*F$121,2)</f>
        <v>0</v>
      </c>
      <c r="G99" s="170">
        <f t="shared" si="22"/>
        <v>0</v>
      </c>
      <c r="H99" s="531">
        <f>ROUND(F99*'Actual Load'!$B$9/'Zonal Load'!$N$9,2)</f>
        <v>0</v>
      </c>
      <c r="I99" s="170">
        <f t="shared" si="23"/>
        <v>0</v>
      </c>
      <c r="J99" s="170">
        <f t="shared" si="24"/>
        <v>0</v>
      </c>
      <c r="K99" s="170">
        <f t="shared" si="25"/>
        <v>0</v>
      </c>
      <c r="L99" s="655">
        <f>E99*'Interest Under Collect '!J$7</f>
        <v>0</v>
      </c>
      <c r="M99" s="170">
        <f t="shared" si="26"/>
        <v>0</v>
      </c>
      <c r="N99" s="82"/>
    </row>
    <row r="100" spans="1:14" s="174" customFormat="1">
      <c r="B100" s="125" t="s">
        <v>249</v>
      </c>
      <c r="C100" s="211">
        <f>0%*0.579</f>
        <v>0</v>
      </c>
      <c r="D100" s="214">
        <f>0%*0.579</f>
        <v>0</v>
      </c>
      <c r="E100" s="212">
        <f>C100+D100</f>
        <v>0</v>
      </c>
      <c r="F100" s="213">
        <f t="shared" si="27"/>
        <v>0</v>
      </c>
      <c r="G100" s="170">
        <f>(F$121-F$122)*E100</f>
        <v>0</v>
      </c>
      <c r="H100" s="531">
        <f>ROUND(F100*'Actual Load'!$B$10/'Zonal Load'!$N$10,2)</f>
        <v>0</v>
      </c>
      <c r="I100" s="170">
        <f t="shared" si="23"/>
        <v>0</v>
      </c>
      <c r="J100" s="170">
        <f>I100-F100</f>
        <v>0</v>
      </c>
      <c r="K100" s="170">
        <f>+G100+J100</f>
        <v>0</v>
      </c>
      <c r="L100" s="655">
        <f>E100*'Interest Under Collect '!J$7</f>
        <v>0</v>
      </c>
      <c r="M100" s="170">
        <f>+K100+L100</f>
        <v>0</v>
      </c>
      <c r="N100" s="82"/>
    </row>
    <row r="101" spans="1:14" s="174" customFormat="1">
      <c r="B101" s="23" t="s">
        <v>17</v>
      </c>
      <c r="C101" s="211">
        <v>0</v>
      </c>
      <c r="D101" s="214">
        <v>0</v>
      </c>
      <c r="E101" s="212">
        <f t="shared" si="21"/>
        <v>0</v>
      </c>
      <c r="F101" s="213">
        <f t="shared" si="27"/>
        <v>0</v>
      </c>
      <c r="G101" s="170">
        <f t="shared" si="22"/>
        <v>0</v>
      </c>
      <c r="H101" s="531">
        <f>ROUND(F101*'Actual Load'!$B$26/'Zonal Load'!$N$26,2)</f>
        <v>0</v>
      </c>
      <c r="I101" s="170">
        <f t="shared" si="23"/>
        <v>0</v>
      </c>
      <c r="J101" s="170">
        <f t="shared" si="24"/>
        <v>0</v>
      </c>
      <c r="K101" s="170">
        <f t="shared" si="25"/>
        <v>0</v>
      </c>
      <c r="L101" s="655">
        <f>E101*'Interest Under Collect '!J$7</f>
        <v>0</v>
      </c>
      <c r="M101" s="170">
        <f t="shared" si="26"/>
        <v>0</v>
      </c>
      <c r="N101" s="82"/>
    </row>
    <row r="102" spans="1:14" s="174" customFormat="1">
      <c r="B102" s="23" t="s">
        <v>18</v>
      </c>
      <c r="C102" s="211">
        <v>0</v>
      </c>
      <c r="D102" s="214">
        <v>0</v>
      </c>
      <c r="E102" s="212">
        <f t="shared" si="21"/>
        <v>0</v>
      </c>
      <c r="F102" s="213">
        <f t="shared" si="27"/>
        <v>0</v>
      </c>
      <c r="G102" s="170">
        <f t="shared" si="22"/>
        <v>0</v>
      </c>
      <c r="H102" s="531">
        <f>ROUND(F102*'Actual Load'!$B$16/'Zonal Load'!$N$16,2)</f>
        <v>0</v>
      </c>
      <c r="I102" s="170">
        <f t="shared" si="23"/>
        <v>0</v>
      </c>
      <c r="J102" s="170">
        <f t="shared" si="24"/>
        <v>0</v>
      </c>
      <c r="K102" s="170">
        <f t="shared" si="25"/>
        <v>0</v>
      </c>
      <c r="L102" s="655">
        <f>E102*'Interest Under Collect '!J$7</f>
        <v>0</v>
      </c>
      <c r="M102" s="170">
        <f t="shared" si="26"/>
        <v>0</v>
      </c>
      <c r="N102" s="82"/>
    </row>
    <row r="103" spans="1:14" s="174" customFormat="1">
      <c r="B103" s="23" t="s">
        <v>19</v>
      </c>
      <c r="C103" s="211">
        <v>0</v>
      </c>
      <c r="D103" s="214">
        <v>0</v>
      </c>
      <c r="E103" s="212">
        <f t="shared" si="21"/>
        <v>0</v>
      </c>
      <c r="F103" s="213">
        <f t="shared" si="27"/>
        <v>0</v>
      </c>
      <c r="G103" s="170">
        <f t="shared" si="22"/>
        <v>0</v>
      </c>
      <c r="H103" s="531">
        <f>ROUND(F103*'Actual Load'!$B$22/'Zonal Load'!$N$22,2)</f>
        <v>0</v>
      </c>
      <c r="I103" s="170">
        <f t="shared" si="23"/>
        <v>0</v>
      </c>
      <c r="J103" s="170">
        <f t="shared" si="24"/>
        <v>0</v>
      </c>
      <c r="K103" s="170">
        <f t="shared" si="25"/>
        <v>0</v>
      </c>
      <c r="L103" s="655">
        <f>E103*'Interest Under Collect '!J$7</f>
        <v>0</v>
      </c>
      <c r="M103" s="170">
        <f t="shared" si="26"/>
        <v>0</v>
      </c>
      <c r="N103" s="82"/>
    </row>
    <row r="104" spans="1:14" s="174" customFormat="1">
      <c r="B104" s="23" t="s">
        <v>20</v>
      </c>
      <c r="C104" s="211">
        <v>0</v>
      </c>
      <c r="D104" s="214">
        <v>0</v>
      </c>
      <c r="E104" s="212">
        <f t="shared" si="21"/>
        <v>0</v>
      </c>
      <c r="F104" s="213">
        <f t="shared" si="27"/>
        <v>0</v>
      </c>
      <c r="G104" s="170">
        <f t="shared" si="22"/>
        <v>0</v>
      </c>
      <c r="H104" s="531">
        <f>ROUND(F104*'Actual Load'!$B$17/'Zonal Load'!$N$17,2)</f>
        <v>0</v>
      </c>
      <c r="I104" s="170">
        <f t="shared" si="23"/>
        <v>0</v>
      </c>
      <c r="J104" s="170">
        <f t="shared" si="24"/>
        <v>0</v>
      </c>
      <c r="K104" s="170">
        <f t="shared" si="25"/>
        <v>0</v>
      </c>
      <c r="L104" s="655">
        <f>E104*'Interest Under Collect '!J$7</f>
        <v>0</v>
      </c>
      <c r="M104" s="170">
        <f t="shared" si="26"/>
        <v>0</v>
      </c>
      <c r="N104" s="82"/>
    </row>
    <row r="105" spans="1:14" s="174" customFormat="1">
      <c r="B105" s="23" t="s">
        <v>21</v>
      </c>
      <c r="C105" s="211">
        <v>0</v>
      </c>
      <c r="D105" s="214">
        <v>0</v>
      </c>
      <c r="E105" s="212">
        <f t="shared" si="21"/>
        <v>0</v>
      </c>
      <c r="F105" s="213">
        <f t="shared" si="27"/>
        <v>0</v>
      </c>
      <c r="G105" s="170">
        <f t="shared" si="22"/>
        <v>0</v>
      </c>
      <c r="H105" s="531">
        <f>ROUND(F105*'Actual Load'!$B$15/'Zonal Load'!$N$15,2)</f>
        <v>0</v>
      </c>
      <c r="I105" s="170">
        <f t="shared" si="23"/>
        <v>0</v>
      </c>
      <c r="J105" s="170">
        <f t="shared" si="24"/>
        <v>0</v>
      </c>
      <c r="K105" s="170">
        <f t="shared" si="25"/>
        <v>0</v>
      </c>
      <c r="L105" s="655">
        <f>E105*'Interest Under Collect '!J$7</f>
        <v>0</v>
      </c>
      <c r="M105" s="170">
        <f>+K105+L105</f>
        <v>0</v>
      </c>
      <c r="N105" s="82"/>
    </row>
    <row r="106" spans="1:14" s="174" customFormat="1">
      <c r="B106" s="23" t="s">
        <v>22</v>
      </c>
      <c r="C106" s="211">
        <v>0</v>
      </c>
      <c r="D106" s="214">
        <v>0</v>
      </c>
      <c r="E106" s="212">
        <f t="shared" si="21"/>
        <v>0</v>
      </c>
      <c r="F106" s="213">
        <f t="shared" si="27"/>
        <v>0</v>
      </c>
      <c r="G106" s="170">
        <f t="shared" si="22"/>
        <v>0</v>
      </c>
      <c r="H106" s="531">
        <f>ROUND(F106*'Actual Load'!$B$4/'Zonal Load'!$N$4,2)</f>
        <v>0</v>
      </c>
      <c r="I106" s="170">
        <f t="shared" si="23"/>
        <v>0</v>
      </c>
      <c r="J106" s="170">
        <f t="shared" si="24"/>
        <v>0</v>
      </c>
      <c r="K106" s="170">
        <f t="shared" si="25"/>
        <v>0</v>
      </c>
      <c r="L106" s="655">
        <f>E106*'Interest Under Collect '!J$7</f>
        <v>0</v>
      </c>
      <c r="M106" s="170">
        <f t="shared" ref="M106:M118" si="28">+K106+L106</f>
        <v>0</v>
      </c>
      <c r="N106" s="82"/>
    </row>
    <row r="107" spans="1:14" s="174" customFormat="1">
      <c r="B107" s="23" t="s">
        <v>23</v>
      </c>
      <c r="C107" s="211">
        <v>0</v>
      </c>
      <c r="D107" s="214">
        <v>0</v>
      </c>
      <c r="E107" s="212">
        <f t="shared" si="21"/>
        <v>0</v>
      </c>
      <c r="F107" s="213">
        <f t="shared" si="27"/>
        <v>0</v>
      </c>
      <c r="G107" s="170">
        <f t="shared" si="22"/>
        <v>0</v>
      </c>
      <c r="H107" s="531">
        <f>ROUND(F107*'Actual Load'!$B$11/'Zonal Load'!$N$11,2)</f>
        <v>0</v>
      </c>
      <c r="I107" s="170">
        <f t="shared" si="23"/>
        <v>0</v>
      </c>
      <c r="J107" s="170">
        <f t="shared" si="24"/>
        <v>0</v>
      </c>
      <c r="K107" s="170">
        <f t="shared" si="25"/>
        <v>0</v>
      </c>
      <c r="L107" s="655">
        <f>E107*'Interest Under Collect '!J$7</f>
        <v>0</v>
      </c>
      <c r="M107" s="170">
        <f t="shared" si="28"/>
        <v>0</v>
      </c>
      <c r="N107" s="82"/>
    </row>
    <row r="108" spans="1:14" s="174" customFormat="1">
      <c r="B108" s="23" t="s">
        <v>24</v>
      </c>
      <c r="C108" s="211">
        <v>0</v>
      </c>
      <c r="D108" s="214">
        <v>0</v>
      </c>
      <c r="E108" s="212">
        <f t="shared" si="21"/>
        <v>0</v>
      </c>
      <c r="F108" s="213">
        <f t="shared" si="27"/>
        <v>0</v>
      </c>
      <c r="G108" s="170">
        <f t="shared" si="22"/>
        <v>0</v>
      </c>
      <c r="H108" s="531">
        <f>ROUND(F108*'Actual Load'!$B$6/'Zonal Load'!$N$6,2)</f>
        <v>0</v>
      </c>
      <c r="I108" s="170">
        <f t="shared" si="23"/>
        <v>0</v>
      </c>
      <c r="J108" s="170">
        <f t="shared" si="24"/>
        <v>0</v>
      </c>
      <c r="K108" s="170">
        <f t="shared" si="25"/>
        <v>0</v>
      </c>
      <c r="L108" s="655">
        <f>E108*'Interest Under Collect '!J$7</f>
        <v>0</v>
      </c>
      <c r="M108" s="170">
        <f t="shared" si="28"/>
        <v>0</v>
      </c>
      <c r="N108" s="82"/>
    </row>
    <row r="109" spans="1:14" s="174" customFormat="1">
      <c r="B109" s="23" t="s">
        <v>25</v>
      </c>
      <c r="C109" s="211">
        <v>0</v>
      </c>
      <c r="D109" s="214">
        <v>0</v>
      </c>
      <c r="E109" s="212">
        <f t="shared" si="21"/>
        <v>0</v>
      </c>
      <c r="F109" s="213">
        <f t="shared" si="27"/>
        <v>0</v>
      </c>
      <c r="G109" s="170">
        <f t="shared" si="22"/>
        <v>0</v>
      </c>
      <c r="H109" s="531">
        <f>ROUND(F109*'Actual Load'!$B$7/'Zonal Load'!$N$7,2)</f>
        <v>0</v>
      </c>
      <c r="I109" s="170">
        <f t="shared" si="23"/>
        <v>0</v>
      </c>
      <c r="J109" s="170">
        <f t="shared" si="24"/>
        <v>0</v>
      </c>
      <c r="K109" s="170">
        <f t="shared" si="25"/>
        <v>0</v>
      </c>
      <c r="L109" s="655">
        <f>E109*'Interest Under Collect '!J$7</f>
        <v>0</v>
      </c>
      <c r="M109" s="170">
        <f t="shared" si="28"/>
        <v>0</v>
      </c>
      <c r="N109" s="82"/>
    </row>
    <row r="110" spans="1:14" s="174" customFormat="1">
      <c r="B110" s="23" t="s">
        <v>26</v>
      </c>
      <c r="C110" s="211">
        <v>0</v>
      </c>
      <c r="D110" s="214">
        <v>0</v>
      </c>
      <c r="E110" s="212">
        <f t="shared" si="21"/>
        <v>0</v>
      </c>
      <c r="F110" s="213">
        <f t="shared" si="27"/>
        <v>0</v>
      </c>
      <c r="G110" s="170">
        <f t="shared" si="22"/>
        <v>0</v>
      </c>
      <c r="H110" s="531">
        <f>ROUND(F110*'Actual Load'!$B$12/'Zonal Load'!$N$12,2)</f>
        <v>0</v>
      </c>
      <c r="I110" s="170">
        <f t="shared" si="23"/>
        <v>0</v>
      </c>
      <c r="J110" s="170">
        <f t="shared" si="24"/>
        <v>0</v>
      </c>
      <c r="K110" s="170">
        <f t="shared" si="25"/>
        <v>0</v>
      </c>
      <c r="L110" s="655">
        <f>E110*'Interest Under Collect '!J$7</f>
        <v>0</v>
      </c>
      <c r="M110" s="170">
        <f t="shared" si="28"/>
        <v>0</v>
      </c>
      <c r="N110" s="82"/>
    </row>
    <row r="111" spans="1:14" s="174" customFormat="1">
      <c r="B111" s="23" t="s">
        <v>27</v>
      </c>
      <c r="C111" s="211">
        <v>0</v>
      </c>
      <c r="D111" s="214">
        <v>0</v>
      </c>
      <c r="E111" s="212">
        <f t="shared" si="21"/>
        <v>0</v>
      </c>
      <c r="F111" s="213">
        <f t="shared" si="27"/>
        <v>0</v>
      </c>
      <c r="G111" s="170">
        <f t="shared" si="22"/>
        <v>0</v>
      </c>
      <c r="H111" s="531">
        <f>ROUND(F111*'Actual Load'!$B$24/'Zonal Load'!$N$24,2)</f>
        <v>0</v>
      </c>
      <c r="I111" s="170">
        <f t="shared" si="23"/>
        <v>0</v>
      </c>
      <c r="J111" s="170">
        <f t="shared" si="24"/>
        <v>0</v>
      </c>
      <c r="K111" s="170">
        <f t="shared" si="25"/>
        <v>0</v>
      </c>
      <c r="L111" s="655">
        <f>E111*'Interest Under Collect '!J$7</f>
        <v>0</v>
      </c>
      <c r="M111" s="170">
        <f t="shared" si="28"/>
        <v>0</v>
      </c>
      <c r="N111" s="82"/>
    </row>
    <row r="112" spans="1:14" s="174" customFormat="1">
      <c r="B112" s="23" t="s">
        <v>28</v>
      </c>
      <c r="C112" s="211">
        <v>0</v>
      </c>
      <c r="D112" s="214">
        <v>0</v>
      </c>
      <c r="E112" s="212">
        <f t="shared" si="21"/>
        <v>0</v>
      </c>
      <c r="F112" s="213">
        <f t="shared" si="27"/>
        <v>0</v>
      </c>
      <c r="G112" s="170">
        <f t="shared" si="22"/>
        <v>0</v>
      </c>
      <c r="H112" s="531">
        <f>ROUND(F112*'Actual Load'!$B$5/'Zonal Load'!$N$5,2)</f>
        <v>0</v>
      </c>
      <c r="I112" s="170">
        <f t="shared" si="23"/>
        <v>0</v>
      </c>
      <c r="J112" s="170">
        <f t="shared" si="24"/>
        <v>0</v>
      </c>
      <c r="K112" s="170">
        <f t="shared" si="25"/>
        <v>0</v>
      </c>
      <c r="L112" s="655">
        <f>E112*'Interest Under Collect '!J$7</f>
        <v>0</v>
      </c>
      <c r="M112" s="170">
        <f t="shared" si="28"/>
        <v>0</v>
      </c>
      <c r="N112" s="82"/>
    </row>
    <row r="113" spans="2:14" s="174" customFormat="1">
      <c r="B113" s="23" t="s">
        <v>29</v>
      </c>
      <c r="C113" s="211">
        <v>0</v>
      </c>
      <c r="D113" s="214">
        <v>1</v>
      </c>
      <c r="E113" s="212">
        <f t="shared" si="21"/>
        <v>1</v>
      </c>
      <c r="F113" s="213">
        <f t="shared" si="27"/>
        <v>460393</v>
      </c>
      <c r="G113" s="170">
        <f t="shared" si="22"/>
        <v>10709</v>
      </c>
      <c r="H113" s="531">
        <f>ROUND(F113*'Actual Load'!$B$21/'Zonal Load'!$N$21,2)</f>
        <v>441183.71</v>
      </c>
      <c r="I113" s="170">
        <f t="shared" si="23"/>
        <v>445916.81</v>
      </c>
      <c r="J113" s="170">
        <f t="shared" si="24"/>
        <v>-14476.190000000002</v>
      </c>
      <c r="K113" s="170">
        <f t="shared" si="25"/>
        <v>-3767.1900000000023</v>
      </c>
      <c r="L113" s="655">
        <f>E113*'Interest Under Collect '!J$7</f>
        <v>-403.4</v>
      </c>
      <c r="M113" s="170">
        <f t="shared" si="28"/>
        <v>-4170.590000000002</v>
      </c>
      <c r="N113" s="82"/>
    </row>
    <row r="114" spans="2:14" s="174" customFormat="1">
      <c r="B114" s="23" t="s">
        <v>30</v>
      </c>
      <c r="C114" s="211">
        <v>0</v>
      </c>
      <c r="D114" s="214">
        <v>0</v>
      </c>
      <c r="E114" s="212">
        <f t="shared" si="21"/>
        <v>0</v>
      </c>
      <c r="F114" s="213">
        <f t="shared" si="27"/>
        <v>0</v>
      </c>
      <c r="G114" s="170">
        <f t="shared" si="22"/>
        <v>0</v>
      </c>
      <c r="H114" s="531">
        <f>ROUND(F114*'Actual Load'!$B$19/'Zonal Load'!$N$19,2)</f>
        <v>0</v>
      </c>
      <c r="I114" s="170">
        <f t="shared" si="23"/>
        <v>0</v>
      </c>
      <c r="J114" s="170">
        <f t="shared" si="24"/>
        <v>0</v>
      </c>
      <c r="K114" s="170">
        <f t="shared" si="25"/>
        <v>0</v>
      </c>
      <c r="L114" s="655">
        <f>E114*'Interest Under Collect '!J$7</f>
        <v>0</v>
      </c>
      <c r="M114" s="170">
        <f t="shared" si="28"/>
        <v>0</v>
      </c>
      <c r="N114" s="82"/>
    </row>
    <row r="115" spans="2:14" s="174" customFormat="1">
      <c r="B115" s="23" t="s">
        <v>31</v>
      </c>
      <c r="C115" s="211">
        <v>0</v>
      </c>
      <c r="D115" s="214">
        <v>0</v>
      </c>
      <c r="E115" s="212">
        <f t="shared" si="21"/>
        <v>0</v>
      </c>
      <c r="F115" s="213">
        <f t="shared" si="27"/>
        <v>0</v>
      </c>
      <c r="G115" s="170">
        <f t="shared" si="22"/>
        <v>0</v>
      </c>
      <c r="H115" s="531">
        <f>ROUND(F115*'Actual Load'!$B$25/'Zonal Load'!$N$25,2)</f>
        <v>0</v>
      </c>
      <c r="I115" s="170">
        <f t="shared" si="23"/>
        <v>0</v>
      </c>
      <c r="J115" s="170">
        <f t="shared" si="24"/>
        <v>0</v>
      </c>
      <c r="K115" s="170">
        <f t="shared" si="25"/>
        <v>0</v>
      </c>
      <c r="L115" s="655">
        <f>E115*'Interest Under Collect '!J$7</f>
        <v>0</v>
      </c>
      <c r="M115" s="170">
        <f t="shared" si="28"/>
        <v>0</v>
      </c>
      <c r="N115" s="82"/>
    </row>
    <row r="116" spans="2:14" s="174" customFormat="1">
      <c r="B116" s="23" t="s">
        <v>32</v>
      </c>
      <c r="C116" s="211">
        <v>0</v>
      </c>
      <c r="D116" s="214">
        <v>0</v>
      </c>
      <c r="E116" s="212">
        <f t="shared" si="21"/>
        <v>0</v>
      </c>
      <c r="F116" s="213">
        <f t="shared" si="27"/>
        <v>0</v>
      </c>
      <c r="G116" s="170">
        <f t="shared" si="22"/>
        <v>0</v>
      </c>
      <c r="H116" s="531">
        <f>ROUND(F116*'Actual Load'!$B$13/'Zonal Load'!$N$13,2)</f>
        <v>0</v>
      </c>
      <c r="I116" s="170">
        <f t="shared" si="23"/>
        <v>0</v>
      </c>
      <c r="J116" s="170">
        <f t="shared" si="24"/>
        <v>0</v>
      </c>
      <c r="K116" s="170">
        <f t="shared" si="25"/>
        <v>0</v>
      </c>
      <c r="L116" s="655">
        <f>E116*'Interest Under Collect '!J$7</f>
        <v>0</v>
      </c>
      <c r="M116" s="170">
        <f t="shared" si="28"/>
        <v>0</v>
      </c>
      <c r="N116" s="82"/>
    </row>
    <row r="117" spans="2:14" s="174" customFormat="1">
      <c r="B117" s="23" t="s">
        <v>33</v>
      </c>
      <c r="C117" s="211">
        <v>0</v>
      </c>
      <c r="D117" s="214">
        <v>0</v>
      </c>
      <c r="E117" s="212">
        <f t="shared" si="21"/>
        <v>0</v>
      </c>
      <c r="F117" s="213">
        <f t="shared" si="27"/>
        <v>0</v>
      </c>
      <c r="G117" s="170">
        <f t="shared" si="22"/>
        <v>0</v>
      </c>
      <c r="H117" s="531">
        <f>ROUND(F117*'Actual Load'!$B$23/'Zonal Load'!$N$23,2)</f>
        <v>0</v>
      </c>
      <c r="I117" s="170">
        <f t="shared" si="23"/>
        <v>0</v>
      </c>
      <c r="J117" s="170">
        <f t="shared" si="24"/>
        <v>0</v>
      </c>
      <c r="K117" s="170">
        <f t="shared" si="25"/>
        <v>0</v>
      </c>
      <c r="L117" s="655">
        <f>E117*'Interest Under Collect '!J$7</f>
        <v>0</v>
      </c>
      <c r="M117" s="170">
        <f t="shared" si="28"/>
        <v>0</v>
      </c>
      <c r="N117" s="82"/>
    </row>
    <row r="118" spans="2:14" s="174" customFormat="1">
      <c r="B118" s="24" t="s">
        <v>34</v>
      </c>
      <c r="C118" s="211">
        <v>0</v>
      </c>
      <c r="D118" s="214">
        <v>0</v>
      </c>
      <c r="E118" s="212">
        <f t="shared" si="21"/>
        <v>0</v>
      </c>
      <c r="F118" s="213">
        <f t="shared" si="27"/>
        <v>0</v>
      </c>
      <c r="G118" s="170">
        <f t="shared" si="22"/>
        <v>0</v>
      </c>
      <c r="H118" s="531">
        <f>ROUND(F118*'Actual Load'!$B$20/'Zonal Load'!$N$20,2)</f>
        <v>0</v>
      </c>
      <c r="I118" s="170">
        <f t="shared" si="23"/>
        <v>0</v>
      </c>
      <c r="J118" s="170">
        <f t="shared" si="24"/>
        <v>0</v>
      </c>
      <c r="K118" s="170">
        <f t="shared" si="25"/>
        <v>0</v>
      </c>
      <c r="L118" s="655">
        <f>E118*'Interest Under Collect '!J$7</f>
        <v>0</v>
      </c>
      <c r="M118" s="170">
        <f t="shared" si="28"/>
        <v>0</v>
      </c>
      <c r="N118" s="82"/>
    </row>
    <row r="119" spans="2:14">
      <c r="B119" s="25"/>
      <c r="C119" s="26">
        <f>SUM(C97:C118)</f>
        <v>0</v>
      </c>
      <c r="D119" s="27">
        <f>SUM(D97:D118)</f>
        <v>1</v>
      </c>
      <c r="E119" s="95">
        <f>SUM(E97:E118)</f>
        <v>1</v>
      </c>
      <c r="F119" s="90">
        <f>SUM(F97:F118)</f>
        <v>460393</v>
      </c>
      <c r="G119" s="76">
        <f t="shared" ref="G119:M119" si="29">SUM(G97:G118)</f>
        <v>10709</v>
      </c>
      <c r="H119" s="131">
        <f t="shared" si="29"/>
        <v>441183.71</v>
      </c>
      <c r="I119" s="77">
        <f t="shared" si="29"/>
        <v>445916.81</v>
      </c>
      <c r="J119" s="77">
        <f t="shared" si="29"/>
        <v>-14476.190000000002</v>
      </c>
      <c r="K119" s="485">
        <f t="shared" si="29"/>
        <v>-3767.1900000000023</v>
      </c>
      <c r="L119" s="656">
        <f t="shared" si="29"/>
        <v>-403.4</v>
      </c>
      <c r="M119" s="77">
        <f t="shared" si="29"/>
        <v>-4170.590000000002</v>
      </c>
    </row>
    <row r="120" spans="2:14">
      <c r="F120" s="3" t="s">
        <v>623</v>
      </c>
      <c r="G120" s="21"/>
      <c r="I120" s="569" t="s">
        <v>621</v>
      </c>
      <c r="J120" s="570" t="s">
        <v>622</v>
      </c>
    </row>
    <row r="121" spans="2:14">
      <c r="E121" s="479" t="s">
        <v>610</v>
      </c>
      <c r="F121" s="168">
        <f>ROUND((I121*M$884)+(J121*M$888),0)</f>
        <v>460393</v>
      </c>
      <c r="H121" s="132"/>
      <c r="I121" s="571">
        <v>467484.27591178566</v>
      </c>
      <c r="J121" s="571">
        <v>436667.53980351961</v>
      </c>
      <c r="K121" s="170"/>
      <c r="L121" s="174"/>
    </row>
    <row r="122" spans="2:14">
      <c r="E122" s="480" t="s">
        <v>611</v>
      </c>
      <c r="F122" s="169">
        <f>ROUND((I122*M$884)+(J122*M$888),0)</f>
        <v>449684</v>
      </c>
      <c r="G122" s="528">
        <f>F121-F122</f>
        <v>10709</v>
      </c>
      <c r="H122" s="529"/>
      <c r="I122" s="572">
        <f>'Att GG at 12.38 '!N74</f>
        <v>456618.1307831055</v>
      </c>
      <c r="J122" s="572">
        <f>'Att GG at 10.82'!N74</f>
        <v>426481.76622738619</v>
      </c>
      <c r="L122" s="174"/>
    </row>
    <row r="123" spans="2:14">
      <c r="E123" s="91" t="s">
        <v>153</v>
      </c>
      <c r="F123" s="175">
        <f>I119</f>
        <v>445916.81</v>
      </c>
      <c r="G123" s="528">
        <f>F123-F121</f>
        <v>-14476.190000000002</v>
      </c>
      <c r="H123" s="530"/>
      <c r="K123" s="86"/>
      <c r="L123" s="644"/>
      <c r="M123" s="86"/>
    </row>
    <row r="124" spans="2:14">
      <c r="G124" s="528">
        <f>G122+G123</f>
        <v>-3767.1900000000023</v>
      </c>
      <c r="H124" s="529">
        <f>F123-F122</f>
        <v>-3767.1900000000023</v>
      </c>
      <c r="K124" s="86"/>
      <c r="L124" s="86"/>
      <c r="M124" s="86"/>
    </row>
    <row r="125" spans="2:14">
      <c r="B125" s="79"/>
      <c r="C125" s="79"/>
      <c r="D125" s="79"/>
      <c r="E125" s="79"/>
      <c r="F125" s="79"/>
      <c r="G125" s="79"/>
      <c r="H125" s="79"/>
      <c r="I125" s="79"/>
      <c r="J125" s="105"/>
      <c r="K125" s="79"/>
      <c r="L125" s="79"/>
      <c r="M125" s="79"/>
    </row>
    <row r="127" spans="2:14" ht="15.75" customHeight="1">
      <c r="B127" s="541" t="s">
        <v>0</v>
      </c>
      <c r="C127" s="692" t="s">
        <v>678</v>
      </c>
      <c r="D127" s="693"/>
      <c r="E127" s="693"/>
      <c r="F127" s="693"/>
      <c r="G127" s="693"/>
      <c r="H127" s="694"/>
      <c r="I127" s="1"/>
    </row>
    <row r="128" spans="2:14" ht="15.75" customHeight="1">
      <c r="B128" s="69" t="s">
        <v>1</v>
      </c>
      <c r="C128" s="666" t="s">
        <v>113</v>
      </c>
      <c r="D128" s="687"/>
      <c r="E128" s="687"/>
      <c r="F128" s="687"/>
      <c r="G128" s="687"/>
      <c r="H128" s="688"/>
      <c r="I128" s="1"/>
    </row>
    <row r="129" spans="1:14" ht="15.75" customHeight="1">
      <c r="B129" s="69" t="s">
        <v>3</v>
      </c>
      <c r="C129" s="666" t="s">
        <v>114</v>
      </c>
      <c r="D129" s="687"/>
      <c r="E129" s="687"/>
      <c r="F129" s="687"/>
      <c r="G129" s="687"/>
      <c r="H129" s="688"/>
      <c r="I129" s="1"/>
    </row>
    <row r="130" spans="1:14" ht="15.75" customHeight="1">
      <c r="B130" s="70" t="s">
        <v>5</v>
      </c>
      <c r="C130" s="698" t="s">
        <v>6</v>
      </c>
      <c r="D130" s="690"/>
      <c r="E130" s="690"/>
      <c r="F130" s="690"/>
      <c r="G130" s="690"/>
      <c r="H130" s="691"/>
      <c r="I130" s="1"/>
    </row>
    <row r="131" spans="1:14">
      <c r="B131" s="74"/>
      <c r="C131" s="74"/>
      <c r="D131" s="74"/>
      <c r="E131" s="74"/>
      <c r="F131" s="74"/>
      <c r="J131" s="99" t="s">
        <v>155</v>
      </c>
      <c r="K131" s="3" t="s">
        <v>40</v>
      </c>
      <c r="M131" s="3" t="s">
        <v>54</v>
      </c>
    </row>
    <row r="132" spans="1:14">
      <c r="B132" s="74"/>
      <c r="C132" s="74"/>
      <c r="D132" s="74"/>
      <c r="E132" s="74"/>
      <c r="F132" s="74"/>
      <c r="G132" s="3" t="s">
        <v>37</v>
      </c>
      <c r="H132" s="127" t="s">
        <v>38</v>
      </c>
      <c r="I132" s="92" t="s">
        <v>39</v>
      </c>
      <c r="J132" s="100" t="s">
        <v>156</v>
      </c>
      <c r="K132" s="4" t="s">
        <v>157</v>
      </c>
      <c r="L132" s="4" t="s">
        <v>53</v>
      </c>
      <c r="M132" s="4" t="s">
        <v>158</v>
      </c>
      <c r="N132" s="191"/>
    </row>
    <row r="133" spans="1:14">
      <c r="B133" s="74"/>
      <c r="C133" s="74"/>
      <c r="D133" s="74"/>
      <c r="E133" s="74"/>
      <c r="F133" s="74"/>
      <c r="G133" s="5"/>
      <c r="H133" s="662" t="s">
        <v>41</v>
      </c>
      <c r="I133" s="663"/>
      <c r="J133" s="664"/>
      <c r="K133" s="6" t="s">
        <v>42</v>
      </c>
      <c r="L133" s="5"/>
      <c r="M133" s="6" t="s">
        <v>43</v>
      </c>
      <c r="N133" s="191"/>
    </row>
    <row r="134" spans="1:14">
      <c r="B134" s="75"/>
      <c r="C134" s="7">
        <v>0.2</v>
      </c>
      <c r="D134" s="7">
        <v>0.8</v>
      </c>
      <c r="E134" s="7"/>
      <c r="F134" s="87" t="s">
        <v>154</v>
      </c>
      <c r="G134" s="8" t="s">
        <v>44</v>
      </c>
      <c r="H134" s="128"/>
      <c r="I134" s="5"/>
      <c r="J134" s="101" t="s">
        <v>45</v>
      </c>
      <c r="K134" s="8" t="s">
        <v>46</v>
      </c>
      <c r="L134" s="9"/>
      <c r="M134" s="8" t="s">
        <v>47</v>
      </c>
    </row>
    <row r="135" spans="1:14">
      <c r="B135" s="10"/>
      <c r="C135" s="68" t="s">
        <v>8</v>
      </c>
      <c r="D135" s="68" t="s">
        <v>9</v>
      </c>
      <c r="E135" s="68" t="s">
        <v>10</v>
      </c>
      <c r="F135" s="88" t="s">
        <v>7</v>
      </c>
      <c r="G135" s="11" t="s">
        <v>48</v>
      </c>
      <c r="H135" s="129" t="s">
        <v>49</v>
      </c>
      <c r="I135" s="12" t="s">
        <v>152</v>
      </c>
      <c r="J135" s="102" t="s">
        <v>48</v>
      </c>
      <c r="K135" s="12" t="s">
        <v>48</v>
      </c>
      <c r="L135" s="12" t="s">
        <v>50</v>
      </c>
      <c r="M135" s="12" t="s">
        <v>51</v>
      </c>
    </row>
    <row r="136" spans="1:14" ht="31.5">
      <c r="B136" s="13" t="s">
        <v>12</v>
      </c>
      <c r="C136" s="14" t="s">
        <v>13</v>
      </c>
      <c r="D136" s="14" t="s">
        <v>13</v>
      </c>
      <c r="E136" s="15" t="s">
        <v>13</v>
      </c>
      <c r="F136" s="89" t="s">
        <v>14</v>
      </c>
      <c r="G136" s="16" t="s">
        <v>52</v>
      </c>
      <c r="H136" s="130"/>
      <c r="I136" s="17"/>
      <c r="J136" s="103" t="s">
        <v>52</v>
      </c>
      <c r="K136" s="17"/>
      <c r="L136" s="17"/>
      <c r="M136" s="16" t="s">
        <v>52</v>
      </c>
    </row>
    <row r="137" spans="1:14" s="174" customFormat="1">
      <c r="B137" s="18" t="s">
        <v>15</v>
      </c>
      <c r="C137" s="214">
        <f>0.011821133757974%*2</f>
        <v>2.3642267515948002E-4</v>
      </c>
      <c r="D137" s="214">
        <v>0</v>
      </c>
      <c r="E137" s="212">
        <f t="shared" ref="E137:E158" si="30">C137+D137</f>
        <v>2.3642267515948002E-4</v>
      </c>
      <c r="F137" s="215">
        <f>ROUND(+E137*F$161,2)</f>
        <v>146.31</v>
      </c>
      <c r="G137" s="170">
        <f t="shared" ref="G137:G158" si="31">(F$161-F$162)*E137</f>
        <v>3.4352214700672445</v>
      </c>
      <c r="H137" s="531">
        <f>ROUND(F137*'Actual Load'!$B$8/'Zonal Load'!$N$8,2)</f>
        <v>146.31</v>
      </c>
      <c r="I137" s="170">
        <f t="shared" ref="I137:I158" si="32">ROUND((H137*$H$912)/$H$910,2)</f>
        <v>147.88</v>
      </c>
      <c r="J137" s="170">
        <f t="shared" ref="J137:J158" si="33">I137-F137</f>
        <v>1.5699999999999932</v>
      </c>
      <c r="K137" s="170">
        <f t="shared" ref="K137:K158" si="34">+G137+J137</f>
        <v>5.0052214700672373</v>
      </c>
      <c r="L137" s="655">
        <f>E137*'Interest Under Collect '!J$8</f>
        <v>-0.12814108993643816</v>
      </c>
      <c r="M137" s="170">
        <f t="shared" ref="M137:M144" si="35">+K137+L137</f>
        <v>4.8770803801307991</v>
      </c>
      <c r="N137" s="82"/>
    </row>
    <row r="138" spans="1:14" s="174" customFormat="1">
      <c r="B138" s="23" t="s">
        <v>16</v>
      </c>
      <c r="C138" s="214">
        <f>0.000617840076840076%*2</f>
        <v>1.2356801536801521E-5</v>
      </c>
      <c r="D138" s="214">
        <v>0</v>
      </c>
      <c r="E138" s="212">
        <f t="shared" si="30"/>
        <v>1.2356801536801521E-5</v>
      </c>
      <c r="F138" s="213">
        <f>ROUND(+E138*F$161,2)</f>
        <v>7.65</v>
      </c>
      <c r="G138" s="170">
        <f t="shared" si="31"/>
        <v>0.17954432632972608</v>
      </c>
      <c r="H138" s="531">
        <f>ROUND(F138*'Actual Load'!$B$14/'Zonal Load'!$N$14,2)</f>
        <v>7.36</v>
      </c>
      <c r="I138" s="170">
        <f t="shared" si="32"/>
        <v>7.44</v>
      </c>
      <c r="J138" s="170">
        <f t="shared" si="33"/>
        <v>-0.20999999999999996</v>
      </c>
      <c r="K138" s="170">
        <f t="shared" si="34"/>
        <v>-3.0455673670273881E-2</v>
      </c>
      <c r="L138" s="655">
        <f>E138*'Interest Under Collect '!J$8</f>
        <v>-6.697386432946424E-3</v>
      </c>
      <c r="M138" s="170">
        <f t="shared" si="35"/>
        <v>-3.7153060103220302E-2</v>
      </c>
      <c r="N138" s="82"/>
    </row>
    <row r="139" spans="1:14" s="174" customFormat="1">
      <c r="B139" s="23" t="s">
        <v>190</v>
      </c>
      <c r="C139" s="214">
        <f>(0.0107846485010274%*2)*0.421</f>
        <v>9.0806740378650692E-5</v>
      </c>
      <c r="D139" s="214">
        <f>0%*0.421</f>
        <v>0</v>
      </c>
      <c r="E139" s="212">
        <f t="shared" si="30"/>
        <v>9.0806740378650692E-5</v>
      </c>
      <c r="F139" s="213">
        <f t="shared" ref="F139:F158" si="36">ROUND(+E139*F$161,2)</f>
        <v>56.2</v>
      </c>
      <c r="G139" s="170">
        <f t="shared" si="31"/>
        <v>1.3194219377017946</v>
      </c>
      <c r="H139" s="531">
        <f>ROUND(F139*'Actual Load'!$B$9/'Zonal Load'!$N$9,2)</f>
        <v>56.2</v>
      </c>
      <c r="I139" s="170">
        <f t="shared" si="32"/>
        <v>56.8</v>
      </c>
      <c r="J139" s="170">
        <f t="shared" si="33"/>
        <v>0.59999999999999432</v>
      </c>
      <c r="K139" s="170">
        <f t="shared" si="34"/>
        <v>1.9194219377017889</v>
      </c>
      <c r="L139" s="655">
        <f>E139*'Interest Under Collect '!J$8</f>
        <v>-4.9217253285228676E-2</v>
      </c>
      <c r="M139" s="170">
        <f t="shared" si="35"/>
        <v>1.8702046844165603</v>
      </c>
      <c r="N139" s="82"/>
    </row>
    <row r="140" spans="1:14" s="174" customFormat="1">
      <c r="B140" s="125" t="s">
        <v>249</v>
      </c>
      <c r="C140" s="214">
        <f>(0.0107846485010274%*2)*0.579</f>
        <v>1.2488622964189726E-4</v>
      </c>
      <c r="D140" s="214">
        <f>0%*0.579</f>
        <v>0</v>
      </c>
      <c r="E140" s="212">
        <f>C140+D140</f>
        <v>1.2488622964189726E-4</v>
      </c>
      <c r="F140" s="213">
        <f t="shared" si="36"/>
        <v>77.28</v>
      </c>
      <c r="G140" s="170">
        <f>(F$161-F$162)*E140</f>
        <v>1.8145969166967673</v>
      </c>
      <c r="H140" s="531">
        <f>ROUND(F140*'Actual Load'!$B$10/'Zonal Load'!$N$10,2)</f>
        <v>78.510000000000005</v>
      </c>
      <c r="I140" s="170">
        <f t="shared" si="32"/>
        <v>79.349999999999994</v>
      </c>
      <c r="J140" s="170">
        <f>I140-F140</f>
        <v>2.0699999999999932</v>
      </c>
      <c r="K140" s="170">
        <f>+G140+J140</f>
        <v>3.8845969166967604</v>
      </c>
      <c r="L140" s="655">
        <f>E140*'Interest Under Collect '!J$8</f>
        <v>-6.7688336465908314E-2</v>
      </c>
      <c r="M140" s="170">
        <f>+K140+L140</f>
        <v>3.816908580230852</v>
      </c>
      <c r="N140" s="82"/>
    </row>
    <row r="141" spans="1:14" s="174" customFormat="1">
      <c r="B141" s="23" t="s">
        <v>17</v>
      </c>
      <c r="C141" s="214">
        <f>0.00111095238254239%*2</f>
        <v>2.2219047650847801E-5</v>
      </c>
      <c r="D141" s="214">
        <v>0</v>
      </c>
      <c r="E141" s="212">
        <f t="shared" si="30"/>
        <v>2.2219047650847801E-5</v>
      </c>
      <c r="F141" s="213">
        <f t="shared" si="36"/>
        <v>13.75</v>
      </c>
      <c r="G141" s="170">
        <f t="shared" si="31"/>
        <v>0.32284276236681853</v>
      </c>
      <c r="H141" s="531">
        <f>ROUND(F141*'Actual Load'!$B$26/'Zonal Load'!$N$26,2)</f>
        <v>13.7</v>
      </c>
      <c r="I141" s="170">
        <f t="shared" si="32"/>
        <v>13.85</v>
      </c>
      <c r="J141" s="170">
        <f t="shared" si="33"/>
        <v>9.9999999999999645E-2</v>
      </c>
      <c r="K141" s="170">
        <f t="shared" si="34"/>
        <v>0.42284276236681817</v>
      </c>
      <c r="L141" s="655">
        <f>E141*'Interest Under Collect '!J$8</f>
        <v>-1.2042723826759508E-2</v>
      </c>
      <c r="M141" s="170">
        <f t="shared" si="35"/>
        <v>0.41080003854005864</v>
      </c>
      <c r="N141" s="82"/>
    </row>
    <row r="142" spans="1:14" s="174" customFormat="1">
      <c r="B142" s="23" t="s">
        <v>18</v>
      </c>
      <c r="C142" s="214">
        <f>0.00278170302754758%*2</f>
        <v>5.5634060550951598E-5</v>
      </c>
      <c r="D142" s="214">
        <v>0</v>
      </c>
      <c r="E142" s="212">
        <f t="shared" si="30"/>
        <v>5.5634060550951598E-5</v>
      </c>
      <c r="F142" s="213">
        <f t="shared" si="36"/>
        <v>34.43</v>
      </c>
      <c r="G142" s="170">
        <f t="shared" si="31"/>
        <v>0.80836289980532672</v>
      </c>
      <c r="H142" s="531">
        <f>ROUND(F142*'Actual Load'!$B$16/'Zonal Load'!$N$16,2)</f>
        <v>34.28</v>
      </c>
      <c r="I142" s="170">
        <f t="shared" si="32"/>
        <v>34.65</v>
      </c>
      <c r="J142" s="170">
        <f t="shared" si="33"/>
        <v>0.21999999999999886</v>
      </c>
      <c r="K142" s="170">
        <f t="shared" si="34"/>
        <v>1.0283628998053256</v>
      </c>
      <c r="L142" s="655">
        <f>E142*'Interest Under Collect '!J$8</f>
        <v>-3.0153660818615768E-2</v>
      </c>
      <c r="M142" s="170">
        <f t="shared" si="35"/>
        <v>0.99820923898670977</v>
      </c>
      <c r="N142" s="82"/>
    </row>
    <row r="143" spans="1:14" s="174" customFormat="1">
      <c r="B143" s="23" t="s">
        <v>19</v>
      </c>
      <c r="C143" s="214">
        <f>0.00309053986609718%*2</f>
        <v>6.1810797321943596E-5</v>
      </c>
      <c r="D143" s="214">
        <v>0</v>
      </c>
      <c r="E143" s="212">
        <f t="shared" si="30"/>
        <v>6.1810797321943596E-5</v>
      </c>
      <c r="F143" s="213">
        <f t="shared" si="36"/>
        <v>38.25</v>
      </c>
      <c r="G143" s="170">
        <f t="shared" si="31"/>
        <v>0.89811088508784043</v>
      </c>
      <c r="H143" s="531">
        <f>ROUND(F143*'Actual Load'!$B$22/'Zonal Load'!$N$22,2)</f>
        <v>37.28</v>
      </c>
      <c r="I143" s="170">
        <f t="shared" si="32"/>
        <v>37.68</v>
      </c>
      <c r="J143" s="170">
        <f t="shared" si="33"/>
        <v>-0.57000000000000028</v>
      </c>
      <c r="K143" s="170">
        <f t="shared" si="34"/>
        <v>0.32811088508784014</v>
      </c>
      <c r="L143" s="655">
        <f>E143*'Interest Under Collect '!J$8</f>
        <v>-3.3501452148493427E-2</v>
      </c>
      <c r="M143" s="170">
        <f t="shared" si="35"/>
        <v>0.29460943293934672</v>
      </c>
      <c r="N143" s="82"/>
    </row>
    <row r="144" spans="1:14" s="174" customFormat="1">
      <c r="B144" s="23" t="s">
        <v>20</v>
      </c>
      <c r="C144" s="214">
        <f>0.007689504908766%*2</f>
        <v>1.5379009817531998E-4</v>
      </c>
      <c r="D144" s="214">
        <v>0</v>
      </c>
      <c r="E144" s="212">
        <f t="shared" si="30"/>
        <v>1.5379009817531998E-4</v>
      </c>
      <c r="F144" s="213">
        <f t="shared" si="36"/>
        <v>95.17</v>
      </c>
      <c r="G144" s="170">
        <f t="shared" si="31"/>
        <v>2.2345701264873994</v>
      </c>
      <c r="H144" s="531">
        <f>ROUND(F144*'Actual Load'!$B$17/'Zonal Load'!$N$17,2)</f>
        <v>94.75</v>
      </c>
      <c r="I144" s="170">
        <f t="shared" si="32"/>
        <v>95.77</v>
      </c>
      <c r="J144" s="170">
        <f t="shared" si="33"/>
        <v>0.59999999999999432</v>
      </c>
      <c r="K144" s="170">
        <f t="shared" si="34"/>
        <v>2.8345701264873937</v>
      </c>
      <c r="L144" s="655">
        <f>E144*'Interest Under Collect '!J$8</f>
        <v>-8.3354233211023435E-2</v>
      </c>
      <c r="M144" s="170">
        <f t="shared" si="35"/>
        <v>2.7512158932763704</v>
      </c>
      <c r="N144" s="82"/>
    </row>
    <row r="145" spans="2:14" s="174" customFormat="1">
      <c r="B145" s="23" t="s">
        <v>21</v>
      </c>
      <c r="C145" s="214">
        <f>0.0100941972679958%*2</f>
        <v>2.0188394535991601E-4</v>
      </c>
      <c r="D145" s="214">
        <v>0</v>
      </c>
      <c r="E145" s="212">
        <f t="shared" si="30"/>
        <v>2.0188394535991601E-4</v>
      </c>
      <c r="F145" s="213">
        <f t="shared" si="36"/>
        <v>124.93</v>
      </c>
      <c r="G145" s="170">
        <f t="shared" si="31"/>
        <v>2.9333737260795796</v>
      </c>
      <c r="H145" s="531">
        <f>ROUND(F145*'Actual Load'!$B$15/'Zonal Load'!$N$15,2)</f>
        <v>123.92</v>
      </c>
      <c r="I145" s="170">
        <f t="shared" si="32"/>
        <v>125.25</v>
      </c>
      <c r="J145" s="170">
        <f t="shared" si="33"/>
        <v>0.31999999999999318</v>
      </c>
      <c r="K145" s="170">
        <f t="shared" si="34"/>
        <v>3.2533737260795728</v>
      </c>
      <c r="L145" s="655">
        <f>E145*'Interest Under Collect '!J$8</f>
        <v>-0.10942109838507448</v>
      </c>
      <c r="M145" s="170">
        <f>+K145+L145</f>
        <v>3.1439526276944982</v>
      </c>
      <c r="N145" s="82"/>
    </row>
    <row r="146" spans="2:14" s="174" customFormat="1">
      <c r="B146" s="23" t="s">
        <v>22</v>
      </c>
      <c r="C146" s="214">
        <f>0.00317585938669022%*2</f>
        <v>6.3517187733804395E-5</v>
      </c>
      <c r="D146" s="214">
        <v>0</v>
      </c>
      <c r="E146" s="212">
        <f t="shared" si="30"/>
        <v>6.3517187733804395E-5</v>
      </c>
      <c r="F146" s="213">
        <f t="shared" si="36"/>
        <v>39.31</v>
      </c>
      <c r="G146" s="170">
        <f t="shared" si="31"/>
        <v>0.92290473777217785</v>
      </c>
      <c r="H146" s="531">
        <f>ROUND(F146*'Actual Load'!$B$4/'Zonal Load'!$N$4,2)</f>
        <v>38.79</v>
      </c>
      <c r="I146" s="170">
        <f t="shared" si="32"/>
        <v>39.21</v>
      </c>
      <c r="J146" s="170">
        <f t="shared" si="33"/>
        <v>-0.10000000000000142</v>
      </c>
      <c r="K146" s="170">
        <f t="shared" si="34"/>
        <v>0.82290473777217643</v>
      </c>
      <c r="L146" s="655">
        <f>E146*'Interest Under Collect '!J$8</f>
        <v>-3.4426315751721982E-2</v>
      </c>
      <c r="M146" s="170">
        <f t="shared" ref="M146:M158" si="37">+K146+L146</f>
        <v>0.78847842202045448</v>
      </c>
      <c r="N146" s="82"/>
    </row>
    <row r="147" spans="2:14" s="174" customFormat="1">
      <c r="B147" s="23" t="s">
        <v>23</v>
      </c>
      <c r="C147" s="214">
        <f>0.00022366718416561%*2</f>
        <v>4.4733436833121996E-6</v>
      </c>
      <c r="D147" s="214">
        <v>0</v>
      </c>
      <c r="E147" s="212">
        <f t="shared" si="30"/>
        <v>4.4733436833121996E-6</v>
      </c>
      <c r="F147" s="213">
        <f t="shared" si="36"/>
        <v>2.77</v>
      </c>
      <c r="G147" s="170">
        <f t="shared" si="31"/>
        <v>6.4997683718526267E-2</v>
      </c>
      <c r="H147" s="531">
        <f>ROUND(F147*'Actual Load'!$B$11/'Zonal Load'!$N$11,2)</f>
        <v>2.69</v>
      </c>
      <c r="I147" s="170">
        <f t="shared" si="32"/>
        <v>2.72</v>
      </c>
      <c r="J147" s="170">
        <f t="shared" si="33"/>
        <v>-4.9999999999999822E-2</v>
      </c>
      <c r="K147" s="170">
        <f t="shared" si="34"/>
        <v>1.4997683718526444E-2</v>
      </c>
      <c r="L147" s="655">
        <f>E147*'Interest Under Collect '!J$8</f>
        <v>-2.4245522763552121E-3</v>
      </c>
      <c r="M147" s="170">
        <f t="shared" si="37"/>
        <v>1.2573131442171231E-2</v>
      </c>
      <c r="N147" s="82"/>
    </row>
    <row r="148" spans="2:14" s="174" customFormat="1">
      <c r="B148" s="23" t="s">
        <v>24</v>
      </c>
      <c r="C148" s="214">
        <f>0.00758599886735162%*2</f>
        <v>1.5171997734703241E-4</v>
      </c>
      <c r="D148" s="214">
        <v>0</v>
      </c>
      <c r="E148" s="212">
        <f t="shared" si="30"/>
        <v>1.5171997734703241E-4</v>
      </c>
      <c r="F148" s="213">
        <f t="shared" si="36"/>
        <v>93.89</v>
      </c>
      <c r="G148" s="170">
        <f t="shared" si="31"/>
        <v>2.2044912708523809</v>
      </c>
      <c r="H148" s="531">
        <f>ROUND(F148*'Actual Load'!$B$6/'Zonal Load'!$N$6,2)</f>
        <v>92.27</v>
      </c>
      <c r="I148" s="170">
        <f t="shared" si="32"/>
        <v>93.26</v>
      </c>
      <c r="J148" s="170">
        <f t="shared" si="33"/>
        <v>-0.62999999999999545</v>
      </c>
      <c r="K148" s="170">
        <f t="shared" si="34"/>
        <v>1.5744912708523855</v>
      </c>
      <c r="L148" s="655">
        <f>E148*'Interest Under Collect '!J$8</f>
        <v>-8.2232227722091572E-2</v>
      </c>
      <c r="M148" s="170">
        <f t="shared" si="37"/>
        <v>1.492259043130294</v>
      </c>
      <c r="N148" s="82"/>
    </row>
    <row r="149" spans="2:14" s="174" customFormat="1">
      <c r="B149" s="23" t="s">
        <v>25</v>
      </c>
      <c r="C149" s="214">
        <f>0.00748513685298871%*2</f>
        <v>1.497027370597742E-4</v>
      </c>
      <c r="D149" s="214">
        <v>0</v>
      </c>
      <c r="E149" s="212">
        <f t="shared" si="30"/>
        <v>1.497027370597742E-4</v>
      </c>
      <c r="F149" s="213">
        <f t="shared" si="36"/>
        <v>92.64</v>
      </c>
      <c r="G149" s="170">
        <f t="shared" si="31"/>
        <v>2.1751807694785192</v>
      </c>
      <c r="H149" s="531">
        <f>ROUND(F149*'Actual Load'!$B$7/'Zonal Load'!$N$7,2)</f>
        <v>87.38</v>
      </c>
      <c r="I149" s="170">
        <f t="shared" si="32"/>
        <v>88.32</v>
      </c>
      <c r="J149" s="170">
        <f t="shared" si="33"/>
        <v>-4.3200000000000074</v>
      </c>
      <c r="K149" s="170">
        <f t="shared" si="34"/>
        <v>-2.1448192305214882</v>
      </c>
      <c r="L149" s="655">
        <f>E149*'Interest Under Collect '!J$8</f>
        <v>-8.1138883486397612E-2</v>
      </c>
      <c r="M149" s="170">
        <f t="shared" si="37"/>
        <v>-2.2259581140078857</v>
      </c>
      <c r="N149" s="82"/>
    </row>
    <row r="150" spans="2:14" s="174" customFormat="1">
      <c r="B150" s="23" t="s">
        <v>26</v>
      </c>
      <c r="C150" s="214">
        <f>0.000351168284317986%*2</f>
        <v>7.0233656863597203E-6</v>
      </c>
      <c r="D150" s="214">
        <v>0</v>
      </c>
      <c r="E150" s="212">
        <f t="shared" si="30"/>
        <v>7.0233656863597203E-6</v>
      </c>
      <c r="F150" s="213">
        <f t="shared" si="36"/>
        <v>4.3499999999999996</v>
      </c>
      <c r="G150" s="170">
        <f t="shared" si="31"/>
        <v>0.10204950342280673</v>
      </c>
      <c r="H150" s="531">
        <f>ROUND(F150*'Actual Load'!$B$12/'Zonal Load'!$N$12,2)</f>
        <v>4</v>
      </c>
      <c r="I150" s="170">
        <f t="shared" si="32"/>
        <v>4.04</v>
      </c>
      <c r="J150" s="170">
        <f t="shared" si="33"/>
        <v>-0.30999999999999961</v>
      </c>
      <c r="K150" s="170">
        <f t="shared" si="34"/>
        <v>-0.20795049657719289</v>
      </c>
      <c r="L150" s="655">
        <f>E150*'Interest Under Collect '!J$8</f>
        <v>-3.8066642020069684E-3</v>
      </c>
      <c r="M150" s="170">
        <f t="shared" si="37"/>
        <v>-0.21175716077919987</v>
      </c>
      <c r="N150" s="82"/>
    </row>
    <row r="151" spans="2:14" s="174" customFormat="1">
      <c r="B151" s="23" t="s">
        <v>27</v>
      </c>
      <c r="C151" s="214">
        <f>0.000370617604680213%*2</f>
        <v>7.4123520936042607E-6</v>
      </c>
      <c r="D151" s="214">
        <v>0</v>
      </c>
      <c r="E151" s="212">
        <f t="shared" si="30"/>
        <v>7.4123520936042607E-6</v>
      </c>
      <c r="F151" s="213">
        <f t="shared" si="36"/>
        <v>4.59</v>
      </c>
      <c r="G151" s="170">
        <f t="shared" si="31"/>
        <v>0.10770147592006991</v>
      </c>
      <c r="H151" s="531">
        <f>ROUND(F151*'Actual Load'!$B$24/'Zonal Load'!$N$24,2)</f>
        <v>4.53</v>
      </c>
      <c r="I151" s="170">
        <f t="shared" si="32"/>
        <v>4.58</v>
      </c>
      <c r="J151" s="170">
        <f t="shared" si="33"/>
        <v>-9.9999999999997868E-3</v>
      </c>
      <c r="K151" s="170">
        <f t="shared" si="34"/>
        <v>9.7701475920070127E-2</v>
      </c>
      <c r="L151" s="655">
        <f>E151*'Interest Under Collect '!J$8</f>
        <v>-4.0174948347335097E-3</v>
      </c>
      <c r="M151" s="170">
        <f t="shared" si="37"/>
        <v>9.3683981085336612E-2</v>
      </c>
      <c r="N151" s="82"/>
    </row>
    <row r="152" spans="2:14" s="174" customFormat="1">
      <c r="B152" s="23" t="s">
        <v>28</v>
      </c>
      <c r="C152" s="214">
        <f>0.0112768499302261%*2</f>
        <v>2.2553699860452199E-4</v>
      </c>
      <c r="D152" s="214">
        <v>0</v>
      </c>
      <c r="E152" s="212">
        <f t="shared" si="30"/>
        <v>2.2553699860452199E-4</v>
      </c>
      <c r="F152" s="213">
        <f t="shared" si="36"/>
        <v>139.57</v>
      </c>
      <c r="G152" s="170">
        <f t="shared" si="31"/>
        <v>3.2770525897237044</v>
      </c>
      <c r="H152" s="531">
        <f>ROUND(F152*'Actual Load'!$B$5/'Zonal Load'!$N$5,2)</f>
        <v>143.1</v>
      </c>
      <c r="I152" s="170">
        <f t="shared" si="32"/>
        <v>144.63999999999999</v>
      </c>
      <c r="J152" s="170">
        <f t="shared" si="33"/>
        <v>5.0699999999999932</v>
      </c>
      <c r="K152" s="170">
        <f t="shared" si="34"/>
        <v>8.3470525897236971</v>
      </c>
      <c r="L152" s="655">
        <f>E152*'Interest Under Collect '!J$8</f>
        <v>-0.12224105324365092</v>
      </c>
      <c r="M152" s="170">
        <f t="shared" si="37"/>
        <v>8.2248115364800469</v>
      </c>
      <c r="N152" s="82"/>
    </row>
    <row r="153" spans="2:14" s="174" customFormat="1">
      <c r="B153" s="23" t="s">
        <v>29</v>
      </c>
      <c r="C153" s="214">
        <f>0.00848913654918854%*2</f>
        <v>1.697827309837708E-4</v>
      </c>
      <c r="D153" s="214">
        <f>49.9085239803374%*2</f>
        <v>0.99817047960674798</v>
      </c>
      <c r="E153" s="212">
        <f t="shared" si="30"/>
        <v>0.99834026233773177</v>
      </c>
      <c r="F153" s="213">
        <f t="shared" si="36"/>
        <v>617815.88</v>
      </c>
      <c r="G153" s="170">
        <f t="shared" si="31"/>
        <v>14505.884011767243</v>
      </c>
      <c r="H153" s="531">
        <f>ROUND(F153*'Actual Load'!$B$21/'Zonal Load'!$N$21,2)</f>
        <v>592038.32999999996</v>
      </c>
      <c r="I153" s="170">
        <f t="shared" si="32"/>
        <v>598389.82999999996</v>
      </c>
      <c r="J153" s="170">
        <f t="shared" si="33"/>
        <v>-19426.050000000047</v>
      </c>
      <c r="K153" s="170">
        <f t="shared" si="34"/>
        <v>-4920.165988232804</v>
      </c>
      <c r="L153" s="655">
        <f>E153*'Interest Under Collect '!J$8</f>
        <v>-541.10042218705064</v>
      </c>
      <c r="M153" s="170">
        <f t="shared" si="37"/>
        <v>-5461.2664104198548</v>
      </c>
      <c r="N153" s="82"/>
    </row>
    <row r="154" spans="2:14" s="174" customFormat="1">
      <c r="B154" s="23" t="s">
        <v>30</v>
      </c>
      <c r="C154" s="214">
        <f>0.00181623984528443%*2</f>
        <v>3.6324796905688601E-5</v>
      </c>
      <c r="D154" s="214">
        <v>0</v>
      </c>
      <c r="E154" s="212">
        <f t="shared" si="30"/>
        <v>3.6324796905688601E-5</v>
      </c>
      <c r="F154" s="213">
        <f t="shared" si="36"/>
        <v>22.48</v>
      </c>
      <c r="G154" s="170">
        <f t="shared" si="31"/>
        <v>0.52779929903965539</v>
      </c>
      <c r="H154" s="531">
        <f>ROUND(F154*'Actual Load'!$B$19/'Zonal Load'!$N$19,2)</f>
        <v>21.86</v>
      </c>
      <c r="I154" s="170">
        <f t="shared" si="32"/>
        <v>22.09</v>
      </c>
      <c r="J154" s="170">
        <f t="shared" si="33"/>
        <v>-0.39000000000000057</v>
      </c>
      <c r="K154" s="170">
        <f t="shared" si="34"/>
        <v>0.13779929903965482</v>
      </c>
      <c r="L154" s="655">
        <f>E154*'Interest Under Collect '!J$8</f>
        <v>-1.9688039922883222E-2</v>
      </c>
      <c r="M154" s="170">
        <f t="shared" si="37"/>
        <v>0.1181112591167716</v>
      </c>
      <c r="N154" s="82"/>
    </row>
    <row r="155" spans="2:14" s="174" customFormat="1">
      <c r="B155" s="23" t="s">
        <v>31</v>
      </c>
      <c r="C155" s="214">
        <f>0.000276288400923413%*2</f>
        <v>5.5257680184682596E-6</v>
      </c>
      <c r="D155" s="214">
        <v>0</v>
      </c>
      <c r="E155" s="212">
        <f t="shared" si="30"/>
        <v>5.5257680184682596E-6</v>
      </c>
      <c r="F155" s="213">
        <f t="shared" si="36"/>
        <v>3.42</v>
      </c>
      <c r="G155" s="170">
        <f t="shared" si="31"/>
        <v>8.0289409308343815E-2</v>
      </c>
      <c r="H155" s="531">
        <f>ROUND(F155*'Actual Load'!$B$25/'Zonal Load'!$N$25,2)</f>
        <v>3.32</v>
      </c>
      <c r="I155" s="170">
        <f t="shared" si="32"/>
        <v>3.36</v>
      </c>
      <c r="J155" s="170">
        <f t="shared" si="33"/>
        <v>-6.0000000000000053E-2</v>
      </c>
      <c r="K155" s="170">
        <f t="shared" si="34"/>
        <v>2.0289409308343762E-2</v>
      </c>
      <c r="L155" s="655">
        <f>E155*'Interest Under Collect '!J$8</f>
        <v>-2.9949662660097966E-3</v>
      </c>
      <c r="M155" s="170">
        <f t="shared" si="37"/>
        <v>1.7294443042333966E-2</v>
      </c>
      <c r="N155" s="82"/>
    </row>
    <row r="156" spans="2:14" s="174" customFormat="1">
      <c r="B156" s="23" t="s">
        <v>32</v>
      </c>
      <c r="C156" s="214">
        <f>0.00107968163212288%*2</f>
        <v>2.1593632642457598E-5</v>
      </c>
      <c r="D156" s="214">
        <v>0</v>
      </c>
      <c r="E156" s="212">
        <f t="shared" si="30"/>
        <v>2.1593632642457598E-5</v>
      </c>
      <c r="F156" s="213">
        <f t="shared" si="36"/>
        <v>13.36</v>
      </c>
      <c r="G156" s="170">
        <f t="shared" si="31"/>
        <v>0.31375548229490891</v>
      </c>
      <c r="H156" s="531">
        <f>ROUND(F156*'Actual Load'!$B$13/'Zonal Load'!$N$13,2)</f>
        <v>12.82</v>
      </c>
      <c r="I156" s="170">
        <f t="shared" si="32"/>
        <v>12.96</v>
      </c>
      <c r="J156" s="170">
        <f t="shared" si="33"/>
        <v>-0.39999999999999858</v>
      </c>
      <c r="K156" s="170">
        <f t="shared" si="34"/>
        <v>-8.6244517705089674E-2</v>
      </c>
      <c r="L156" s="655">
        <f>E156*'Interest Under Collect '!J$8</f>
        <v>-1.1703748892212018E-2</v>
      </c>
      <c r="M156" s="170">
        <f t="shared" si="37"/>
        <v>-9.7948266597301686E-2</v>
      </c>
      <c r="N156" s="82"/>
    </row>
    <row r="157" spans="2:14" s="174" customFormat="1">
      <c r="B157" s="23" t="s">
        <v>33</v>
      </c>
      <c r="C157" s="214">
        <f>0.000757027529112798%*2</f>
        <v>1.5140550582255961E-5</v>
      </c>
      <c r="D157" s="214">
        <v>0</v>
      </c>
      <c r="E157" s="212">
        <f t="shared" si="30"/>
        <v>1.5140550582255961E-5</v>
      </c>
      <c r="F157" s="213">
        <f t="shared" si="36"/>
        <v>9.3699999999999992</v>
      </c>
      <c r="G157" s="170">
        <f t="shared" si="31"/>
        <v>0.2199921999601791</v>
      </c>
      <c r="H157" s="531">
        <f>ROUND(F157*'Actual Load'!$B$23/'Zonal Load'!$N$23,2)</f>
        <v>12.75</v>
      </c>
      <c r="I157" s="170">
        <f t="shared" si="32"/>
        <v>12.89</v>
      </c>
      <c r="J157" s="170">
        <f t="shared" si="33"/>
        <v>3.5200000000000014</v>
      </c>
      <c r="K157" s="170">
        <f t="shared" si="34"/>
        <v>3.7399921999601804</v>
      </c>
      <c r="L157" s="655">
        <f>E157*'Interest Under Collect '!J$8</f>
        <v>-8.2061784155827312E-3</v>
      </c>
      <c r="M157" s="170">
        <f t="shared" si="37"/>
        <v>3.7317860215445977</v>
      </c>
      <c r="N157" s="82"/>
    </row>
    <row r="158" spans="2:14" s="174" customFormat="1">
      <c r="B158" s="24" t="s">
        <v>34</v>
      </c>
      <c r="C158" s="214">
        <f>0.000597827806705142%*2</f>
        <v>1.195655613410284E-5</v>
      </c>
      <c r="D158" s="214">
        <v>0</v>
      </c>
      <c r="E158" s="212">
        <f t="shared" si="30"/>
        <v>1.195655613410284E-5</v>
      </c>
      <c r="F158" s="213">
        <f t="shared" si="36"/>
        <v>7.4</v>
      </c>
      <c r="G158" s="170">
        <f t="shared" si="31"/>
        <v>0.17372876062851428</v>
      </c>
      <c r="H158" s="531">
        <f>ROUND(F158*'Actual Load'!$B$20/'Zonal Load'!$N$20,2)</f>
        <v>8.31</v>
      </c>
      <c r="I158" s="170">
        <f t="shared" si="32"/>
        <v>8.4</v>
      </c>
      <c r="J158" s="170">
        <f t="shared" si="33"/>
        <v>1</v>
      </c>
      <c r="K158" s="170">
        <f t="shared" si="34"/>
        <v>1.1737287606285143</v>
      </c>
      <c r="L158" s="655">
        <f>E158*'Interest Under Collect '!J$8</f>
        <v>-6.4804534246837393E-3</v>
      </c>
      <c r="M158" s="170">
        <f t="shared" si="37"/>
        <v>1.1672483072038304</v>
      </c>
      <c r="N158" s="82"/>
    </row>
    <row r="159" spans="2:14">
      <c r="B159" s="25"/>
      <c r="C159" s="26">
        <f t="shared" ref="C159:M159" si="38">SUM(C137:C158)</f>
        <v>1.8295203932509614E-3</v>
      </c>
      <c r="D159" s="27">
        <f t="shared" si="38"/>
        <v>0.99817047960674798</v>
      </c>
      <c r="E159" s="95">
        <f t="shared" si="38"/>
        <v>0.999999999999999</v>
      </c>
      <c r="F159" s="90">
        <f t="shared" si="38"/>
        <v>618843</v>
      </c>
      <c r="G159" s="76">
        <f t="shared" si="38"/>
        <v>14529.999999999985</v>
      </c>
      <c r="H159" s="131">
        <f t="shared" si="38"/>
        <v>593062.45999999985</v>
      </c>
      <c r="I159" s="77">
        <f t="shared" si="38"/>
        <v>599424.96999999986</v>
      </c>
      <c r="J159" s="77">
        <f t="shared" si="38"/>
        <v>-19418.03000000005</v>
      </c>
      <c r="K159" s="485">
        <f t="shared" si="38"/>
        <v>-4888.0300000000625</v>
      </c>
      <c r="L159" s="656">
        <f t="shared" si="38"/>
        <v>-541.99999999999943</v>
      </c>
      <c r="M159" s="77">
        <f t="shared" si="38"/>
        <v>-5430.0300000000616</v>
      </c>
    </row>
    <row r="160" spans="2:14">
      <c r="F160" s="3" t="s">
        <v>623</v>
      </c>
      <c r="G160" s="21"/>
      <c r="I160" s="569" t="s">
        <v>621</v>
      </c>
      <c r="J160" s="570" t="s">
        <v>622</v>
      </c>
    </row>
    <row r="161" spans="2:14">
      <c r="E161" s="479" t="s">
        <v>610</v>
      </c>
      <c r="F161" s="168">
        <f>ROUND((I161*M$884)+(J161*M$888),0)</f>
        <v>618843</v>
      </c>
      <c r="H161" s="132"/>
      <c r="I161" s="571">
        <v>628669.85235030262</v>
      </c>
      <c r="J161" s="571">
        <v>585962.30286038539</v>
      </c>
      <c r="K161" s="174"/>
      <c r="L161" s="81"/>
    </row>
    <row r="162" spans="2:14">
      <c r="E162" s="480" t="s">
        <v>611</v>
      </c>
      <c r="F162" s="169">
        <f>ROUND((I162*M$884)+(J162*M$888),0)</f>
        <v>604313</v>
      </c>
      <c r="G162" s="528">
        <f>F161-F162</f>
        <v>14530</v>
      </c>
      <c r="H162" s="529"/>
      <c r="I162" s="572">
        <f>'Att GG at 12.38 '!N75</f>
        <v>613922.55369970365</v>
      </c>
      <c r="J162" s="572">
        <f>'Att GG at 10.82'!N75</f>
        <v>572157.90100618429</v>
      </c>
      <c r="L162" s="174"/>
    </row>
    <row r="163" spans="2:14">
      <c r="E163" s="91" t="s">
        <v>153</v>
      </c>
      <c r="F163" s="175">
        <f>I159</f>
        <v>599424.96999999986</v>
      </c>
      <c r="G163" s="528">
        <f>F163-F161</f>
        <v>-19418.030000000144</v>
      </c>
      <c r="H163" s="530"/>
      <c r="K163" s="86"/>
      <c r="L163" s="644"/>
      <c r="M163" s="86"/>
    </row>
    <row r="164" spans="2:14">
      <c r="G164" s="528">
        <f>G162+G163</f>
        <v>-4888.0300000001444</v>
      </c>
      <c r="H164" s="529">
        <f>F163-F162</f>
        <v>-4888.0300000001444</v>
      </c>
      <c r="K164" s="86"/>
      <c r="L164" s="86"/>
      <c r="M164" s="86"/>
    </row>
    <row r="165" spans="2:14">
      <c r="B165" s="79"/>
      <c r="C165" s="79"/>
      <c r="D165" s="79"/>
      <c r="E165" s="79"/>
      <c r="F165" s="79"/>
      <c r="G165" s="79"/>
      <c r="H165" s="79"/>
      <c r="I165" s="79"/>
      <c r="J165" s="105"/>
      <c r="K165" s="79"/>
      <c r="L165" s="79"/>
      <c r="M165" s="79"/>
    </row>
    <row r="167" spans="2:14" ht="15.75" customHeight="1">
      <c r="B167" s="541" t="s">
        <v>0</v>
      </c>
      <c r="C167" s="692" t="s">
        <v>679</v>
      </c>
      <c r="D167" s="693"/>
      <c r="E167" s="693"/>
      <c r="F167" s="693"/>
      <c r="G167" s="693"/>
      <c r="H167" s="694"/>
      <c r="I167" s="1"/>
    </row>
    <row r="168" spans="2:14" ht="15.75" customHeight="1">
      <c r="B168" s="69" t="s">
        <v>1</v>
      </c>
      <c r="C168" s="666" t="s">
        <v>115</v>
      </c>
      <c r="D168" s="687"/>
      <c r="E168" s="687"/>
      <c r="F168" s="687"/>
      <c r="G168" s="687"/>
      <c r="H168" s="688"/>
      <c r="I168" s="1"/>
    </row>
    <row r="169" spans="2:14" ht="15.75" customHeight="1">
      <c r="B169" s="69" t="s">
        <v>3</v>
      </c>
      <c r="C169" s="666" t="s">
        <v>36</v>
      </c>
      <c r="D169" s="687"/>
      <c r="E169" s="687"/>
      <c r="F169" s="687"/>
      <c r="G169" s="687"/>
      <c r="H169" s="688"/>
      <c r="I169" s="1"/>
    </row>
    <row r="170" spans="2:14" ht="15.75" customHeight="1">
      <c r="B170" s="70" t="s">
        <v>5</v>
      </c>
      <c r="C170" s="698" t="s">
        <v>6</v>
      </c>
      <c r="D170" s="690"/>
      <c r="E170" s="690"/>
      <c r="F170" s="690"/>
      <c r="G170" s="690"/>
      <c r="H170" s="691"/>
      <c r="I170" s="1"/>
    </row>
    <row r="171" spans="2:14">
      <c r="B171" s="74"/>
      <c r="C171" s="74"/>
      <c r="D171" s="74"/>
      <c r="E171" s="74"/>
      <c r="F171" s="74"/>
      <c r="J171" s="99" t="s">
        <v>155</v>
      </c>
      <c r="K171" s="3" t="s">
        <v>40</v>
      </c>
      <c r="M171" s="3" t="s">
        <v>54</v>
      </c>
    </row>
    <row r="172" spans="2:14">
      <c r="B172" s="74"/>
      <c r="C172" s="74"/>
      <c r="D172" s="74"/>
      <c r="E172" s="74"/>
      <c r="F172" s="74"/>
      <c r="G172" s="3" t="s">
        <v>37</v>
      </c>
      <c r="H172" s="127" t="s">
        <v>38</v>
      </c>
      <c r="I172" s="92" t="s">
        <v>39</v>
      </c>
      <c r="J172" s="100" t="s">
        <v>156</v>
      </c>
      <c r="K172" s="4" t="s">
        <v>157</v>
      </c>
      <c r="L172" s="4" t="s">
        <v>53</v>
      </c>
      <c r="M172" s="4" t="s">
        <v>158</v>
      </c>
      <c r="N172" s="191"/>
    </row>
    <row r="173" spans="2:14">
      <c r="B173" s="74"/>
      <c r="C173" s="74"/>
      <c r="D173" s="74"/>
      <c r="E173" s="74"/>
      <c r="F173" s="74"/>
      <c r="G173" s="5"/>
      <c r="H173" s="662" t="s">
        <v>41</v>
      </c>
      <c r="I173" s="663"/>
      <c r="J173" s="664"/>
      <c r="K173" s="6" t="s">
        <v>42</v>
      </c>
      <c r="L173" s="5"/>
      <c r="M173" s="6" t="s">
        <v>43</v>
      </c>
      <c r="N173" s="191"/>
    </row>
    <row r="174" spans="2:14">
      <c r="B174" s="75"/>
      <c r="C174" s="7">
        <v>0.2</v>
      </c>
      <c r="D174" s="7">
        <v>0.8</v>
      </c>
      <c r="E174" s="7"/>
      <c r="F174" s="87" t="s">
        <v>154</v>
      </c>
      <c r="G174" s="8" t="s">
        <v>44</v>
      </c>
      <c r="H174" s="128"/>
      <c r="I174" s="5"/>
      <c r="J174" s="101" t="s">
        <v>45</v>
      </c>
      <c r="K174" s="8" t="s">
        <v>46</v>
      </c>
      <c r="L174" s="9"/>
      <c r="M174" s="8" t="s">
        <v>47</v>
      </c>
    </row>
    <row r="175" spans="2:14">
      <c r="B175" s="10"/>
      <c r="C175" s="68" t="s">
        <v>8</v>
      </c>
      <c r="D175" s="68" t="s">
        <v>9</v>
      </c>
      <c r="E175" s="68" t="s">
        <v>10</v>
      </c>
      <c r="F175" s="88" t="s">
        <v>7</v>
      </c>
      <c r="G175" s="11" t="s">
        <v>48</v>
      </c>
      <c r="H175" s="129" t="s">
        <v>49</v>
      </c>
      <c r="I175" s="12" t="s">
        <v>152</v>
      </c>
      <c r="J175" s="102" t="s">
        <v>48</v>
      </c>
      <c r="K175" s="12" t="s">
        <v>48</v>
      </c>
      <c r="L175" s="12" t="s">
        <v>50</v>
      </c>
      <c r="M175" s="12" t="s">
        <v>51</v>
      </c>
    </row>
    <row r="176" spans="2:14" ht="63" customHeight="1">
      <c r="B176" s="13" t="s">
        <v>12</v>
      </c>
      <c r="C176" s="14" t="s">
        <v>13</v>
      </c>
      <c r="D176" s="14" t="s">
        <v>13</v>
      </c>
      <c r="E176" s="15" t="s">
        <v>13</v>
      </c>
      <c r="F176" s="89" t="s">
        <v>14</v>
      </c>
      <c r="G176" s="16" t="s">
        <v>52</v>
      </c>
      <c r="H176" s="130"/>
      <c r="I176" s="17"/>
      <c r="J176" s="103" t="s">
        <v>52</v>
      </c>
      <c r="K176" s="17"/>
      <c r="L176" s="17"/>
      <c r="M176" s="16" t="s">
        <v>52</v>
      </c>
    </row>
    <row r="177" spans="1:14" s="174" customFormat="1">
      <c r="B177" s="18" t="s">
        <v>15</v>
      </c>
      <c r="C177" s="214">
        <v>0</v>
      </c>
      <c r="D177" s="214">
        <v>0</v>
      </c>
      <c r="E177" s="212">
        <f t="shared" ref="E177:E200" si="39">C177+D177</f>
        <v>0</v>
      </c>
      <c r="F177" s="215">
        <f>ROUND(+E177*F$203,2)</f>
        <v>0</v>
      </c>
      <c r="G177" s="170">
        <f t="shared" ref="G177:G200" si="40">(F$203-F$204)*E177</f>
        <v>0</v>
      </c>
      <c r="H177" s="531">
        <f>ROUND(F177*'Actual Load'!$B$8/'Zonal Load'!$N$8,2)</f>
        <v>0</v>
      </c>
      <c r="I177" s="170">
        <f t="shared" ref="I177:I200" si="41">ROUND((H177*$H$912)/$H$910,2)</f>
        <v>0</v>
      </c>
      <c r="J177" s="170">
        <f t="shared" ref="J177:J200" si="42">I177-F177</f>
        <v>0</v>
      </c>
      <c r="K177" s="170">
        <f t="shared" ref="K177:K200" si="43">+G177+J177</f>
        <v>0</v>
      </c>
      <c r="L177" s="655">
        <f>E177*'Interest Over Collect'!J$5</f>
        <v>0</v>
      </c>
      <c r="M177" s="170">
        <f>+K177+L177</f>
        <v>0</v>
      </c>
      <c r="N177" s="82"/>
    </row>
    <row r="178" spans="1:14" s="174" customFormat="1">
      <c r="B178" s="23" t="s">
        <v>16</v>
      </c>
      <c r="C178" s="214">
        <v>0</v>
      </c>
      <c r="D178" s="214">
        <v>0</v>
      </c>
      <c r="E178" s="212">
        <f t="shared" si="39"/>
        <v>0</v>
      </c>
      <c r="F178" s="213">
        <f>ROUND(+E178*F$203,2)</f>
        <v>0</v>
      </c>
      <c r="G178" s="170">
        <f t="shared" si="40"/>
        <v>0</v>
      </c>
      <c r="H178" s="531">
        <f>ROUND(F178*'Actual Load'!$B$14/'Zonal Load'!$N$14,2)</f>
        <v>0</v>
      </c>
      <c r="I178" s="170">
        <f t="shared" si="41"/>
        <v>0</v>
      </c>
      <c r="J178" s="170">
        <f t="shared" si="42"/>
        <v>0</v>
      </c>
      <c r="K178" s="170">
        <f t="shared" si="43"/>
        <v>0</v>
      </c>
      <c r="L178" s="655">
        <f>E178*'Interest Over Collect'!J$5</f>
        <v>0</v>
      </c>
      <c r="M178" s="170">
        <f t="shared" ref="M178:M200" si="44">+K178+L178</f>
        <v>0</v>
      </c>
      <c r="N178" s="82"/>
    </row>
    <row r="179" spans="1:14" s="174" customFormat="1">
      <c r="B179" s="23" t="s">
        <v>190</v>
      </c>
      <c r="C179" s="214">
        <f>0%*0.421</f>
        <v>0</v>
      </c>
      <c r="D179" s="214">
        <f>0%*0.421</f>
        <v>0</v>
      </c>
      <c r="E179" s="212">
        <f t="shared" si="39"/>
        <v>0</v>
      </c>
      <c r="F179" s="213">
        <f t="shared" ref="F179:F200" si="45">ROUND(+E179*F$203,2)</f>
        <v>0</v>
      </c>
      <c r="G179" s="170">
        <f t="shared" si="40"/>
        <v>0</v>
      </c>
      <c r="H179" s="531">
        <f>ROUND(F179*'Actual Load'!$B$9/'Zonal Load'!$N$9,2)</f>
        <v>0</v>
      </c>
      <c r="I179" s="170">
        <f t="shared" si="41"/>
        <v>0</v>
      </c>
      <c r="J179" s="170">
        <f t="shared" si="42"/>
        <v>0</v>
      </c>
      <c r="K179" s="170">
        <f t="shared" si="43"/>
        <v>0</v>
      </c>
      <c r="L179" s="655">
        <f>E179*'Interest Over Collect'!J$5</f>
        <v>0</v>
      </c>
      <c r="M179" s="170">
        <f t="shared" si="44"/>
        <v>0</v>
      </c>
      <c r="N179" s="82"/>
    </row>
    <row r="180" spans="1:14" s="174" customFormat="1">
      <c r="B180" s="125" t="s">
        <v>249</v>
      </c>
      <c r="C180" s="214">
        <f>0%*0.579</f>
        <v>0</v>
      </c>
      <c r="D180" s="214">
        <f>0%*0.579</f>
        <v>0</v>
      </c>
      <c r="E180" s="212">
        <f>C180+D180</f>
        <v>0</v>
      </c>
      <c r="F180" s="213">
        <f t="shared" si="45"/>
        <v>0</v>
      </c>
      <c r="G180" s="170">
        <f>(F$203-F$204)*E180</f>
        <v>0</v>
      </c>
      <c r="H180" s="531">
        <f>ROUND(F180*'Actual Load'!$B$10/'Zonal Load'!$N$10,2)</f>
        <v>0</v>
      </c>
      <c r="I180" s="170">
        <f t="shared" si="41"/>
        <v>0</v>
      </c>
      <c r="J180" s="170">
        <f>I180-F180</f>
        <v>0</v>
      </c>
      <c r="K180" s="170">
        <f>+G180+J180</f>
        <v>0</v>
      </c>
      <c r="L180" s="655">
        <f>E180*'Interest Over Collect'!J$5</f>
        <v>0</v>
      </c>
      <c r="M180" s="170">
        <f>+K180+L180</f>
        <v>0</v>
      </c>
      <c r="N180" s="82"/>
    </row>
    <row r="181" spans="1:14" s="174" customFormat="1">
      <c r="B181" s="23" t="s">
        <v>17</v>
      </c>
      <c r="C181" s="214">
        <v>0</v>
      </c>
      <c r="D181" s="214">
        <v>0</v>
      </c>
      <c r="E181" s="212">
        <f t="shared" si="39"/>
        <v>0</v>
      </c>
      <c r="F181" s="213">
        <f t="shared" si="45"/>
        <v>0</v>
      </c>
      <c r="G181" s="170">
        <f t="shared" si="40"/>
        <v>0</v>
      </c>
      <c r="H181" s="531">
        <f>ROUND(F181*'Actual Load'!$B$26/'Zonal Load'!$N$26,2)</f>
        <v>0</v>
      </c>
      <c r="I181" s="170">
        <f t="shared" si="41"/>
        <v>0</v>
      </c>
      <c r="J181" s="170">
        <f t="shared" si="42"/>
        <v>0</v>
      </c>
      <c r="K181" s="170">
        <f t="shared" si="43"/>
        <v>0</v>
      </c>
      <c r="L181" s="655">
        <f>E181*'Interest Over Collect'!J$5</f>
        <v>0</v>
      </c>
      <c r="M181" s="170">
        <f t="shared" si="44"/>
        <v>0</v>
      </c>
      <c r="N181" s="82"/>
    </row>
    <row r="182" spans="1:14" s="174" customFormat="1">
      <c r="B182" s="23" t="s">
        <v>18</v>
      </c>
      <c r="C182" s="214">
        <v>0</v>
      </c>
      <c r="D182" s="214">
        <v>0</v>
      </c>
      <c r="E182" s="212">
        <f t="shared" si="39"/>
        <v>0</v>
      </c>
      <c r="F182" s="213">
        <f t="shared" si="45"/>
        <v>0</v>
      </c>
      <c r="G182" s="170">
        <f t="shared" si="40"/>
        <v>0</v>
      </c>
      <c r="H182" s="531">
        <f>ROUND(F182*'Actual Load'!$B$16/'Zonal Load'!$N$16,2)</f>
        <v>0</v>
      </c>
      <c r="I182" s="170">
        <f t="shared" si="41"/>
        <v>0</v>
      </c>
      <c r="J182" s="170">
        <f t="shared" si="42"/>
        <v>0</v>
      </c>
      <c r="K182" s="170">
        <f t="shared" si="43"/>
        <v>0</v>
      </c>
      <c r="L182" s="655">
        <f>E182*'Interest Over Collect'!J$5</f>
        <v>0</v>
      </c>
      <c r="M182" s="170">
        <f t="shared" si="44"/>
        <v>0</v>
      </c>
      <c r="N182" s="82"/>
    </row>
    <row r="183" spans="1:14" s="174" customFormat="1">
      <c r="B183" s="23" t="s">
        <v>19</v>
      </c>
      <c r="C183" s="214">
        <v>0</v>
      </c>
      <c r="D183" s="214">
        <v>0</v>
      </c>
      <c r="E183" s="212">
        <f t="shared" si="39"/>
        <v>0</v>
      </c>
      <c r="F183" s="213">
        <f t="shared" si="45"/>
        <v>0</v>
      </c>
      <c r="G183" s="170">
        <f t="shared" si="40"/>
        <v>0</v>
      </c>
      <c r="H183" s="531">
        <f>ROUND(F183*'Actual Load'!$B$22/'Zonal Load'!$N$22,2)</f>
        <v>0</v>
      </c>
      <c r="I183" s="170">
        <f t="shared" si="41"/>
        <v>0</v>
      </c>
      <c r="J183" s="170">
        <f t="shared" si="42"/>
        <v>0</v>
      </c>
      <c r="K183" s="170">
        <f t="shared" si="43"/>
        <v>0</v>
      </c>
      <c r="L183" s="655">
        <f>E183*'Interest Over Collect'!J$5</f>
        <v>0</v>
      </c>
      <c r="M183" s="170">
        <f t="shared" si="44"/>
        <v>0</v>
      </c>
      <c r="N183" s="82"/>
    </row>
    <row r="184" spans="1:14" s="174" customFormat="1">
      <c r="B184" s="23" t="s">
        <v>20</v>
      </c>
      <c r="C184" s="214">
        <v>0</v>
      </c>
      <c r="D184" s="214">
        <v>0</v>
      </c>
      <c r="E184" s="212">
        <f t="shared" si="39"/>
        <v>0</v>
      </c>
      <c r="F184" s="213">
        <f t="shared" si="45"/>
        <v>0</v>
      </c>
      <c r="G184" s="170">
        <f t="shared" si="40"/>
        <v>0</v>
      </c>
      <c r="H184" s="531">
        <f>ROUND(F184*'Actual Load'!$B$17/'Zonal Load'!$N$17,2)</f>
        <v>0</v>
      </c>
      <c r="I184" s="170">
        <f t="shared" si="41"/>
        <v>0</v>
      </c>
      <c r="J184" s="170">
        <f t="shared" si="42"/>
        <v>0</v>
      </c>
      <c r="K184" s="170">
        <f t="shared" si="43"/>
        <v>0</v>
      </c>
      <c r="L184" s="655">
        <f>E184*'Interest Over Collect'!J$5</f>
        <v>0</v>
      </c>
      <c r="M184" s="170">
        <f t="shared" si="44"/>
        <v>0</v>
      </c>
      <c r="N184" s="82"/>
    </row>
    <row r="185" spans="1:14" s="174" customFormat="1">
      <c r="B185" s="23" t="s">
        <v>21</v>
      </c>
      <c r="C185" s="214">
        <v>0</v>
      </c>
      <c r="D185" s="214">
        <v>0</v>
      </c>
      <c r="E185" s="212">
        <f t="shared" si="39"/>
        <v>0</v>
      </c>
      <c r="F185" s="213">
        <f t="shared" si="45"/>
        <v>0</v>
      </c>
      <c r="G185" s="170">
        <f t="shared" si="40"/>
        <v>0</v>
      </c>
      <c r="H185" s="531">
        <f>ROUND(F185*'Actual Load'!$B$15/'Zonal Load'!$N$15,2)</f>
        <v>0</v>
      </c>
      <c r="I185" s="170">
        <f t="shared" si="41"/>
        <v>0</v>
      </c>
      <c r="J185" s="170">
        <f t="shared" si="42"/>
        <v>0</v>
      </c>
      <c r="K185" s="170">
        <f t="shared" si="43"/>
        <v>0</v>
      </c>
      <c r="L185" s="655">
        <f>E185*'Interest Over Collect'!J$5</f>
        <v>0</v>
      </c>
      <c r="M185" s="170">
        <f t="shared" si="44"/>
        <v>0</v>
      </c>
      <c r="N185" s="82"/>
    </row>
    <row r="186" spans="1:14" s="174" customFormat="1">
      <c r="B186" s="23" t="s">
        <v>22</v>
      </c>
      <c r="C186" s="214">
        <v>0</v>
      </c>
      <c r="D186" s="214">
        <v>7.4411408941548038E-3</v>
      </c>
      <c r="E186" s="212">
        <f t="shared" si="39"/>
        <v>7.4411408941548038E-3</v>
      </c>
      <c r="F186" s="213">
        <f t="shared" si="45"/>
        <v>7835.96</v>
      </c>
      <c r="G186" s="170">
        <f t="shared" si="40"/>
        <v>186.73543073881481</v>
      </c>
      <c r="H186" s="531">
        <f>ROUND(F186*'Actual Load'!$B$4/'Zonal Load'!$N$4,2)</f>
        <v>7732.41</v>
      </c>
      <c r="I186" s="170">
        <f t="shared" si="41"/>
        <v>7815.36</v>
      </c>
      <c r="J186" s="170">
        <f t="shared" si="42"/>
        <v>-20.600000000000364</v>
      </c>
      <c r="K186" s="170">
        <f t="shared" si="43"/>
        <v>166.13543073881445</v>
      </c>
      <c r="L186" s="655">
        <f>E186*'Interest Over Collect'!J$5</f>
        <v>39.164956868204982</v>
      </c>
      <c r="M186" s="170">
        <f t="shared" si="44"/>
        <v>205.30038760701945</v>
      </c>
      <c r="N186" s="82"/>
    </row>
    <row r="187" spans="1:14" s="174" customFormat="1">
      <c r="B187" s="23" t="s">
        <v>23</v>
      </c>
      <c r="C187" s="214">
        <v>0</v>
      </c>
      <c r="D187" s="214">
        <v>0</v>
      </c>
      <c r="E187" s="212">
        <f t="shared" si="39"/>
        <v>0</v>
      </c>
      <c r="F187" s="213">
        <f t="shared" si="45"/>
        <v>0</v>
      </c>
      <c r="G187" s="170">
        <f t="shared" si="40"/>
        <v>0</v>
      </c>
      <c r="H187" s="531">
        <f>ROUND(F187*'Actual Load'!$B$11/'Zonal Load'!$N$11,2)</f>
        <v>0</v>
      </c>
      <c r="I187" s="170">
        <f t="shared" si="41"/>
        <v>0</v>
      </c>
      <c r="J187" s="170">
        <f t="shared" si="42"/>
        <v>0</v>
      </c>
      <c r="K187" s="170">
        <f t="shared" si="43"/>
        <v>0</v>
      </c>
      <c r="L187" s="655">
        <f>E187*'Interest Over Collect'!J$5</f>
        <v>0</v>
      </c>
      <c r="M187" s="170">
        <f t="shared" si="44"/>
        <v>0</v>
      </c>
      <c r="N187" s="82"/>
    </row>
    <row r="188" spans="1:14" s="174" customFormat="1">
      <c r="B188" s="23" t="s">
        <v>25</v>
      </c>
      <c r="C188" s="214">
        <v>0</v>
      </c>
      <c r="D188" s="214">
        <v>0</v>
      </c>
      <c r="E188" s="212">
        <f t="shared" si="39"/>
        <v>0</v>
      </c>
      <c r="F188" s="213">
        <f t="shared" si="45"/>
        <v>0</v>
      </c>
      <c r="G188" s="170">
        <f t="shared" si="40"/>
        <v>0</v>
      </c>
      <c r="H188" s="531">
        <f>ROUND(F188*'Actual Load'!$B$7/'Zonal Load'!$N$7,2)</f>
        <v>0</v>
      </c>
      <c r="I188" s="170">
        <f t="shared" si="41"/>
        <v>0</v>
      </c>
      <c r="J188" s="170">
        <f t="shared" si="42"/>
        <v>0</v>
      </c>
      <c r="K188" s="170">
        <f t="shared" si="43"/>
        <v>0</v>
      </c>
      <c r="L188" s="655">
        <f>E188*'Interest Over Collect'!J$5</f>
        <v>0</v>
      </c>
      <c r="M188" s="170">
        <f t="shared" si="44"/>
        <v>0</v>
      </c>
      <c r="N188" s="82"/>
    </row>
    <row r="189" spans="1:14" s="174" customFormat="1">
      <c r="B189" s="23" t="s">
        <v>24</v>
      </c>
      <c r="C189" s="214">
        <v>0</v>
      </c>
      <c r="D189" s="214">
        <v>0</v>
      </c>
      <c r="E189" s="212">
        <f t="shared" si="39"/>
        <v>0</v>
      </c>
      <c r="F189" s="213">
        <f t="shared" si="45"/>
        <v>0</v>
      </c>
      <c r="G189" s="170">
        <f t="shared" si="40"/>
        <v>0</v>
      </c>
      <c r="H189" s="531">
        <f>ROUND(F189*'Actual Load'!$B$6/'Zonal Load'!$N$6,2)</f>
        <v>0</v>
      </c>
      <c r="I189" s="170">
        <f t="shared" si="41"/>
        <v>0</v>
      </c>
      <c r="J189" s="170">
        <f t="shared" si="42"/>
        <v>0</v>
      </c>
      <c r="K189" s="170">
        <f t="shared" si="43"/>
        <v>0</v>
      </c>
      <c r="L189" s="655">
        <f>E189*'Interest Over Collect'!J$5</f>
        <v>0</v>
      </c>
      <c r="M189" s="170">
        <f t="shared" si="44"/>
        <v>0</v>
      </c>
      <c r="N189" s="82"/>
    </row>
    <row r="190" spans="1:14" s="174" customFormat="1">
      <c r="B190" s="23" t="s">
        <v>116</v>
      </c>
      <c r="C190" s="214">
        <v>0</v>
      </c>
      <c r="D190" s="214">
        <v>0</v>
      </c>
      <c r="E190" s="212">
        <f t="shared" si="39"/>
        <v>0</v>
      </c>
      <c r="F190" s="213">
        <f t="shared" si="45"/>
        <v>0</v>
      </c>
      <c r="G190" s="170">
        <f t="shared" si="40"/>
        <v>0</v>
      </c>
      <c r="H190" s="531">
        <f>ROUND(F190*'Actual Load'!$B$18/'Zonal Load'!$N$18,2)</f>
        <v>0</v>
      </c>
      <c r="I190" s="170">
        <f t="shared" si="41"/>
        <v>0</v>
      </c>
      <c r="J190" s="170">
        <f t="shared" si="42"/>
        <v>0</v>
      </c>
      <c r="K190" s="170">
        <f t="shared" si="43"/>
        <v>0</v>
      </c>
      <c r="L190" s="655">
        <f>E190*'Interest Over Collect'!J$5</f>
        <v>0</v>
      </c>
      <c r="M190" s="170">
        <f t="shared" si="44"/>
        <v>0</v>
      </c>
      <c r="N190" s="82"/>
    </row>
    <row r="191" spans="1:14" s="174" customFormat="1">
      <c r="B191" s="23" t="s">
        <v>117</v>
      </c>
      <c r="C191" s="214">
        <v>0</v>
      </c>
      <c r="D191" s="214">
        <v>0</v>
      </c>
      <c r="E191" s="212">
        <f t="shared" si="39"/>
        <v>0</v>
      </c>
      <c r="F191" s="213">
        <f t="shared" si="45"/>
        <v>0</v>
      </c>
      <c r="G191" s="170">
        <f t="shared" si="40"/>
        <v>0</v>
      </c>
      <c r="H191" s="531">
        <f>ROUND(F191*'Actual Load'!$B$17/'Zonal Load'!$N$17,2)</f>
        <v>0</v>
      </c>
      <c r="I191" s="170">
        <f t="shared" si="41"/>
        <v>0</v>
      </c>
      <c r="J191" s="170">
        <f t="shared" si="42"/>
        <v>0</v>
      </c>
      <c r="K191" s="170">
        <f t="shared" si="43"/>
        <v>0</v>
      </c>
      <c r="L191" s="655">
        <f>E191*'Interest Over Collect'!J$5</f>
        <v>0</v>
      </c>
      <c r="M191" s="170">
        <f t="shared" si="44"/>
        <v>0</v>
      </c>
      <c r="N191" s="82"/>
    </row>
    <row r="192" spans="1:14" s="174" customFormat="1">
      <c r="B192" s="23" t="s">
        <v>26</v>
      </c>
      <c r="C192" s="214">
        <v>0</v>
      </c>
      <c r="D192" s="214">
        <v>0</v>
      </c>
      <c r="E192" s="212">
        <f t="shared" si="39"/>
        <v>0</v>
      </c>
      <c r="F192" s="213">
        <f t="shared" si="45"/>
        <v>0</v>
      </c>
      <c r="G192" s="170">
        <f t="shared" si="40"/>
        <v>0</v>
      </c>
      <c r="H192" s="531">
        <f>ROUND(F192*'Actual Load'!$B$12/'Zonal Load'!$N$12,2)</f>
        <v>0</v>
      </c>
      <c r="I192" s="170">
        <f t="shared" si="41"/>
        <v>0</v>
      </c>
      <c r="J192" s="170">
        <f t="shared" si="42"/>
        <v>0</v>
      </c>
      <c r="K192" s="170">
        <f t="shared" si="43"/>
        <v>0</v>
      </c>
      <c r="L192" s="655">
        <f>E192*'Interest Over Collect'!J$5</f>
        <v>0</v>
      </c>
      <c r="M192" s="170">
        <f t="shared" si="44"/>
        <v>0</v>
      </c>
      <c r="N192" s="82"/>
    </row>
    <row r="193" spans="1:15" s="174" customFormat="1">
      <c r="B193" s="23" t="s">
        <v>27</v>
      </c>
      <c r="C193" s="214">
        <v>0</v>
      </c>
      <c r="D193" s="214">
        <v>0</v>
      </c>
      <c r="E193" s="212">
        <f t="shared" si="39"/>
        <v>0</v>
      </c>
      <c r="F193" s="213">
        <f t="shared" si="45"/>
        <v>0</v>
      </c>
      <c r="G193" s="170">
        <f t="shared" si="40"/>
        <v>0</v>
      </c>
      <c r="H193" s="531">
        <f>ROUND(F193*'Actual Load'!$B$24/'Zonal Load'!$N$24,2)</f>
        <v>0</v>
      </c>
      <c r="I193" s="170">
        <f t="shared" si="41"/>
        <v>0</v>
      </c>
      <c r="J193" s="170">
        <f t="shared" si="42"/>
        <v>0</v>
      </c>
      <c r="K193" s="170">
        <f t="shared" si="43"/>
        <v>0</v>
      </c>
      <c r="L193" s="655">
        <f>E193*'Interest Over Collect'!J$5</f>
        <v>0</v>
      </c>
      <c r="M193" s="170">
        <f t="shared" si="44"/>
        <v>0</v>
      </c>
      <c r="N193" s="82"/>
    </row>
    <row r="194" spans="1:15" s="174" customFormat="1">
      <c r="B194" s="23" t="s">
        <v>28</v>
      </c>
      <c r="C194" s="214">
        <v>0</v>
      </c>
      <c r="D194" s="214">
        <v>0</v>
      </c>
      <c r="E194" s="212">
        <f t="shared" si="39"/>
        <v>0</v>
      </c>
      <c r="F194" s="213">
        <f t="shared" si="45"/>
        <v>0</v>
      </c>
      <c r="G194" s="170">
        <f t="shared" si="40"/>
        <v>0</v>
      </c>
      <c r="H194" s="531">
        <f>ROUND(F194*'Actual Load'!$B$5/'Zonal Load'!$N$5,2)</f>
        <v>0</v>
      </c>
      <c r="I194" s="170">
        <f t="shared" si="41"/>
        <v>0</v>
      </c>
      <c r="J194" s="170">
        <f t="shared" si="42"/>
        <v>0</v>
      </c>
      <c r="K194" s="170">
        <f t="shared" si="43"/>
        <v>0</v>
      </c>
      <c r="L194" s="655">
        <f>E194*'Interest Over Collect'!J$5</f>
        <v>0</v>
      </c>
      <c r="M194" s="170">
        <f t="shared" si="44"/>
        <v>0</v>
      </c>
      <c r="N194" s="82"/>
    </row>
    <row r="195" spans="1:15" s="174" customFormat="1">
      <c r="B195" s="23" t="s">
        <v>29</v>
      </c>
      <c r="C195" s="214">
        <v>0</v>
      </c>
      <c r="D195" s="214">
        <v>0.67956590272712492</v>
      </c>
      <c r="E195" s="212">
        <f t="shared" si="39"/>
        <v>0.67956590272712492</v>
      </c>
      <c r="F195" s="213">
        <f t="shared" si="45"/>
        <v>715622.99</v>
      </c>
      <c r="G195" s="170">
        <f t="shared" si="40"/>
        <v>17053.706328937198</v>
      </c>
      <c r="H195" s="531">
        <f>ROUND(F195*'Actual Load'!$B$21/'Zonal Load'!$N$21,2)</f>
        <v>685764.56</v>
      </c>
      <c r="I195" s="170">
        <f t="shared" si="41"/>
        <v>693121.57</v>
      </c>
      <c r="J195" s="170">
        <f t="shared" si="42"/>
        <v>-22501.420000000042</v>
      </c>
      <c r="K195" s="170">
        <f t="shared" si="43"/>
        <v>-5447.7136710628438</v>
      </c>
      <c r="L195" s="655">
        <f>E195*'Interest Over Collect'!J$5</f>
        <v>3576.7592158236766</v>
      </c>
      <c r="M195" s="170">
        <f t="shared" si="44"/>
        <v>-1870.9544552391671</v>
      </c>
      <c r="N195" s="82"/>
    </row>
    <row r="196" spans="1:15" s="174" customFormat="1">
      <c r="B196" s="23" t="s">
        <v>30</v>
      </c>
      <c r="C196" s="214">
        <v>0</v>
      </c>
      <c r="D196" s="214">
        <v>0.23157897820245948</v>
      </c>
      <c r="E196" s="212">
        <f t="shared" si="39"/>
        <v>0.23157897820245948</v>
      </c>
      <c r="F196" s="213">
        <f t="shared" si="45"/>
        <v>243866.33</v>
      </c>
      <c r="G196" s="170">
        <f t="shared" si="40"/>
        <v>5811.474457990721</v>
      </c>
      <c r="H196" s="531">
        <f>ROUND(F196*'Actual Load'!$B$19/'Zonal Load'!$N$19,2)</f>
        <v>237131.27</v>
      </c>
      <c r="I196" s="170">
        <f t="shared" si="41"/>
        <v>239675.26</v>
      </c>
      <c r="J196" s="170">
        <f t="shared" si="42"/>
        <v>-4191.0699999999779</v>
      </c>
      <c r="K196" s="170">
        <f t="shared" si="43"/>
        <v>1620.4044579907431</v>
      </c>
      <c r="L196" s="655">
        <f>E196*'Interest Over Collect'!J$5</f>
        <v>1218.869635973005</v>
      </c>
      <c r="M196" s="170">
        <f t="shared" si="44"/>
        <v>2839.2740939637479</v>
      </c>
      <c r="N196" s="82"/>
    </row>
    <row r="197" spans="1:15" s="174" customFormat="1">
      <c r="B197" s="23" t="s">
        <v>31</v>
      </c>
      <c r="C197" s="214">
        <v>0</v>
      </c>
      <c r="D197" s="214">
        <v>0</v>
      </c>
      <c r="E197" s="212">
        <f t="shared" si="39"/>
        <v>0</v>
      </c>
      <c r="F197" s="213">
        <f t="shared" si="45"/>
        <v>0</v>
      </c>
      <c r="G197" s="170">
        <f t="shared" si="40"/>
        <v>0</v>
      </c>
      <c r="H197" s="531">
        <f>ROUND(F197*'Actual Load'!$B$25/'Zonal Load'!$N$25,2)</f>
        <v>0</v>
      </c>
      <c r="I197" s="170">
        <f t="shared" si="41"/>
        <v>0</v>
      </c>
      <c r="J197" s="170">
        <f t="shared" si="42"/>
        <v>0</v>
      </c>
      <c r="K197" s="170">
        <f t="shared" si="43"/>
        <v>0</v>
      </c>
      <c r="L197" s="655">
        <f>E197*'Interest Over Collect'!J$5</f>
        <v>0</v>
      </c>
      <c r="M197" s="170">
        <f t="shared" si="44"/>
        <v>0</v>
      </c>
      <c r="N197" s="82"/>
    </row>
    <row r="198" spans="1:15" s="174" customFormat="1">
      <c r="B198" s="23" t="s">
        <v>32</v>
      </c>
      <c r="C198" s="214">
        <v>0</v>
      </c>
      <c r="D198" s="214">
        <v>1.7283777376873782E-2</v>
      </c>
      <c r="E198" s="212">
        <f t="shared" si="39"/>
        <v>1.7283777376873782E-2</v>
      </c>
      <c r="F198" s="213">
        <f t="shared" si="45"/>
        <v>18200.84</v>
      </c>
      <c r="G198" s="170">
        <f t="shared" si="40"/>
        <v>433.73639327264755</v>
      </c>
      <c r="H198" s="531">
        <f>ROUND(F198*'Actual Load'!$B$13/'Zonal Load'!$N$13,2)</f>
        <v>17459.95</v>
      </c>
      <c r="I198" s="170">
        <f t="shared" si="41"/>
        <v>17647.259999999998</v>
      </c>
      <c r="J198" s="170">
        <f t="shared" si="42"/>
        <v>-553.58000000000175</v>
      </c>
      <c r="K198" s="170">
        <f t="shared" si="43"/>
        <v>-119.8436067273542</v>
      </c>
      <c r="L198" s="655">
        <f>E198*'Interest Over Collect'!J$5</f>
        <v>90.969705467699782</v>
      </c>
      <c r="M198" s="170">
        <f t="shared" si="44"/>
        <v>-28.873901259654417</v>
      </c>
      <c r="N198" s="82"/>
    </row>
    <row r="199" spans="1:15" s="174" customFormat="1">
      <c r="B199" s="23" t="s">
        <v>33</v>
      </c>
      <c r="C199" s="214">
        <v>0</v>
      </c>
      <c r="D199" s="214">
        <v>6.4130200799386874E-2</v>
      </c>
      <c r="E199" s="212">
        <f t="shared" si="39"/>
        <v>6.4130200799386874E-2</v>
      </c>
      <c r="F199" s="213">
        <f t="shared" si="45"/>
        <v>67532.89</v>
      </c>
      <c r="G199" s="170">
        <f t="shared" si="40"/>
        <v>1609.3473890606135</v>
      </c>
      <c r="H199" s="531">
        <f>ROUND(F199*'Actual Load'!$B$23/'Zonal Load'!$N$23,2)</f>
        <v>91891.05</v>
      </c>
      <c r="I199" s="170">
        <f t="shared" si="41"/>
        <v>92876.87</v>
      </c>
      <c r="J199" s="170">
        <f t="shared" si="42"/>
        <v>25343.979999999996</v>
      </c>
      <c r="K199" s="170">
        <f t="shared" si="43"/>
        <v>26953.327389060611</v>
      </c>
      <c r="L199" s="655">
        <f>E199*'Interest Over Collect'!J$5</f>
        <v>337.53648586741292</v>
      </c>
      <c r="M199" s="170">
        <f t="shared" si="44"/>
        <v>27290.863874928022</v>
      </c>
      <c r="N199" s="82"/>
    </row>
    <row r="200" spans="1:15" s="174" customFormat="1">
      <c r="B200" s="23" t="s">
        <v>34</v>
      </c>
      <c r="C200" s="214">
        <v>0</v>
      </c>
      <c r="D200" s="214">
        <v>0</v>
      </c>
      <c r="E200" s="212">
        <f t="shared" si="39"/>
        <v>0</v>
      </c>
      <c r="F200" s="213">
        <f t="shared" si="45"/>
        <v>0</v>
      </c>
      <c r="G200" s="170">
        <f t="shared" si="40"/>
        <v>0</v>
      </c>
      <c r="H200" s="531">
        <f>ROUND(F200*'Actual Load'!$B$20/'Zonal Load'!$N$20,2)</f>
        <v>0</v>
      </c>
      <c r="I200" s="170">
        <f t="shared" si="41"/>
        <v>0</v>
      </c>
      <c r="J200" s="170">
        <f t="shared" si="42"/>
        <v>0</v>
      </c>
      <c r="K200" s="170">
        <f t="shared" si="43"/>
        <v>0</v>
      </c>
      <c r="L200" s="655">
        <f>E200*'Interest Over Collect'!J$5</f>
        <v>0</v>
      </c>
      <c r="M200" s="170">
        <f t="shared" si="44"/>
        <v>0</v>
      </c>
      <c r="N200" s="82"/>
    </row>
    <row r="201" spans="1:15">
      <c r="B201" s="25"/>
      <c r="C201" s="26">
        <f t="shared" ref="C201:M201" si="46">SUM(C177:C200)</f>
        <v>0</v>
      </c>
      <c r="D201" s="27">
        <f t="shared" si="46"/>
        <v>0.99999999999999989</v>
      </c>
      <c r="E201" s="94">
        <f t="shared" si="46"/>
        <v>0.99999999999999989</v>
      </c>
      <c r="F201" s="90">
        <f t="shared" si="46"/>
        <v>1053059.0099999998</v>
      </c>
      <c r="G201" s="76">
        <f t="shared" si="46"/>
        <v>25094.999999999996</v>
      </c>
      <c r="H201" s="131">
        <f t="shared" si="46"/>
        <v>1039979.2400000001</v>
      </c>
      <c r="I201" s="77">
        <f t="shared" si="46"/>
        <v>1051136.3199999998</v>
      </c>
      <c r="J201" s="77">
        <f t="shared" si="46"/>
        <v>-1922.6900000000242</v>
      </c>
      <c r="K201" s="563">
        <f t="shared" si="46"/>
        <v>23172.309999999969</v>
      </c>
      <c r="L201" s="656">
        <f t="shared" si="46"/>
        <v>5263.2999999999993</v>
      </c>
      <c r="M201" s="77">
        <f t="shared" si="46"/>
        <v>28435.609999999968</v>
      </c>
    </row>
    <row r="202" spans="1:15" s="82" customFormat="1">
      <c r="A202" s="163"/>
      <c r="F202" s="568" t="s">
        <v>623</v>
      </c>
      <c r="G202" s="21"/>
      <c r="H202" s="133"/>
      <c r="I202" s="569" t="s">
        <v>621</v>
      </c>
      <c r="J202" s="570" t="s">
        <v>622</v>
      </c>
      <c r="O202" s="163"/>
    </row>
    <row r="203" spans="1:15" s="82" customFormat="1">
      <c r="A203" s="163"/>
      <c r="E203" s="479" t="s">
        <v>610</v>
      </c>
      <c r="F203" s="168">
        <f>ROUND((I203*M$884)+(J203*M$888),0)</f>
        <v>1053059</v>
      </c>
      <c r="H203" s="134"/>
      <c r="I203" s="571">
        <v>1070030.6504365916</v>
      </c>
      <c r="J203" s="571">
        <v>996271.86328815459</v>
      </c>
      <c r="L203" s="81"/>
      <c r="O203" s="163"/>
    </row>
    <row r="204" spans="1:15" s="82" customFormat="1" ht="15.75" customHeight="1">
      <c r="A204" s="163"/>
      <c r="B204" s="61"/>
      <c r="C204" s="61"/>
      <c r="D204" s="61"/>
      <c r="E204" s="480" t="s">
        <v>611</v>
      </c>
      <c r="F204" s="169">
        <f>ROUND((I204*M$884)+(J204*M$888),0)</f>
        <v>1027964</v>
      </c>
      <c r="G204" s="528">
        <f>F203-F204</f>
        <v>25095</v>
      </c>
      <c r="H204" s="529"/>
      <c r="I204" s="572">
        <f>'Att GG at 12.38 '!N76</f>
        <v>1044561.0820909298</v>
      </c>
      <c r="J204" s="572">
        <f>'Att GG at 10.82'!N76</f>
        <v>972430.74061402155</v>
      </c>
      <c r="L204" s="174"/>
    </row>
    <row r="205" spans="1:15" s="82" customFormat="1" ht="15.75" customHeight="1">
      <c r="A205" s="163"/>
      <c r="B205" s="61"/>
      <c r="C205" s="61"/>
      <c r="D205" s="61"/>
      <c r="E205" s="91" t="s">
        <v>153</v>
      </c>
      <c r="F205" s="175">
        <f>I201</f>
        <v>1051136.3199999998</v>
      </c>
      <c r="G205" s="528">
        <f>F205-F203</f>
        <v>-1922.6800000001676</v>
      </c>
      <c r="H205" s="530"/>
      <c r="J205" s="106"/>
      <c r="K205" s="86"/>
      <c r="L205" s="644"/>
      <c r="M205" s="86"/>
    </row>
    <row r="206" spans="1:15" s="82" customFormat="1">
      <c r="A206" s="163"/>
      <c r="G206" s="528">
        <f>G204+G205</f>
        <v>23172.319999999832</v>
      </c>
      <c r="H206" s="529">
        <f>F205-F204</f>
        <v>23172.319999999832</v>
      </c>
      <c r="J206" s="106"/>
      <c r="K206" s="86"/>
      <c r="L206" s="86"/>
      <c r="M206" s="86"/>
    </row>
    <row r="207" spans="1:15">
      <c r="B207" s="79"/>
      <c r="C207" s="79"/>
      <c r="D207" s="79"/>
      <c r="E207" s="79"/>
      <c r="F207" s="79"/>
      <c r="G207" s="79"/>
      <c r="H207" s="79"/>
      <c r="I207" s="79"/>
      <c r="J207" s="79"/>
      <c r="K207" s="79"/>
      <c r="L207" s="79"/>
      <c r="M207" s="79"/>
    </row>
    <row r="209" spans="1:14" ht="15.75" customHeight="1">
      <c r="B209" s="541" t="s">
        <v>0</v>
      </c>
      <c r="C209" s="692" t="s">
        <v>680</v>
      </c>
      <c r="D209" s="693"/>
      <c r="E209" s="693"/>
      <c r="F209" s="693"/>
      <c r="G209" s="693"/>
      <c r="H209" s="694"/>
      <c r="I209" s="1"/>
    </row>
    <row r="210" spans="1:14" ht="15.75" customHeight="1">
      <c r="B210" s="69" t="s">
        <v>1</v>
      </c>
      <c r="C210" s="666" t="s">
        <v>131</v>
      </c>
      <c r="D210" s="687"/>
      <c r="E210" s="687"/>
      <c r="F210" s="687"/>
      <c r="G210" s="687"/>
      <c r="H210" s="688"/>
      <c r="I210" s="1"/>
    </row>
    <row r="211" spans="1:14" ht="15.75" customHeight="1">
      <c r="B211" s="69" t="s">
        <v>3</v>
      </c>
      <c r="C211" s="666" t="s">
        <v>132</v>
      </c>
      <c r="D211" s="687"/>
      <c r="E211" s="687"/>
      <c r="F211" s="687"/>
      <c r="G211" s="687"/>
      <c r="H211" s="688"/>
      <c r="I211" s="1"/>
    </row>
    <row r="212" spans="1:14" ht="15.75" customHeight="1">
      <c r="B212" s="70" t="s">
        <v>5</v>
      </c>
      <c r="C212" s="698" t="s">
        <v>133</v>
      </c>
      <c r="D212" s="690"/>
      <c r="E212" s="690"/>
      <c r="F212" s="690"/>
      <c r="G212" s="690"/>
      <c r="H212" s="691"/>
      <c r="I212" s="1"/>
    </row>
    <row r="213" spans="1:14">
      <c r="B213" s="74"/>
      <c r="C213" s="74"/>
      <c r="D213" s="74"/>
      <c r="E213" s="74"/>
      <c r="F213" s="74"/>
      <c r="J213" s="99" t="s">
        <v>155</v>
      </c>
      <c r="K213" s="3" t="s">
        <v>40</v>
      </c>
      <c r="M213" s="3" t="s">
        <v>54</v>
      </c>
    </row>
    <row r="214" spans="1:14">
      <c r="B214" s="74"/>
      <c r="C214" s="74"/>
      <c r="D214" s="74"/>
      <c r="E214" s="74"/>
      <c r="F214" s="74"/>
      <c r="G214" s="3" t="s">
        <v>37</v>
      </c>
      <c r="H214" s="127" t="s">
        <v>38</v>
      </c>
      <c r="I214" s="92" t="s">
        <v>39</v>
      </c>
      <c r="J214" s="100" t="s">
        <v>156</v>
      </c>
      <c r="K214" s="4" t="s">
        <v>157</v>
      </c>
      <c r="L214" s="4" t="s">
        <v>53</v>
      </c>
      <c r="M214" s="4" t="s">
        <v>158</v>
      </c>
      <c r="N214" s="191"/>
    </row>
    <row r="215" spans="1:14">
      <c r="B215" s="74"/>
      <c r="C215" s="74"/>
      <c r="D215" s="74"/>
      <c r="E215" s="74"/>
      <c r="F215" s="74"/>
      <c r="G215" s="5"/>
      <c r="H215" s="662" t="s">
        <v>41</v>
      </c>
      <c r="I215" s="663"/>
      <c r="J215" s="664"/>
      <c r="K215" s="6" t="s">
        <v>42</v>
      </c>
      <c r="L215" s="5"/>
      <c r="M215" s="6" t="s">
        <v>43</v>
      </c>
      <c r="N215" s="191"/>
    </row>
    <row r="216" spans="1:14">
      <c r="B216" s="75"/>
      <c r="C216" s="7">
        <v>0</v>
      </c>
      <c r="D216" s="7">
        <v>1</v>
      </c>
      <c r="E216" s="7"/>
      <c r="F216" s="87" t="s">
        <v>154</v>
      </c>
      <c r="G216" s="8" t="s">
        <v>44</v>
      </c>
      <c r="H216" s="128"/>
      <c r="I216" s="5"/>
      <c r="J216" s="101" t="s">
        <v>45</v>
      </c>
      <c r="K216" s="8" t="s">
        <v>46</v>
      </c>
      <c r="L216" s="9"/>
      <c r="M216" s="8" t="s">
        <v>47</v>
      </c>
    </row>
    <row r="217" spans="1:14">
      <c r="B217" s="10"/>
      <c r="C217" s="68" t="s">
        <v>8</v>
      </c>
      <c r="D217" s="68" t="s">
        <v>9</v>
      </c>
      <c r="E217" s="68" t="s">
        <v>10</v>
      </c>
      <c r="F217" s="88" t="s">
        <v>7</v>
      </c>
      <c r="G217" s="11" t="s">
        <v>48</v>
      </c>
      <c r="H217" s="129" t="s">
        <v>49</v>
      </c>
      <c r="I217" s="12" t="s">
        <v>152</v>
      </c>
      <c r="J217" s="102" t="s">
        <v>48</v>
      </c>
      <c r="K217" s="12" t="s">
        <v>48</v>
      </c>
      <c r="L217" s="12" t="s">
        <v>50</v>
      </c>
      <c r="M217" s="12" t="s">
        <v>51</v>
      </c>
    </row>
    <row r="218" spans="1:14" ht="31.5">
      <c r="B218" s="13" t="s">
        <v>12</v>
      </c>
      <c r="C218" s="14" t="s">
        <v>13</v>
      </c>
      <c r="D218" s="14" t="s">
        <v>13</v>
      </c>
      <c r="E218" s="15" t="s">
        <v>13</v>
      </c>
      <c r="F218" s="89" t="s">
        <v>14</v>
      </c>
      <c r="G218" s="16" t="s">
        <v>52</v>
      </c>
      <c r="H218" s="130"/>
      <c r="I218" s="17"/>
      <c r="J218" s="103" t="s">
        <v>52</v>
      </c>
      <c r="K218" s="17"/>
      <c r="L218" s="17"/>
      <c r="M218" s="16" t="s">
        <v>52</v>
      </c>
    </row>
    <row r="219" spans="1:14" s="174" customFormat="1">
      <c r="B219" s="18" t="s">
        <v>15</v>
      </c>
      <c r="C219" s="211">
        <v>0</v>
      </c>
      <c r="D219" s="214">
        <v>0</v>
      </c>
      <c r="E219" s="212">
        <f t="shared" ref="E219:E240" si="47">C219+D219</f>
        <v>0</v>
      </c>
      <c r="F219" s="215">
        <f>ROUND(+E219*F$243,2)</f>
        <v>0</v>
      </c>
      <c r="G219" s="170">
        <f t="shared" ref="G219:G240" si="48">(F$243-F$244)*E219</f>
        <v>0</v>
      </c>
      <c r="H219" s="531">
        <f>ROUND(F219*'Actual Load'!$B$8/'Zonal Load'!$N$8,2)</f>
        <v>0</v>
      </c>
      <c r="I219" s="170">
        <f t="shared" ref="I219:I240" si="49">ROUND((H219*$H$912)/$H$910,2)</f>
        <v>0</v>
      </c>
      <c r="J219" s="170">
        <f t="shared" ref="J219:J240" si="50">I219-F219</f>
        <v>0</v>
      </c>
      <c r="K219" s="170">
        <f t="shared" ref="K219:K240" si="51">+G219+J219</f>
        <v>0</v>
      </c>
      <c r="L219" s="655">
        <f>E219*'Interest Over Collect'!J$6</f>
        <v>0</v>
      </c>
      <c r="M219" s="170">
        <f t="shared" ref="M219:M226" si="52">+K219+L219</f>
        <v>0</v>
      </c>
      <c r="N219" s="82"/>
    </row>
    <row r="220" spans="1:14" s="174" customFormat="1">
      <c r="B220" s="23" t="s">
        <v>16</v>
      </c>
      <c r="C220" s="211">
        <v>0</v>
      </c>
      <c r="D220" s="214">
        <v>0</v>
      </c>
      <c r="E220" s="212">
        <f t="shared" si="47"/>
        <v>0</v>
      </c>
      <c r="F220" s="213">
        <f>ROUND(+E220*F$243,2)</f>
        <v>0</v>
      </c>
      <c r="G220" s="170">
        <f t="shared" si="48"/>
        <v>0</v>
      </c>
      <c r="H220" s="531">
        <f>ROUND(F220*'Actual Load'!$B$14/'Zonal Load'!$N$14,2)</f>
        <v>0</v>
      </c>
      <c r="I220" s="170">
        <f t="shared" si="49"/>
        <v>0</v>
      </c>
      <c r="J220" s="170">
        <f t="shared" si="50"/>
        <v>0</v>
      </c>
      <c r="K220" s="170">
        <f t="shared" si="51"/>
        <v>0</v>
      </c>
      <c r="L220" s="655">
        <f>E220*'Interest Over Collect'!J$6</f>
        <v>0</v>
      </c>
      <c r="M220" s="170">
        <f t="shared" si="52"/>
        <v>0</v>
      </c>
      <c r="N220" s="82"/>
    </row>
    <row r="221" spans="1:14" s="174" customFormat="1">
      <c r="B221" s="23" t="s">
        <v>190</v>
      </c>
      <c r="C221" s="211">
        <f>0%*0.421</f>
        <v>0</v>
      </c>
      <c r="D221" s="214">
        <f>0%*0.421</f>
        <v>0</v>
      </c>
      <c r="E221" s="212">
        <f t="shared" si="47"/>
        <v>0</v>
      </c>
      <c r="F221" s="213">
        <f t="shared" ref="F221:F240" si="53">ROUND(+E221*F$243,2)</f>
        <v>0</v>
      </c>
      <c r="G221" s="170">
        <f t="shared" si="48"/>
        <v>0</v>
      </c>
      <c r="H221" s="531">
        <f>ROUND(F221*'Actual Load'!$B$9/'Zonal Load'!$N$9,2)</f>
        <v>0</v>
      </c>
      <c r="I221" s="170">
        <f t="shared" si="49"/>
        <v>0</v>
      </c>
      <c r="J221" s="170">
        <f t="shared" si="50"/>
        <v>0</v>
      </c>
      <c r="K221" s="170">
        <f t="shared" si="51"/>
        <v>0</v>
      </c>
      <c r="L221" s="655">
        <f>E221*'Interest Over Collect'!J$6</f>
        <v>0</v>
      </c>
      <c r="M221" s="170">
        <f t="shared" si="52"/>
        <v>0</v>
      </c>
      <c r="N221" s="82"/>
    </row>
    <row r="222" spans="1:14" s="174" customFormat="1">
      <c r="B222" s="125" t="s">
        <v>249</v>
      </c>
      <c r="C222" s="211">
        <f>0%*0.579</f>
        <v>0</v>
      </c>
      <c r="D222" s="214">
        <f>0%*0.579</f>
        <v>0</v>
      </c>
      <c r="E222" s="212">
        <f>C222+D222</f>
        <v>0</v>
      </c>
      <c r="F222" s="213">
        <f t="shared" si="53"/>
        <v>0</v>
      </c>
      <c r="G222" s="170">
        <f>(F$243-F$244)*E222</f>
        <v>0</v>
      </c>
      <c r="H222" s="531">
        <f>ROUND(F222*'Actual Load'!$B$10/'Zonal Load'!$N$10,2)</f>
        <v>0</v>
      </c>
      <c r="I222" s="170">
        <f t="shared" si="49"/>
        <v>0</v>
      </c>
      <c r="J222" s="170">
        <f>I222-F222</f>
        <v>0</v>
      </c>
      <c r="K222" s="170">
        <f>+G222+J222</f>
        <v>0</v>
      </c>
      <c r="L222" s="655">
        <f>E222*'Interest Over Collect'!J$6</f>
        <v>0</v>
      </c>
      <c r="M222" s="170">
        <f>+K222+L222</f>
        <v>0</v>
      </c>
      <c r="N222" s="82"/>
    </row>
    <row r="223" spans="1:14" s="174" customFormat="1">
      <c r="B223" s="23" t="s">
        <v>17</v>
      </c>
      <c r="C223" s="211">
        <v>0</v>
      </c>
      <c r="D223" s="214">
        <v>0</v>
      </c>
      <c r="E223" s="212">
        <f t="shared" si="47"/>
        <v>0</v>
      </c>
      <c r="F223" s="213">
        <f t="shared" si="53"/>
        <v>0</v>
      </c>
      <c r="G223" s="170">
        <f t="shared" si="48"/>
        <v>0</v>
      </c>
      <c r="H223" s="531">
        <f>ROUND(F223*'Actual Load'!$B$26/'Zonal Load'!$N$26,2)</f>
        <v>0</v>
      </c>
      <c r="I223" s="170">
        <f t="shared" si="49"/>
        <v>0</v>
      </c>
      <c r="J223" s="170">
        <f t="shared" si="50"/>
        <v>0</v>
      </c>
      <c r="K223" s="170">
        <f t="shared" si="51"/>
        <v>0</v>
      </c>
      <c r="L223" s="655">
        <f>E223*'Interest Over Collect'!J$6</f>
        <v>0</v>
      </c>
      <c r="M223" s="170">
        <f t="shared" si="52"/>
        <v>0</v>
      </c>
      <c r="N223" s="82"/>
    </row>
    <row r="224" spans="1:14" s="174" customFormat="1">
      <c r="B224" s="23" t="s">
        <v>18</v>
      </c>
      <c r="C224" s="211">
        <v>0</v>
      </c>
      <c r="D224" s="214">
        <v>0</v>
      </c>
      <c r="E224" s="212">
        <f t="shared" si="47"/>
        <v>0</v>
      </c>
      <c r="F224" s="213">
        <f t="shared" si="53"/>
        <v>0</v>
      </c>
      <c r="G224" s="170">
        <f t="shared" si="48"/>
        <v>0</v>
      </c>
      <c r="H224" s="531">
        <f>ROUND(F224*'Actual Load'!$B$16/'Zonal Load'!$N$16,2)</f>
        <v>0</v>
      </c>
      <c r="I224" s="170">
        <f t="shared" si="49"/>
        <v>0</v>
      </c>
      <c r="J224" s="170">
        <f t="shared" si="50"/>
        <v>0</v>
      </c>
      <c r="K224" s="170">
        <f t="shared" si="51"/>
        <v>0</v>
      </c>
      <c r="L224" s="655">
        <f>E224*'Interest Over Collect'!J$6</f>
        <v>0</v>
      </c>
      <c r="M224" s="170">
        <f t="shared" si="52"/>
        <v>0</v>
      </c>
      <c r="N224" s="82"/>
    </row>
    <row r="225" spans="2:14" s="174" customFormat="1">
      <c r="B225" s="23" t="s">
        <v>19</v>
      </c>
      <c r="C225" s="211">
        <v>0</v>
      </c>
      <c r="D225" s="214">
        <v>0</v>
      </c>
      <c r="E225" s="212">
        <f t="shared" si="47"/>
        <v>0</v>
      </c>
      <c r="F225" s="213">
        <f t="shared" si="53"/>
        <v>0</v>
      </c>
      <c r="G225" s="170">
        <f t="shared" si="48"/>
        <v>0</v>
      </c>
      <c r="H225" s="531">
        <f>ROUND(F225*'Actual Load'!$B$22/'Zonal Load'!$N$22,2)</f>
        <v>0</v>
      </c>
      <c r="I225" s="170">
        <f t="shared" si="49"/>
        <v>0</v>
      </c>
      <c r="J225" s="170">
        <f t="shared" si="50"/>
        <v>0</v>
      </c>
      <c r="K225" s="170">
        <f t="shared" si="51"/>
        <v>0</v>
      </c>
      <c r="L225" s="655">
        <f>E225*'Interest Over Collect'!J$6</f>
        <v>0</v>
      </c>
      <c r="M225" s="170">
        <f t="shared" si="52"/>
        <v>0</v>
      </c>
      <c r="N225" s="82"/>
    </row>
    <row r="226" spans="2:14" s="174" customFormat="1">
      <c r="B226" s="23" t="s">
        <v>20</v>
      </c>
      <c r="C226" s="211">
        <v>0</v>
      </c>
      <c r="D226" s="214">
        <v>0</v>
      </c>
      <c r="E226" s="212">
        <f t="shared" si="47"/>
        <v>0</v>
      </c>
      <c r="F226" s="213">
        <f t="shared" si="53"/>
        <v>0</v>
      </c>
      <c r="G226" s="170">
        <f t="shared" si="48"/>
        <v>0</v>
      </c>
      <c r="H226" s="531">
        <f>ROUND(F226*'Actual Load'!$B$17/'Zonal Load'!$N$17,2)</f>
        <v>0</v>
      </c>
      <c r="I226" s="170">
        <f t="shared" si="49"/>
        <v>0</v>
      </c>
      <c r="J226" s="170">
        <f t="shared" si="50"/>
        <v>0</v>
      </c>
      <c r="K226" s="170">
        <f t="shared" si="51"/>
        <v>0</v>
      </c>
      <c r="L226" s="655">
        <f>E226*'Interest Over Collect'!J$6</f>
        <v>0</v>
      </c>
      <c r="M226" s="170">
        <f t="shared" si="52"/>
        <v>0</v>
      </c>
      <c r="N226" s="82"/>
    </row>
    <row r="227" spans="2:14" s="174" customFormat="1">
      <c r="B227" s="23" t="s">
        <v>21</v>
      </c>
      <c r="C227" s="211">
        <v>0</v>
      </c>
      <c r="D227" s="214">
        <v>0</v>
      </c>
      <c r="E227" s="212">
        <f t="shared" si="47"/>
        <v>0</v>
      </c>
      <c r="F227" s="213">
        <f t="shared" si="53"/>
        <v>0</v>
      </c>
      <c r="G227" s="170">
        <f t="shared" si="48"/>
        <v>0</v>
      </c>
      <c r="H227" s="531">
        <f>ROUND(F227*'Actual Load'!$B$15/'Zonal Load'!$N$15,2)</f>
        <v>0</v>
      </c>
      <c r="I227" s="170">
        <f t="shared" si="49"/>
        <v>0</v>
      </c>
      <c r="J227" s="170">
        <f t="shared" si="50"/>
        <v>0</v>
      </c>
      <c r="K227" s="170">
        <f t="shared" si="51"/>
        <v>0</v>
      </c>
      <c r="L227" s="655">
        <f>E227*'Interest Over Collect'!J$6</f>
        <v>0</v>
      </c>
      <c r="M227" s="170">
        <f>+K227+L227</f>
        <v>0</v>
      </c>
      <c r="N227" s="82"/>
    </row>
    <row r="228" spans="2:14" s="174" customFormat="1">
      <c r="B228" s="23" t="s">
        <v>22</v>
      </c>
      <c r="C228" s="211">
        <v>0</v>
      </c>
      <c r="D228" s="214">
        <v>4.3912283358846955E-3</v>
      </c>
      <c r="E228" s="212">
        <f t="shared" si="47"/>
        <v>4.3912283358846955E-3</v>
      </c>
      <c r="F228" s="213">
        <f t="shared" si="53"/>
        <v>16707.66</v>
      </c>
      <c r="G228" s="170">
        <f t="shared" si="48"/>
        <v>244.27524986859385</v>
      </c>
      <c r="H228" s="531">
        <f>ROUND(F228*'Actual Load'!$B$4/'Zonal Load'!$N$4,2)</f>
        <v>16486.87</v>
      </c>
      <c r="I228" s="170">
        <f t="shared" si="49"/>
        <v>16663.740000000002</v>
      </c>
      <c r="J228" s="170">
        <f t="shared" si="50"/>
        <v>-43.919999999998254</v>
      </c>
      <c r="K228" s="170">
        <f t="shared" si="51"/>
        <v>200.35524986859559</v>
      </c>
      <c r="L228" s="655">
        <f>E228*'Interest Over Collect'!J$6</f>
        <v>83.506671895018499</v>
      </c>
      <c r="M228" s="170">
        <f t="shared" ref="M228:M240" si="54">+K228+L228</f>
        <v>283.86192176361408</v>
      </c>
      <c r="N228" s="82"/>
    </row>
    <row r="229" spans="2:14" s="174" customFormat="1">
      <c r="B229" s="23" t="s">
        <v>23</v>
      </c>
      <c r="C229" s="211">
        <v>0</v>
      </c>
      <c r="D229" s="214">
        <v>0</v>
      </c>
      <c r="E229" s="212">
        <f t="shared" si="47"/>
        <v>0</v>
      </c>
      <c r="F229" s="213">
        <f t="shared" si="53"/>
        <v>0</v>
      </c>
      <c r="G229" s="170">
        <f t="shared" si="48"/>
        <v>0</v>
      </c>
      <c r="H229" s="531">
        <f>ROUND(F229*'Actual Load'!$B$11/'Zonal Load'!$N$11,2)</f>
        <v>0</v>
      </c>
      <c r="I229" s="170">
        <f t="shared" si="49"/>
        <v>0</v>
      </c>
      <c r="J229" s="170">
        <f t="shared" si="50"/>
        <v>0</v>
      </c>
      <c r="K229" s="170">
        <f t="shared" si="51"/>
        <v>0</v>
      </c>
      <c r="L229" s="655">
        <f>E229*'Interest Over Collect'!J$6</f>
        <v>0</v>
      </c>
      <c r="M229" s="170">
        <f t="shared" si="54"/>
        <v>0</v>
      </c>
      <c r="N229" s="82"/>
    </row>
    <row r="230" spans="2:14" s="174" customFormat="1">
      <c r="B230" s="23" t="s">
        <v>24</v>
      </c>
      <c r="C230" s="211">
        <v>0</v>
      </c>
      <c r="D230" s="214">
        <v>0</v>
      </c>
      <c r="E230" s="212">
        <f t="shared" si="47"/>
        <v>0</v>
      </c>
      <c r="F230" s="213">
        <f t="shared" si="53"/>
        <v>0</v>
      </c>
      <c r="G230" s="170">
        <f t="shared" si="48"/>
        <v>0</v>
      </c>
      <c r="H230" s="531">
        <f>ROUND(F230*'Actual Load'!$B$6/'Zonal Load'!$N$6,2)</f>
        <v>0</v>
      </c>
      <c r="I230" s="170">
        <f t="shared" si="49"/>
        <v>0</v>
      </c>
      <c r="J230" s="170">
        <f t="shared" si="50"/>
        <v>0</v>
      </c>
      <c r="K230" s="170">
        <f t="shared" si="51"/>
        <v>0</v>
      </c>
      <c r="L230" s="655">
        <f>E230*'Interest Over Collect'!J$6</f>
        <v>0</v>
      </c>
      <c r="M230" s="170">
        <f t="shared" si="54"/>
        <v>0</v>
      </c>
      <c r="N230" s="82"/>
    </row>
    <row r="231" spans="2:14" s="174" customFormat="1">
      <c r="B231" s="23" t="s">
        <v>25</v>
      </c>
      <c r="C231" s="211">
        <v>0</v>
      </c>
      <c r="D231" s="214">
        <v>6.7668398231625273E-4</v>
      </c>
      <c r="E231" s="212">
        <f t="shared" si="47"/>
        <v>6.7668398231625273E-4</v>
      </c>
      <c r="F231" s="213">
        <f t="shared" si="53"/>
        <v>2574.63</v>
      </c>
      <c r="G231" s="170">
        <f t="shared" si="48"/>
        <v>37.642576568288504</v>
      </c>
      <c r="H231" s="531">
        <f>ROUND(F231*'Actual Load'!$B$7/'Zonal Load'!$N$7,2)</f>
        <v>2428.5700000000002</v>
      </c>
      <c r="I231" s="170">
        <f t="shared" si="49"/>
        <v>2454.62</v>
      </c>
      <c r="J231" s="170">
        <f t="shared" si="50"/>
        <v>-120.01000000000022</v>
      </c>
      <c r="K231" s="170">
        <f t="shared" si="51"/>
        <v>-82.367423431711714</v>
      </c>
      <c r="L231" s="655">
        <f>E231*'Interest Over Collect'!J$6</f>
        <v>12.868296286513484</v>
      </c>
      <c r="M231" s="170">
        <f t="shared" si="54"/>
        <v>-69.49912714519823</v>
      </c>
      <c r="N231" s="82"/>
    </row>
    <row r="232" spans="2:14" s="174" customFormat="1">
      <c r="B232" s="23" t="s">
        <v>26</v>
      </c>
      <c r="C232" s="211">
        <v>0</v>
      </c>
      <c r="D232" s="214">
        <v>0</v>
      </c>
      <c r="E232" s="212">
        <f t="shared" si="47"/>
        <v>0</v>
      </c>
      <c r="F232" s="213">
        <f t="shared" si="53"/>
        <v>0</v>
      </c>
      <c r="G232" s="170">
        <f t="shared" si="48"/>
        <v>0</v>
      </c>
      <c r="H232" s="531">
        <f>ROUND(F232*'Actual Load'!$B$12/'Zonal Load'!$N$12,2)</f>
        <v>0</v>
      </c>
      <c r="I232" s="170">
        <f t="shared" si="49"/>
        <v>0</v>
      </c>
      <c r="J232" s="170">
        <f t="shared" si="50"/>
        <v>0</v>
      </c>
      <c r="K232" s="170">
        <f t="shared" si="51"/>
        <v>0</v>
      </c>
      <c r="L232" s="655">
        <f>E232*'Interest Over Collect'!J$6</f>
        <v>0</v>
      </c>
      <c r="M232" s="170">
        <f t="shared" si="54"/>
        <v>0</v>
      </c>
      <c r="N232" s="82"/>
    </row>
    <row r="233" spans="2:14" s="174" customFormat="1">
      <c r="B233" s="23" t="s">
        <v>27</v>
      </c>
      <c r="C233" s="211">
        <v>0</v>
      </c>
      <c r="D233" s="214">
        <v>0</v>
      </c>
      <c r="E233" s="212">
        <f t="shared" si="47"/>
        <v>0</v>
      </c>
      <c r="F233" s="213">
        <f t="shared" si="53"/>
        <v>0</v>
      </c>
      <c r="G233" s="170">
        <f t="shared" si="48"/>
        <v>0</v>
      </c>
      <c r="H233" s="531">
        <f>ROUND(F233*'Actual Load'!$B$24/'Zonal Load'!$N$24,2)</f>
        <v>0</v>
      </c>
      <c r="I233" s="170">
        <f t="shared" si="49"/>
        <v>0</v>
      </c>
      <c r="J233" s="170">
        <f t="shared" si="50"/>
        <v>0</v>
      </c>
      <c r="K233" s="170">
        <f t="shared" si="51"/>
        <v>0</v>
      </c>
      <c r="L233" s="655">
        <f>E233*'Interest Over Collect'!J$6</f>
        <v>0</v>
      </c>
      <c r="M233" s="170">
        <f t="shared" si="54"/>
        <v>0</v>
      </c>
      <c r="N233" s="82"/>
    </row>
    <row r="234" spans="2:14" s="174" customFormat="1">
      <c r="B234" s="23" t="s">
        <v>28</v>
      </c>
      <c r="C234" s="211">
        <v>0</v>
      </c>
      <c r="D234" s="214">
        <v>4.435759923690847E-2</v>
      </c>
      <c r="E234" s="212">
        <f t="shared" si="47"/>
        <v>4.435759923690847E-2</v>
      </c>
      <c r="F234" s="213">
        <f t="shared" si="53"/>
        <v>168770.91</v>
      </c>
      <c r="G234" s="170">
        <f t="shared" si="48"/>
        <v>2467.5245303507445</v>
      </c>
      <c r="H234" s="531">
        <f>ROUND(F234*'Actual Load'!$B$5/'Zonal Load'!$N$5,2)</f>
        <v>173037.08</v>
      </c>
      <c r="I234" s="170">
        <f t="shared" si="49"/>
        <v>174893.46</v>
      </c>
      <c r="J234" s="170">
        <f t="shared" si="50"/>
        <v>6122.5499999999884</v>
      </c>
      <c r="K234" s="170">
        <f t="shared" si="51"/>
        <v>8590.0745303507319</v>
      </c>
      <c r="L234" s="655">
        <f>E234*'Interest Over Collect'!J$6</f>
        <v>843.53515740851731</v>
      </c>
      <c r="M234" s="170">
        <f t="shared" si="54"/>
        <v>9433.6096877592499</v>
      </c>
      <c r="N234" s="82"/>
    </row>
    <row r="235" spans="2:14" s="174" customFormat="1">
      <c r="B235" s="23" t="s">
        <v>29</v>
      </c>
      <c r="C235" s="211">
        <v>0</v>
      </c>
      <c r="D235" s="214">
        <v>0.32427599438443122</v>
      </c>
      <c r="E235" s="212">
        <f t="shared" si="47"/>
        <v>0.32427599438443122</v>
      </c>
      <c r="F235" s="213">
        <f t="shared" si="53"/>
        <v>1233798.82</v>
      </c>
      <c r="G235" s="170">
        <f t="shared" si="48"/>
        <v>18038.825015617142</v>
      </c>
      <c r="H235" s="531">
        <f>ROUND(F235*'Actual Load'!$B$21/'Zonal Load'!$N$21,2)</f>
        <v>1182320.19</v>
      </c>
      <c r="I235" s="170">
        <f t="shared" si="49"/>
        <v>1195004.3500000001</v>
      </c>
      <c r="J235" s="170">
        <f t="shared" si="50"/>
        <v>-38794.469999999972</v>
      </c>
      <c r="K235" s="170">
        <f t="shared" si="51"/>
        <v>-20755.64498438283</v>
      </c>
      <c r="L235" s="655">
        <f>E235*'Interest Over Collect'!J$6</f>
        <v>6166.6593024104131</v>
      </c>
      <c r="M235" s="170">
        <f t="shared" si="54"/>
        <v>-14588.985681972417</v>
      </c>
      <c r="N235" s="82"/>
    </row>
    <row r="236" spans="2:14" s="174" customFormat="1">
      <c r="B236" s="23" t="s">
        <v>30</v>
      </c>
      <c r="C236" s="211">
        <v>0</v>
      </c>
      <c r="D236" s="214">
        <v>0.25530380434705791</v>
      </c>
      <c r="E236" s="212">
        <f t="shared" si="47"/>
        <v>0.25530380434705791</v>
      </c>
      <c r="F236" s="213">
        <f t="shared" si="53"/>
        <v>971374.81</v>
      </c>
      <c r="G236" s="170">
        <f t="shared" si="48"/>
        <v>14202.040028218136</v>
      </c>
      <c r="H236" s="531">
        <f>ROUND(F236*'Actual Load'!$B$19/'Zonal Load'!$N$19,2)</f>
        <v>944547.55</v>
      </c>
      <c r="I236" s="170">
        <f t="shared" si="49"/>
        <v>954680.84</v>
      </c>
      <c r="J236" s="170">
        <f t="shared" si="50"/>
        <v>-16693.970000000088</v>
      </c>
      <c r="K236" s="170">
        <f t="shared" si="51"/>
        <v>-2491.9299717819522</v>
      </c>
      <c r="L236" s="655">
        <f>E236*'Interest Over Collect'!J$6</f>
        <v>4855.0358561266967</v>
      </c>
      <c r="M236" s="170">
        <f t="shared" si="54"/>
        <v>2363.1058843447445</v>
      </c>
      <c r="N236" s="82"/>
    </row>
    <row r="237" spans="2:14" s="174" customFormat="1">
      <c r="B237" s="23" t="s">
        <v>31</v>
      </c>
      <c r="C237" s="211">
        <v>0</v>
      </c>
      <c r="D237" s="214">
        <v>0</v>
      </c>
      <c r="E237" s="212">
        <f t="shared" si="47"/>
        <v>0</v>
      </c>
      <c r="F237" s="213">
        <f t="shared" si="53"/>
        <v>0</v>
      </c>
      <c r="G237" s="170">
        <f t="shared" si="48"/>
        <v>0</v>
      </c>
      <c r="H237" s="531">
        <f>ROUND(F237*'Actual Load'!$B$25/'Zonal Load'!$N$25,2)</f>
        <v>0</v>
      </c>
      <c r="I237" s="170">
        <f t="shared" si="49"/>
        <v>0</v>
      </c>
      <c r="J237" s="170">
        <f t="shared" si="50"/>
        <v>0</v>
      </c>
      <c r="K237" s="170">
        <f t="shared" si="51"/>
        <v>0</v>
      </c>
      <c r="L237" s="655">
        <f>E237*'Interest Over Collect'!J$6</f>
        <v>0</v>
      </c>
      <c r="M237" s="170">
        <f t="shared" si="54"/>
        <v>0</v>
      </c>
      <c r="N237" s="82"/>
    </row>
    <row r="238" spans="2:14" s="174" customFormat="1">
      <c r="B238" s="23" t="s">
        <v>32</v>
      </c>
      <c r="C238" s="211">
        <v>0</v>
      </c>
      <c r="D238" s="214">
        <v>1.8360834628091245E-2</v>
      </c>
      <c r="E238" s="212">
        <f t="shared" si="47"/>
        <v>1.8360834628091245E-2</v>
      </c>
      <c r="F238" s="213">
        <f t="shared" si="53"/>
        <v>69858.94</v>
      </c>
      <c r="G238" s="170">
        <f t="shared" si="48"/>
        <v>1021.3765086914598</v>
      </c>
      <c r="H238" s="531">
        <f>ROUND(F238*'Actual Load'!$B$13/'Zonal Load'!$N$13,2)</f>
        <v>67015.23</v>
      </c>
      <c r="I238" s="170">
        <f t="shared" si="49"/>
        <v>67734.179999999993</v>
      </c>
      <c r="J238" s="170">
        <f t="shared" si="50"/>
        <v>-2124.7600000000093</v>
      </c>
      <c r="K238" s="170">
        <f t="shared" si="51"/>
        <v>-1103.3834913085495</v>
      </c>
      <c r="L238" s="655">
        <f>E238*'Interest Over Collect'!J$6</f>
        <v>349.16248387202279</v>
      </c>
      <c r="M238" s="170">
        <f t="shared" si="54"/>
        <v>-754.22100743652675</v>
      </c>
      <c r="N238" s="82"/>
    </row>
    <row r="239" spans="2:14" s="174" customFormat="1">
      <c r="B239" s="23" t="s">
        <v>33</v>
      </c>
      <c r="C239" s="211">
        <v>0</v>
      </c>
      <c r="D239" s="214">
        <v>0.35252617645165396</v>
      </c>
      <c r="E239" s="212">
        <f t="shared" si="47"/>
        <v>0.35252617645165396</v>
      </c>
      <c r="F239" s="213">
        <f t="shared" si="53"/>
        <v>1341284.55</v>
      </c>
      <c r="G239" s="170">
        <f t="shared" si="48"/>
        <v>19610.326143652608</v>
      </c>
      <c r="H239" s="531">
        <f>ROUND(F239*'Actual Load'!$B$23/'Zonal Load'!$N$23,2)</f>
        <v>1825066.89</v>
      </c>
      <c r="I239" s="170">
        <f t="shared" si="49"/>
        <v>1844646.56</v>
      </c>
      <c r="J239" s="170">
        <f t="shared" si="50"/>
        <v>503362.01</v>
      </c>
      <c r="K239" s="170">
        <f t="shared" si="51"/>
        <v>522972.33614365262</v>
      </c>
      <c r="L239" s="655">
        <f>E239*'Interest Over Collect'!J$6</f>
        <v>6703.8845397281684</v>
      </c>
      <c r="M239" s="170">
        <f t="shared" si="54"/>
        <v>529676.22068338073</v>
      </c>
      <c r="N239" s="82"/>
    </row>
    <row r="240" spans="2:14" s="174" customFormat="1">
      <c r="B240" s="24" t="s">
        <v>34</v>
      </c>
      <c r="C240" s="211">
        <v>0</v>
      </c>
      <c r="D240" s="214">
        <v>1.0767863365624218E-4</v>
      </c>
      <c r="E240" s="212">
        <f t="shared" si="47"/>
        <v>1.0767863365624218E-4</v>
      </c>
      <c r="F240" s="213">
        <f t="shared" si="53"/>
        <v>409.69</v>
      </c>
      <c r="G240" s="170">
        <f t="shared" si="48"/>
        <v>5.9899470330294395</v>
      </c>
      <c r="H240" s="531">
        <f>ROUND(F240*'Actual Load'!$B$20/'Zonal Load'!$N$20,2)</f>
        <v>460.23</v>
      </c>
      <c r="I240" s="170">
        <f t="shared" si="49"/>
        <v>465.17</v>
      </c>
      <c r="J240" s="170">
        <f t="shared" si="50"/>
        <v>55.480000000000018</v>
      </c>
      <c r="K240" s="170">
        <f t="shared" si="51"/>
        <v>61.469947033029456</v>
      </c>
      <c r="L240" s="655">
        <f>E240*'Interest Over Collect'!J$6</f>
        <v>2.0476922726506608</v>
      </c>
      <c r="M240" s="170">
        <f t="shared" si="54"/>
        <v>63.51763930568012</v>
      </c>
      <c r="N240" s="82"/>
    </row>
    <row r="241" spans="2:14">
      <c r="B241" s="25"/>
      <c r="C241" s="26">
        <f t="shared" ref="C241:M241" si="55">SUM(C219:C240)</f>
        <v>0</v>
      </c>
      <c r="D241" s="27">
        <f t="shared" si="55"/>
        <v>1</v>
      </c>
      <c r="E241" s="95">
        <f t="shared" si="55"/>
        <v>1</v>
      </c>
      <c r="F241" s="90">
        <f t="shared" si="55"/>
        <v>3804780.0100000002</v>
      </c>
      <c r="G241" s="76">
        <f t="shared" si="55"/>
        <v>55627.999999999993</v>
      </c>
      <c r="H241" s="131">
        <f t="shared" si="55"/>
        <v>4211362.6100000003</v>
      </c>
      <c r="I241" s="77">
        <f t="shared" si="55"/>
        <v>4256542.92</v>
      </c>
      <c r="J241" s="104">
        <f t="shared" si="55"/>
        <v>451762.90999999992</v>
      </c>
      <c r="K241" s="563">
        <f t="shared" si="55"/>
        <v>507390.90999999992</v>
      </c>
      <c r="L241" s="656">
        <f t="shared" si="55"/>
        <v>19016.700000000004</v>
      </c>
      <c r="M241" s="77">
        <f t="shared" si="55"/>
        <v>526407.60999999987</v>
      </c>
    </row>
    <row r="242" spans="2:14">
      <c r="B242" s="28"/>
      <c r="F242" s="3" t="s">
        <v>623</v>
      </c>
      <c r="G242" s="21"/>
      <c r="I242" s="569" t="s">
        <v>621</v>
      </c>
      <c r="J242" s="570" t="s">
        <v>622</v>
      </c>
    </row>
    <row r="243" spans="2:14">
      <c r="E243" s="479" t="s">
        <v>610</v>
      </c>
      <c r="F243" s="168">
        <f>ROUND((I243*M$884)+(J243*M$888),0)</f>
        <v>3804780</v>
      </c>
      <c r="H243" s="132"/>
      <c r="I243" s="571">
        <v>3876605.1667542211</v>
      </c>
      <c r="J243" s="571">
        <v>3564457.730450741</v>
      </c>
      <c r="K243" s="174"/>
      <c r="L243" s="81"/>
    </row>
    <row r="244" spans="2:14">
      <c r="E244" s="480" t="s">
        <v>611</v>
      </c>
      <c r="F244" s="169">
        <f>ROUND((I244*M$884)+(J244*M$888),0)</f>
        <v>3749152</v>
      </c>
      <c r="G244" s="528">
        <f>F243-F244</f>
        <v>55628</v>
      </c>
      <c r="H244" s="529"/>
      <c r="I244" s="573">
        <f>'Att GG at 12.38 '!N77</f>
        <v>3820184.2187893768</v>
      </c>
      <c r="J244" s="573">
        <f>'Att GG at 10.82'!N77</f>
        <v>3511482.7937522377</v>
      </c>
      <c r="L244" s="174"/>
    </row>
    <row r="245" spans="2:14">
      <c r="E245" s="91" t="s">
        <v>153</v>
      </c>
      <c r="F245" s="175">
        <f>I241</f>
        <v>4256542.92</v>
      </c>
      <c r="G245" s="528">
        <f>F245-F243</f>
        <v>451762.91999999993</v>
      </c>
      <c r="H245" s="530"/>
      <c r="K245" s="86"/>
      <c r="L245" s="644"/>
      <c r="M245" s="86"/>
    </row>
    <row r="246" spans="2:14">
      <c r="G246" s="528">
        <f>G244+G245</f>
        <v>507390.91999999993</v>
      </c>
      <c r="H246" s="529">
        <f>F245-F244</f>
        <v>507390.91999999993</v>
      </c>
      <c r="K246" s="86"/>
      <c r="L246" s="86"/>
      <c r="M246" s="86"/>
    </row>
    <row r="247" spans="2:14">
      <c r="B247" s="79"/>
      <c r="C247" s="79"/>
      <c r="D247" s="79"/>
      <c r="E247" s="79"/>
      <c r="F247" s="79"/>
      <c r="G247" s="79"/>
      <c r="H247" s="79"/>
      <c r="I247" s="79"/>
      <c r="J247" s="79"/>
      <c r="K247" s="79"/>
      <c r="L247" s="79"/>
      <c r="M247" s="79"/>
    </row>
    <row r="249" spans="2:14" ht="15.75" customHeight="1">
      <c r="B249" s="541" t="s">
        <v>0</v>
      </c>
      <c r="C249" s="692" t="s">
        <v>681</v>
      </c>
      <c r="D249" s="693"/>
      <c r="E249" s="693"/>
      <c r="F249" s="693"/>
      <c r="G249" s="693"/>
      <c r="H249" s="694"/>
      <c r="I249" s="1"/>
    </row>
    <row r="250" spans="2:14" ht="15.75" customHeight="1">
      <c r="B250" s="69" t="s">
        <v>1</v>
      </c>
      <c r="C250" s="695" t="s">
        <v>134</v>
      </c>
      <c r="D250" s="687"/>
      <c r="E250" s="687"/>
      <c r="F250" s="687"/>
      <c r="G250" s="687"/>
      <c r="H250" s="688"/>
      <c r="I250" s="1"/>
    </row>
    <row r="251" spans="2:14">
      <c r="B251" s="69" t="s">
        <v>3</v>
      </c>
      <c r="C251" s="696" t="s">
        <v>114</v>
      </c>
      <c r="D251" s="687"/>
      <c r="E251" s="687"/>
      <c r="F251" s="687"/>
      <c r="G251" s="687"/>
      <c r="H251" s="688"/>
      <c r="I251" s="1"/>
    </row>
    <row r="252" spans="2:14" ht="15.75" customHeight="1">
      <c r="B252" s="70" t="s">
        <v>5</v>
      </c>
      <c r="C252" s="697" t="s">
        <v>135</v>
      </c>
      <c r="D252" s="690"/>
      <c r="E252" s="690"/>
      <c r="F252" s="690"/>
      <c r="G252" s="690"/>
      <c r="H252" s="691"/>
      <c r="I252" s="1"/>
    </row>
    <row r="253" spans="2:14">
      <c r="B253" s="74"/>
      <c r="C253" s="74"/>
      <c r="D253" s="74"/>
      <c r="E253" s="74"/>
      <c r="F253" s="74"/>
      <c r="J253" s="99" t="s">
        <v>155</v>
      </c>
      <c r="K253" s="3" t="s">
        <v>40</v>
      </c>
      <c r="M253" s="3" t="s">
        <v>54</v>
      </c>
    </row>
    <row r="254" spans="2:14">
      <c r="B254" s="74"/>
      <c r="C254" s="74"/>
      <c r="D254" s="74"/>
      <c r="E254" s="74"/>
      <c r="F254" s="74"/>
      <c r="G254" s="3" t="s">
        <v>37</v>
      </c>
      <c r="H254" s="127" t="s">
        <v>38</v>
      </c>
      <c r="I254" s="92" t="s">
        <v>39</v>
      </c>
      <c r="J254" s="100" t="s">
        <v>156</v>
      </c>
      <c r="K254" s="4" t="s">
        <v>157</v>
      </c>
      <c r="L254" s="4" t="s">
        <v>53</v>
      </c>
      <c r="M254" s="4" t="s">
        <v>158</v>
      </c>
      <c r="N254" s="191"/>
    </row>
    <row r="255" spans="2:14">
      <c r="B255" s="74"/>
      <c r="C255" s="74"/>
      <c r="D255" s="74"/>
      <c r="E255" s="74"/>
      <c r="F255" s="74"/>
      <c r="G255" s="5"/>
      <c r="H255" s="662" t="s">
        <v>41</v>
      </c>
      <c r="I255" s="663"/>
      <c r="J255" s="664"/>
      <c r="K255" s="6" t="s">
        <v>42</v>
      </c>
      <c r="L255" s="5"/>
      <c r="M255" s="6" t="s">
        <v>43</v>
      </c>
      <c r="N255" s="191"/>
    </row>
    <row r="256" spans="2:14">
      <c r="B256" s="75"/>
      <c r="C256" s="7">
        <v>0.2</v>
      </c>
      <c r="D256" s="7">
        <v>0.8</v>
      </c>
      <c r="E256" s="7"/>
      <c r="F256" s="87" t="s">
        <v>154</v>
      </c>
      <c r="G256" s="8" t="s">
        <v>44</v>
      </c>
      <c r="H256" s="128"/>
      <c r="I256" s="5"/>
      <c r="J256" s="101" t="s">
        <v>45</v>
      </c>
      <c r="K256" s="8" t="s">
        <v>46</v>
      </c>
      <c r="L256" s="9"/>
      <c r="M256" s="8" t="s">
        <v>47</v>
      </c>
    </row>
    <row r="257" spans="1:14">
      <c r="B257" s="10"/>
      <c r="C257" s="68" t="s">
        <v>8</v>
      </c>
      <c r="D257" s="68" t="s">
        <v>9</v>
      </c>
      <c r="E257" s="68" t="s">
        <v>10</v>
      </c>
      <c r="F257" s="88" t="s">
        <v>7</v>
      </c>
      <c r="G257" s="11" t="s">
        <v>48</v>
      </c>
      <c r="H257" s="129" t="s">
        <v>49</v>
      </c>
      <c r="I257" s="12" t="s">
        <v>152</v>
      </c>
      <c r="J257" s="102" t="s">
        <v>48</v>
      </c>
      <c r="K257" s="12" t="s">
        <v>48</v>
      </c>
      <c r="L257" s="12" t="s">
        <v>50</v>
      </c>
      <c r="M257" s="12" t="s">
        <v>51</v>
      </c>
    </row>
    <row r="258" spans="1:14" ht="31.5">
      <c r="B258" s="13" t="s">
        <v>12</v>
      </c>
      <c r="C258" s="14" t="s">
        <v>13</v>
      </c>
      <c r="D258" s="14" t="s">
        <v>13</v>
      </c>
      <c r="E258" s="97" t="s">
        <v>13</v>
      </c>
      <c r="F258" s="89" t="s">
        <v>14</v>
      </c>
      <c r="G258" s="16" t="s">
        <v>52</v>
      </c>
      <c r="H258" s="130"/>
      <c r="I258" s="17"/>
      <c r="J258" s="103" t="s">
        <v>52</v>
      </c>
      <c r="K258" s="17"/>
      <c r="L258" s="17"/>
      <c r="M258" s="16" t="s">
        <v>52</v>
      </c>
    </row>
    <row r="259" spans="1:14" s="174" customFormat="1">
      <c r="B259" s="18" t="s">
        <v>15</v>
      </c>
      <c r="C259" s="211">
        <v>0</v>
      </c>
      <c r="D259" s="214">
        <v>0</v>
      </c>
      <c r="E259" s="212">
        <v>2.5488081999999999E-2</v>
      </c>
      <c r="F259" s="215">
        <f>ROUND(+E259*F$285,2)</f>
        <v>777172.68</v>
      </c>
      <c r="G259" s="170">
        <f t="shared" ref="G259:G282" si="56">(F$285-F$286)*E259</f>
        <v>30508.238844397878</v>
      </c>
      <c r="H259" s="531">
        <f>ROUND(F259*'Actual Load'!$B$8/'Zonal Load'!$N$8,2)</f>
        <v>777172.68</v>
      </c>
      <c r="I259" s="170">
        <f t="shared" ref="I259:I282" si="57">ROUND((H259*$H$912)/$H$910,2)</f>
        <v>785510.34</v>
      </c>
      <c r="J259" s="170">
        <f t="shared" ref="J259:J282" si="58">I259-F259</f>
        <v>8337.6599999999162</v>
      </c>
      <c r="K259" s="170">
        <f t="shared" ref="K259:K282" si="59">+G259+J259</f>
        <v>38845.898844397794</v>
      </c>
      <c r="L259" s="655">
        <f>E259*'Interest Over Collect'!J$7</f>
        <v>3884.3933822711601</v>
      </c>
      <c r="M259" s="170">
        <f>+K259+L259</f>
        <v>42730.292226668957</v>
      </c>
      <c r="N259" s="82"/>
    </row>
    <row r="260" spans="1:14" s="174" customFormat="1">
      <c r="B260" s="23" t="s">
        <v>16</v>
      </c>
      <c r="C260" s="211">
        <v>0</v>
      </c>
      <c r="D260" s="214">
        <v>0</v>
      </c>
      <c r="E260" s="212">
        <v>1.2261119999999999E-3</v>
      </c>
      <c r="F260" s="213">
        <f>ROUND(+E260*F$285,2)</f>
        <v>37386.129999999997</v>
      </c>
      <c r="G260" s="170">
        <f t="shared" si="56"/>
        <v>1467.6081843263989</v>
      </c>
      <c r="H260" s="531">
        <f>ROUND(F260*'Actual Load'!$B$14/'Zonal Load'!$N$14,2)</f>
        <v>35988.65</v>
      </c>
      <c r="I260" s="170">
        <f t="shared" si="57"/>
        <v>36374.74</v>
      </c>
      <c r="J260" s="170">
        <f t="shared" si="58"/>
        <v>-1011.3899999999994</v>
      </c>
      <c r="K260" s="170">
        <f t="shared" si="59"/>
        <v>456.21818432639952</v>
      </c>
      <c r="L260" s="655">
        <f>E260*'Interest Over Collect'!J$7</f>
        <v>186.85993472255998</v>
      </c>
      <c r="M260" s="170">
        <f t="shared" ref="M260:M282" si="60">+K260+L260</f>
        <v>643.07811904895948</v>
      </c>
      <c r="N260" s="82"/>
    </row>
    <row r="261" spans="1:14" s="174" customFormat="1">
      <c r="B261" s="23" t="s">
        <v>190</v>
      </c>
      <c r="C261" s="211">
        <f>0%*0.421</f>
        <v>0</v>
      </c>
      <c r="D261" s="214">
        <f>0%*0.421</f>
        <v>0</v>
      </c>
      <c r="E261" s="212">
        <f>2.3244843%*0.421</f>
        <v>9.7860789029999996E-3</v>
      </c>
      <c r="F261" s="213">
        <f t="shared" ref="F261:F282" si="61">ROUND(+E261*F$285,2)</f>
        <v>298393.31</v>
      </c>
      <c r="G261" s="170">
        <f t="shared" si="56"/>
        <v>11713.55430050983</v>
      </c>
      <c r="H261" s="531">
        <f>ROUND(F261*'Actual Load'!$B$9/'Zonal Load'!$N$9,2)</f>
        <v>298393.31</v>
      </c>
      <c r="I261" s="170">
        <f t="shared" si="57"/>
        <v>301594.53000000003</v>
      </c>
      <c r="J261" s="170">
        <f t="shared" si="58"/>
        <v>3201.2200000000303</v>
      </c>
      <c r="K261" s="170">
        <f t="shared" si="59"/>
        <v>14914.77430050986</v>
      </c>
      <c r="L261" s="655">
        <f>E261*'Interest Over Collect'!J$7</f>
        <v>1491.4021435271832</v>
      </c>
      <c r="M261" s="170">
        <f t="shared" si="60"/>
        <v>16406.176444037043</v>
      </c>
      <c r="N261" s="82"/>
    </row>
    <row r="262" spans="1:14" s="174" customFormat="1">
      <c r="B262" s="125" t="s">
        <v>249</v>
      </c>
      <c r="C262" s="211">
        <f>0%*0.579</f>
        <v>0</v>
      </c>
      <c r="D262" s="214">
        <f>0%*0.579</f>
        <v>0</v>
      </c>
      <c r="E262" s="212">
        <f>2.3244843%*0.579</f>
        <v>1.3458764097E-2</v>
      </c>
      <c r="F262" s="213">
        <f t="shared" si="61"/>
        <v>410379.4</v>
      </c>
      <c r="G262" s="170">
        <f>(F$285-F$286)*E262</f>
        <v>16109.615059371003</v>
      </c>
      <c r="H262" s="531">
        <f>ROUND(F262*'Actual Load'!$B$10/'Zonal Load'!$N$10,2)</f>
        <v>416918.04</v>
      </c>
      <c r="I262" s="170">
        <f t="shared" si="57"/>
        <v>421390.82</v>
      </c>
      <c r="J262" s="170">
        <f>I262-F262</f>
        <v>11011.419999999984</v>
      </c>
      <c r="K262" s="170">
        <f>+G262+J262</f>
        <v>27121.035059370988</v>
      </c>
      <c r="L262" s="655">
        <f>E262*'Interest Over Collect'!J$7</f>
        <v>2051.1207627131571</v>
      </c>
      <c r="M262" s="170">
        <f>+K262+L262</f>
        <v>29172.155822084147</v>
      </c>
      <c r="N262" s="82"/>
    </row>
    <row r="263" spans="1:14" s="174" customFormat="1">
      <c r="B263" s="23" t="s">
        <v>17</v>
      </c>
      <c r="C263" s="211">
        <v>0</v>
      </c>
      <c r="D263" s="214">
        <v>0</v>
      </c>
      <c r="E263" s="212">
        <v>2.2930939999999999E-3</v>
      </c>
      <c r="F263" s="213">
        <f t="shared" si="61"/>
        <v>69920.13</v>
      </c>
      <c r="G263" s="170">
        <f t="shared" si="56"/>
        <v>2744.7439726792982</v>
      </c>
      <c r="H263" s="531">
        <f>ROUND(F263*'Actual Load'!$B$26/'Zonal Load'!$N$26,2)</f>
        <v>69653.37</v>
      </c>
      <c r="I263" s="170">
        <f t="shared" si="57"/>
        <v>70400.62</v>
      </c>
      <c r="J263" s="170">
        <f t="shared" si="58"/>
        <v>480.48999999999069</v>
      </c>
      <c r="K263" s="170">
        <f t="shared" si="59"/>
        <v>3225.2339726792889</v>
      </c>
      <c r="L263" s="655">
        <f>E263*'Interest Over Collect'!J$7</f>
        <v>349.46839697572</v>
      </c>
      <c r="M263" s="170">
        <f t="shared" si="60"/>
        <v>3574.7023696550086</v>
      </c>
      <c r="N263" s="82"/>
    </row>
    <row r="264" spans="1:14" s="174" customFormat="1">
      <c r="B264" s="23" t="s">
        <v>18</v>
      </c>
      <c r="C264" s="211">
        <v>0</v>
      </c>
      <c r="D264" s="214">
        <v>0</v>
      </c>
      <c r="E264" s="212">
        <v>5.749667E-3</v>
      </c>
      <c r="F264" s="213">
        <f t="shared" si="61"/>
        <v>175316.61</v>
      </c>
      <c r="G264" s="170">
        <f t="shared" si="56"/>
        <v>6882.1268745036459</v>
      </c>
      <c r="H264" s="531">
        <f>ROUND(F264*'Actual Load'!$B$16/'Zonal Load'!$N$16,2)</f>
        <v>174548.97</v>
      </c>
      <c r="I264" s="170">
        <f t="shared" si="57"/>
        <v>176421.56</v>
      </c>
      <c r="J264" s="170">
        <f t="shared" si="58"/>
        <v>1104.9500000000116</v>
      </c>
      <c r="K264" s="170">
        <f t="shared" si="59"/>
        <v>7987.0768745036576</v>
      </c>
      <c r="L264" s="655">
        <f>E264*'Interest Over Collect'!J$7</f>
        <v>876.25143567346004</v>
      </c>
      <c r="M264" s="170">
        <f t="shared" si="60"/>
        <v>8863.3283101771176</v>
      </c>
      <c r="N264" s="82"/>
    </row>
    <row r="265" spans="1:14" s="174" customFormat="1">
      <c r="B265" s="23" t="s">
        <v>19</v>
      </c>
      <c r="C265" s="211">
        <v>0</v>
      </c>
      <c r="D265" s="214">
        <v>0</v>
      </c>
      <c r="E265" s="212">
        <v>6.6300689999999997E-3</v>
      </c>
      <c r="F265" s="213">
        <f t="shared" si="61"/>
        <v>202161.48</v>
      </c>
      <c r="G265" s="170">
        <f t="shared" si="56"/>
        <v>7935.933688805545</v>
      </c>
      <c r="H265" s="531">
        <f>ROUND(F265*'Actual Load'!$B$22/'Zonal Load'!$N$22,2)</f>
        <v>197043.6</v>
      </c>
      <c r="I265" s="170">
        <f t="shared" si="57"/>
        <v>199157.52</v>
      </c>
      <c r="J265" s="170">
        <f t="shared" si="58"/>
        <v>-3003.960000000021</v>
      </c>
      <c r="K265" s="170">
        <f t="shared" si="59"/>
        <v>4931.973688805524</v>
      </c>
      <c r="L265" s="655">
        <f>E265*'Interest Over Collect'!J$7</f>
        <v>1010.42503502622</v>
      </c>
      <c r="M265" s="170">
        <f t="shared" si="60"/>
        <v>5942.3987238317441</v>
      </c>
      <c r="N265" s="82"/>
    </row>
    <row r="266" spans="1:14" s="174" customFormat="1">
      <c r="B266" s="23" t="s">
        <v>20</v>
      </c>
      <c r="C266" s="211">
        <v>0</v>
      </c>
      <c r="D266" s="214">
        <v>0</v>
      </c>
      <c r="E266" s="212">
        <v>1.553598E-2</v>
      </c>
      <c r="F266" s="213">
        <f t="shared" si="61"/>
        <v>473717.06</v>
      </c>
      <c r="G266" s="170">
        <f t="shared" si="56"/>
        <v>18595.961379980989</v>
      </c>
      <c r="H266" s="531">
        <f>ROUND(F266*'Actual Load'!$B$17/'Zonal Load'!$N$17,2)</f>
        <v>471648.43</v>
      </c>
      <c r="I266" s="170">
        <f t="shared" si="57"/>
        <v>476708.37</v>
      </c>
      <c r="J266" s="170">
        <f t="shared" si="58"/>
        <v>2991.3099999999977</v>
      </c>
      <c r="K266" s="170">
        <f t="shared" si="59"/>
        <v>21587.271379980986</v>
      </c>
      <c r="L266" s="655">
        <f>E266*'Interest Over Collect'!J$7</f>
        <v>2367.6892556724001</v>
      </c>
      <c r="M266" s="170">
        <f t="shared" si="60"/>
        <v>23954.960635653388</v>
      </c>
      <c r="N266" s="82"/>
    </row>
    <row r="267" spans="1:14" s="174" customFormat="1">
      <c r="B267" s="23" t="s">
        <v>21</v>
      </c>
      <c r="C267" s="211">
        <v>0</v>
      </c>
      <c r="D267" s="214">
        <v>0</v>
      </c>
      <c r="E267" s="212">
        <v>2.0611763000000002E-2</v>
      </c>
      <c r="F267" s="213">
        <f t="shared" si="61"/>
        <v>628485.86</v>
      </c>
      <c r="G267" s="170">
        <f t="shared" si="56"/>
        <v>24671.475421654835</v>
      </c>
      <c r="H267" s="531">
        <f>ROUND(F267*'Actual Load'!$B$15/'Zonal Load'!$N$15,2)</f>
        <v>623389.76</v>
      </c>
      <c r="I267" s="170">
        <f t="shared" si="57"/>
        <v>630077.61</v>
      </c>
      <c r="J267" s="170">
        <f t="shared" si="58"/>
        <v>1591.75</v>
      </c>
      <c r="K267" s="170">
        <f t="shared" si="59"/>
        <v>26263.225421654835</v>
      </c>
      <c r="L267" s="655">
        <f>E267*'Interest Over Collect'!J$7</f>
        <v>3141.2405136699404</v>
      </c>
      <c r="M267" s="170">
        <f t="shared" si="60"/>
        <v>29404.465935324777</v>
      </c>
      <c r="N267" s="82"/>
    </row>
    <row r="268" spans="1:14" s="174" customFormat="1">
      <c r="B268" s="23" t="s">
        <v>22</v>
      </c>
      <c r="C268" s="211">
        <v>0</v>
      </c>
      <c r="D268" s="214">
        <v>0</v>
      </c>
      <c r="E268" s="212">
        <v>1.1657959000000001E-2</v>
      </c>
      <c r="F268" s="213">
        <f t="shared" si="61"/>
        <v>355469.95</v>
      </c>
      <c r="G268" s="170">
        <f t="shared" si="56"/>
        <v>13954.121679701042</v>
      </c>
      <c r="H268" s="531">
        <f>ROUND(F268*'Actual Load'!$B$4/'Zonal Load'!$N$4,2)</f>
        <v>350772.56</v>
      </c>
      <c r="I268" s="170">
        <f t="shared" si="57"/>
        <v>354535.72</v>
      </c>
      <c r="J268" s="170">
        <f t="shared" si="58"/>
        <v>-934.23000000003958</v>
      </c>
      <c r="K268" s="170">
        <f t="shared" si="59"/>
        <v>13019.891679701002</v>
      </c>
      <c r="L268" s="655">
        <f>E268*'Interest Over Collect'!J$7</f>
        <v>1776.6773816244201</v>
      </c>
      <c r="M268" s="170">
        <f t="shared" si="60"/>
        <v>14796.569061325423</v>
      </c>
      <c r="N268" s="82"/>
    </row>
    <row r="269" spans="1:14" s="174" customFormat="1">
      <c r="B269" s="23" t="s">
        <v>23</v>
      </c>
      <c r="C269" s="211">
        <v>0</v>
      </c>
      <c r="D269" s="214">
        <v>0</v>
      </c>
      <c r="E269" s="212">
        <v>5.1956699999999997E-4</v>
      </c>
      <c r="F269" s="213">
        <f t="shared" si="61"/>
        <v>15842.43</v>
      </c>
      <c r="G269" s="170">
        <f t="shared" si="56"/>
        <v>621.90140990864961</v>
      </c>
      <c r="H269" s="531">
        <f>ROUND(F269*'Actual Load'!$B$11/'Zonal Load'!$N$11,2)</f>
        <v>15386.92</v>
      </c>
      <c r="I269" s="170">
        <f t="shared" si="57"/>
        <v>15551.99</v>
      </c>
      <c r="J269" s="170">
        <f t="shared" si="58"/>
        <v>-290.44000000000051</v>
      </c>
      <c r="K269" s="170">
        <f t="shared" si="59"/>
        <v>331.4614099086491</v>
      </c>
      <c r="L269" s="655">
        <f>E269*'Interest Over Collect'!J$7</f>
        <v>79.182208235459996</v>
      </c>
      <c r="M269" s="170">
        <f t="shared" si="60"/>
        <v>410.6436181441091</v>
      </c>
      <c r="N269" s="82"/>
    </row>
    <row r="270" spans="1:14" s="174" customFormat="1">
      <c r="B270" s="23" t="s">
        <v>25</v>
      </c>
      <c r="C270" s="211">
        <v>0</v>
      </c>
      <c r="D270" s="214">
        <v>0</v>
      </c>
      <c r="E270" s="212">
        <v>1.5676696E-2</v>
      </c>
      <c r="F270" s="213">
        <f t="shared" si="61"/>
        <v>478007.72</v>
      </c>
      <c r="G270" s="170">
        <f t="shared" si="56"/>
        <v>18764.392937021188</v>
      </c>
      <c r="H270" s="531">
        <f>ROUND(F270*'Actual Load'!$B$7/'Zonal Load'!$N$7,2)</f>
        <v>450890.44</v>
      </c>
      <c r="I270" s="170">
        <f t="shared" si="57"/>
        <v>455727.68</v>
      </c>
      <c r="J270" s="170">
        <f t="shared" si="58"/>
        <v>-22280.039999999979</v>
      </c>
      <c r="K270" s="170">
        <f t="shared" si="59"/>
        <v>-3515.6470629787909</v>
      </c>
      <c r="L270" s="655">
        <f>E270*'Interest Over Collect'!J$7</f>
        <v>2389.1344275444803</v>
      </c>
      <c r="M270" s="170">
        <f t="shared" si="60"/>
        <v>-1126.5126354343106</v>
      </c>
      <c r="N270" s="82"/>
    </row>
    <row r="271" spans="1:14" s="174" customFormat="1">
      <c r="B271" s="23" t="s">
        <v>24</v>
      </c>
      <c r="C271" s="211">
        <v>0</v>
      </c>
      <c r="D271" s="214">
        <v>0</v>
      </c>
      <c r="E271" s="212">
        <v>1.5696008000000001E-2</v>
      </c>
      <c r="F271" s="213">
        <f t="shared" si="61"/>
        <v>478596.57</v>
      </c>
      <c r="G271" s="170">
        <f t="shared" si="56"/>
        <v>18787.508646887589</v>
      </c>
      <c r="H271" s="531">
        <f>ROUND(F271*'Actual Load'!$B$6/'Zonal Load'!$N$6,2)</f>
        <v>470339.83</v>
      </c>
      <c r="I271" s="170">
        <f t="shared" si="57"/>
        <v>475385.73</v>
      </c>
      <c r="J271" s="170">
        <f t="shared" si="58"/>
        <v>-3210.8400000000256</v>
      </c>
      <c r="K271" s="170">
        <f t="shared" si="59"/>
        <v>15576.668646887563</v>
      </c>
      <c r="L271" s="655">
        <f>E271*'Interest Over Collect'!J$7</f>
        <v>2392.0775836830403</v>
      </c>
      <c r="M271" s="170">
        <f t="shared" si="60"/>
        <v>17968.746230570603</v>
      </c>
      <c r="N271" s="82"/>
    </row>
    <row r="272" spans="1:14" s="174" customFormat="1">
      <c r="B272" s="23" t="s">
        <v>116</v>
      </c>
      <c r="C272" s="211">
        <v>0</v>
      </c>
      <c r="D272" s="214">
        <v>0</v>
      </c>
      <c r="E272" s="212">
        <v>1.07398E-3</v>
      </c>
      <c r="F272" s="213">
        <f t="shared" si="61"/>
        <v>32747.38</v>
      </c>
      <c r="G272" s="170">
        <f t="shared" si="56"/>
        <v>1285.5121210809991</v>
      </c>
      <c r="H272" s="531">
        <f>ROUND(F272*'Actual Load'!$B$18/'Zonal Load'!$N$18,2)</f>
        <v>32375.87</v>
      </c>
      <c r="I272" s="170">
        <f t="shared" si="57"/>
        <v>32723.200000000001</v>
      </c>
      <c r="J272" s="170">
        <f t="shared" si="58"/>
        <v>-24.180000000000291</v>
      </c>
      <c r="K272" s="170">
        <f t="shared" si="59"/>
        <v>1261.3321210809988</v>
      </c>
      <c r="L272" s="655">
        <f>E272*'Interest Over Collect'!J$7</f>
        <v>163.67496011240002</v>
      </c>
      <c r="M272" s="170">
        <f t="shared" si="60"/>
        <v>1425.0070811933988</v>
      </c>
      <c r="N272" s="82"/>
    </row>
    <row r="273" spans="2:14" s="174" customFormat="1">
      <c r="B273" s="23" t="s">
        <v>117</v>
      </c>
      <c r="C273" s="211">
        <v>0</v>
      </c>
      <c r="D273" s="214">
        <v>0</v>
      </c>
      <c r="E273" s="212">
        <v>2.7865700000000003E-4</v>
      </c>
      <c r="F273" s="213">
        <f t="shared" si="61"/>
        <v>8496.7000000000007</v>
      </c>
      <c r="G273" s="170">
        <f t="shared" si="56"/>
        <v>333.54154744414984</v>
      </c>
      <c r="H273" s="531">
        <f>ROUND(F273*'Actual Load'!$B$17/'Zonal Load'!$N$17,2)</f>
        <v>8459.6</v>
      </c>
      <c r="I273" s="170">
        <f t="shared" si="57"/>
        <v>8550.36</v>
      </c>
      <c r="J273" s="170">
        <f t="shared" si="58"/>
        <v>53.659999999999854</v>
      </c>
      <c r="K273" s="170">
        <f t="shared" si="59"/>
        <v>387.2015474441497</v>
      </c>
      <c r="L273" s="655">
        <f>E273*'Interest Over Collect'!J$7</f>
        <v>42.467432689660008</v>
      </c>
      <c r="M273" s="170">
        <f t="shared" si="60"/>
        <v>429.66898013380973</v>
      </c>
      <c r="N273" s="82"/>
    </row>
    <row r="274" spans="2:14" s="174" customFormat="1">
      <c r="B274" s="23" t="s">
        <v>26</v>
      </c>
      <c r="C274" s="211">
        <v>0</v>
      </c>
      <c r="D274" s="214">
        <v>0</v>
      </c>
      <c r="E274" s="212">
        <v>7.74912E-4</v>
      </c>
      <c r="F274" s="213">
        <f t="shared" si="61"/>
        <v>23628.32</v>
      </c>
      <c r="G274" s="170">
        <f t="shared" si="56"/>
        <v>927.5394036863994</v>
      </c>
      <c r="H274" s="531">
        <f>ROUND(F274*'Actual Load'!$B$12/'Zonal Load'!$N$12,2)</f>
        <v>21706.76</v>
      </c>
      <c r="I274" s="170">
        <f t="shared" si="57"/>
        <v>21939.63</v>
      </c>
      <c r="J274" s="170">
        <f t="shared" si="58"/>
        <v>-1688.6899999999987</v>
      </c>
      <c r="K274" s="170">
        <f t="shared" si="59"/>
        <v>-761.15059631359929</v>
      </c>
      <c r="L274" s="655">
        <f>E274*'Interest Over Collect'!J$7</f>
        <v>118.09688326656</v>
      </c>
      <c r="M274" s="170">
        <f t="shared" si="60"/>
        <v>-643.05371304703931</v>
      </c>
      <c r="N274" s="82"/>
    </row>
    <row r="275" spans="2:14" s="174" customFormat="1">
      <c r="B275" s="23" t="s">
        <v>27</v>
      </c>
      <c r="C275" s="211">
        <v>0</v>
      </c>
      <c r="D275" s="214">
        <v>0</v>
      </c>
      <c r="E275" s="212">
        <v>8.2087299999999996E-4</v>
      </c>
      <c r="F275" s="213">
        <f t="shared" si="61"/>
        <v>25029.74</v>
      </c>
      <c r="G275" s="170">
        <f t="shared" si="56"/>
        <v>982.55292590934937</v>
      </c>
      <c r="H275" s="531">
        <f>ROUND(F275*'Actual Load'!$B$24/'Zonal Load'!$N$24,2)</f>
        <v>24707.41</v>
      </c>
      <c r="I275" s="170">
        <f t="shared" si="57"/>
        <v>24972.48</v>
      </c>
      <c r="J275" s="170">
        <f t="shared" si="58"/>
        <v>-57.260000000002037</v>
      </c>
      <c r="K275" s="170">
        <f t="shared" si="59"/>
        <v>925.29292590934733</v>
      </c>
      <c r="L275" s="655">
        <f>E275*'Interest Over Collect'!J$7</f>
        <v>125.10135713174</v>
      </c>
      <c r="M275" s="170">
        <f t="shared" si="60"/>
        <v>1050.3942830410874</v>
      </c>
      <c r="N275" s="82"/>
    </row>
    <row r="276" spans="2:14" s="174" customFormat="1">
      <c r="B276" s="23" t="s">
        <v>28</v>
      </c>
      <c r="C276" s="211">
        <v>0</v>
      </c>
      <c r="D276" s="214">
        <v>0</v>
      </c>
      <c r="E276" s="212">
        <v>3.0205915999999999E-2</v>
      </c>
      <c r="F276" s="213">
        <f t="shared" si="61"/>
        <v>921027.04</v>
      </c>
      <c r="G276" s="170">
        <f t="shared" si="56"/>
        <v>36155.301910980175</v>
      </c>
      <c r="H276" s="531">
        <f>ROUND(F276*'Actual Load'!$B$5/'Zonal Load'!$N$5,2)</f>
        <v>944308.66</v>
      </c>
      <c r="I276" s="170">
        <f t="shared" si="57"/>
        <v>954439.39</v>
      </c>
      <c r="J276" s="170">
        <f t="shared" si="58"/>
        <v>33412.349999999977</v>
      </c>
      <c r="K276" s="170">
        <f t="shared" si="59"/>
        <v>69567.651910980145</v>
      </c>
      <c r="L276" s="655">
        <f>E276*'Interest Over Collect'!J$7</f>
        <v>4603.3930766480798</v>
      </c>
      <c r="M276" s="170">
        <f t="shared" si="60"/>
        <v>74171.044987628222</v>
      </c>
      <c r="N276" s="82"/>
    </row>
    <row r="277" spans="2:14" s="174" customFormat="1">
      <c r="B277" s="23" t="s">
        <v>29</v>
      </c>
      <c r="C277" s="211">
        <v>0</v>
      </c>
      <c r="D277" s="214">
        <v>0</v>
      </c>
      <c r="E277" s="212">
        <v>0.49475347800000002</v>
      </c>
      <c r="F277" s="213">
        <f t="shared" si="61"/>
        <v>15085830.59</v>
      </c>
      <c r="G277" s="170">
        <f t="shared" si="56"/>
        <v>592200.59304268379</v>
      </c>
      <c r="H277" s="531">
        <f>ROUND(F277*'Actual Load'!$B$21/'Zonal Load'!$N$21,2)</f>
        <v>14456394.17</v>
      </c>
      <c r="I277" s="170">
        <f t="shared" si="57"/>
        <v>14611485.15</v>
      </c>
      <c r="J277" s="170">
        <f t="shared" si="58"/>
        <v>-474345.43999999948</v>
      </c>
      <c r="K277" s="170">
        <f t="shared" si="59"/>
        <v>117855.15304268431</v>
      </c>
      <c r="L277" s="655">
        <f>E277*'Interest Over Collect'!J$7</f>
        <v>75400.618053521641</v>
      </c>
      <c r="M277" s="170">
        <f t="shared" si="60"/>
        <v>193255.77109620595</v>
      </c>
      <c r="N277" s="82"/>
    </row>
    <row r="278" spans="2:14" s="174" customFormat="1">
      <c r="B278" s="23" t="s">
        <v>30</v>
      </c>
      <c r="C278" s="211">
        <v>0</v>
      </c>
      <c r="D278" s="214">
        <v>0</v>
      </c>
      <c r="E278" s="212">
        <v>9.7935486000000002E-2</v>
      </c>
      <c r="F278" s="213">
        <f t="shared" si="61"/>
        <v>2986210.74</v>
      </c>
      <c r="G278" s="170">
        <f t="shared" si="56"/>
        <v>117224.95236127163</v>
      </c>
      <c r="H278" s="531">
        <f>ROUND(F278*'Actual Load'!$B$19/'Zonal Load'!$N$19,2)</f>
        <v>2903738.1</v>
      </c>
      <c r="I278" s="170">
        <f t="shared" si="57"/>
        <v>2934889.96</v>
      </c>
      <c r="J278" s="170">
        <f t="shared" si="58"/>
        <v>-51320.780000000261</v>
      </c>
      <c r="K278" s="170">
        <f t="shared" si="59"/>
        <v>65904.172361271369</v>
      </c>
      <c r="L278" s="655">
        <f>E278*'Interest Over Collect'!J$7</f>
        <v>14925.405281884681</v>
      </c>
      <c r="M278" s="170">
        <f t="shared" si="60"/>
        <v>80829.577643156052</v>
      </c>
      <c r="N278" s="82"/>
    </row>
    <row r="279" spans="2:14" s="174" customFormat="1">
      <c r="B279" s="23" t="s">
        <v>31</v>
      </c>
      <c r="C279" s="211">
        <v>0</v>
      </c>
      <c r="D279" s="214">
        <v>0</v>
      </c>
      <c r="E279" s="212">
        <v>5.7825300000000004E-4</v>
      </c>
      <c r="F279" s="213">
        <f t="shared" si="61"/>
        <v>17631.87</v>
      </c>
      <c r="G279" s="170">
        <f t="shared" si="56"/>
        <v>692.14626022034963</v>
      </c>
      <c r="H279" s="531">
        <f>ROUND(F279*'Actual Load'!$B$25/'Zonal Load'!$N$25,2)</f>
        <v>17120.32</v>
      </c>
      <c r="I279" s="170">
        <f t="shared" si="57"/>
        <v>17303.990000000002</v>
      </c>
      <c r="J279" s="170">
        <f t="shared" si="58"/>
        <v>-327.87999999999738</v>
      </c>
      <c r="K279" s="170">
        <f t="shared" si="59"/>
        <v>364.26626022035225</v>
      </c>
      <c r="L279" s="655">
        <f>E279*'Interest Over Collect'!J$7</f>
        <v>88.125976936140006</v>
      </c>
      <c r="M279" s="170">
        <f t="shared" si="60"/>
        <v>452.39223715649223</v>
      </c>
      <c r="N279" s="82"/>
    </row>
    <row r="280" spans="2:14" s="174" customFormat="1">
      <c r="B280" s="23" t="s">
        <v>32</v>
      </c>
      <c r="C280" s="211">
        <v>0</v>
      </c>
      <c r="D280" s="214">
        <v>0</v>
      </c>
      <c r="E280" s="212">
        <v>3.2541869000000001E-2</v>
      </c>
      <c r="F280" s="213">
        <f t="shared" si="61"/>
        <v>992254.01</v>
      </c>
      <c r="G280" s="170">
        <f t="shared" si="56"/>
        <v>38951.346433015526</v>
      </c>
      <c r="H280" s="531">
        <f>ROUND(F280*'Actual Load'!$B$13/'Zonal Load'!$N$13,2)</f>
        <v>951862.86</v>
      </c>
      <c r="I280" s="170">
        <f t="shared" si="57"/>
        <v>962074.63</v>
      </c>
      <c r="J280" s="170">
        <f t="shared" si="58"/>
        <v>-30179.380000000005</v>
      </c>
      <c r="K280" s="170">
        <f t="shared" si="59"/>
        <v>8771.966433015521</v>
      </c>
      <c r="L280" s="655">
        <f>E280*'Interest Over Collect'!J$7</f>
        <v>4959.39320151022</v>
      </c>
      <c r="M280" s="170">
        <f t="shared" si="60"/>
        <v>13731.359634525741</v>
      </c>
      <c r="N280" s="82"/>
    </row>
    <row r="281" spans="2:14" s="174" customFormat="1">
      <c r="B281" s="23" t="s">
        <v>33</v>
      </c>
      <c r="C281" s="211">
        <v>0</v>
      </c>
      <c r="D281" s="214">
        <v>0</v>
      </c>
      <c r="E281" s="212">
        <v>0.18369840200000001</v>
      </c>
      <c r="F281" s="213">
        <f t="shared" si="61"/>
        <v>5601260.2199999997</v>
      </c>
      <c r="G281" s="170">
        <f t="shared" si="56"/>
        <v>219879.81377140176</v>
      </c>
      <c r="H281" s="531">
        <f>ROUND(F281*'Actual Load'!$B$23/'Zonal Load'!$N$23,2)</f>
        <v>7621555.4699999997</v>
      </c>
      <c r="I281" s="170">
        <f t="shared" si="57"/>
        <v>7703320.9900000002</v>
      </c>
      <c r="J281" s="170">
        <f t="shared" si="58"/>
        <v>2102060.7700000005</v>
      </c>
      <c r="K281" s="170">
        <f t="shared" si="59"/>
        <v>2321940.583771402</v>
      </c>
      <c r="L281" s="655">
        <f>E281*'Interest Over Collect'!J$7</f>
        <v>27995.706270192761</v>
      </c>
      <c r="M281" s="170">
        <f t="shared" si="60"/>
        <v>2349936.2900415948</v>
      </c>
      <c r="N281" s="82"/>
    </row>
    <row r="282" spans="2:14" s="174" customFormat="1">
      <c r="B282" s="23" t="s">
        <v>34</v>
      </c>
      <c r="C282" s="211">
        <v>0</v>
      </c>
      <c r="D282" s="214">
        <v>0</v>
      </c>
      <c r="E282" s="515">
        <v>1.3008333E-2</v>
      </c>
      <c r="F282" s="213">
        <f t="shared" si="61"/>
        <v>396645.03</v>
      </c>
      <c r="G282" s="170">
        <f t="shared" si="56"/>
        <v>15570.46662559634</v>
      </c>
      <c r="H282" s="531">
        <f>ROUND(F282*'Actual Load'!$B$20/'Zonal Load'!$N$20,2)</f>
        <v>445579.67</v>
      </c>
      <c r="I282" s="170">
        <f t="shared" si="57"/>
        <v>450359.93</v>
      </c>
      <c r="J282" s="170">
        <f t="shared" si="58"/>
        <v>53714.899999999965</v>
      </c>
      <c r="K282" s="170">
        <f t="shared" si="59"/>
        <v>69285.366625596303</v>
      </c>
      <c r="L282" s="655">
        <f>E282*'Interest Over Collect'!J$7</f>
        <v>1982.4748923665402</v>
      </c>
      <c r="M282" s="170">
        <f t="shared" si="60"/>
        <v>71267.84151796285</v>
      </c>
      <c r="N282" s="82"/>
    </row>
    <row r="283" spans="2:14">
      <c r="B283" s="25"/>
      <c r="C283" s="26">
        <f t="shared" ref="C283:M283" si="62">SUM(C259:C282)</f>
        <v>0</v>
      </c>
      <c r="D283" s="27">
        <f t="shared" si="62"/>
        <v>0</v>
      </c>
      <c r="E283" s="94">
        <f t="shared" si="62"/>
        <v>0.99999999900000014</v>
      </c>
      <c r="F283" s="90">
        <f t="shared" si="62"/>
        <v>30491610.970000006</v>
      </c>
      <c r="G283" s="76">
        <f t="shared" si="62"/>
        <v>1196960.9488030383</v>
      </c>
      <c r="H283" s="131">
        <f t="shared" si="62"/>
        <v>31779955.450000003</v>
      </c>
      <c r="I283" s="77">
        <f t="shared" si="62"/>
        <v>32120896.939999998</v>
      </c>
      <c r="J283" s="77">
        <f t="shared" si="62"/>
        <v>1629285.9700000004</v>
      </c>
      <c r="K283" s="510">
        <f t="shared" si="62"/>
        <v>2826246.9188030385</v>
      </c>
      <c r="L283" s="656">
        <f t="shared" si="62"/>
        <v>152400.3798475996</v>
      </c>
      <c r="M283" s="77">
        <f t="shared" si="62"/>
        <v>2978647.2986506387</v>
      </c>
    </row>
    <row r="284" spans="2:14">
      <c r="B284" s="82"/>
      <c r="C284" s="82"/>
      <c r="D284" s="82"/>
      <c r="E284" s="82"/>
      <c r="F284" s="3" t="s">
        <v>623</v>
      </c>
      <c r="G284" s="21"/>
      <c r="H284" s="133"/>
      <c r="I284" s="569" t="s">
        <v>621</v>
      </c>
      <c r="J284" s="570" t="s">
        <v>622</v>
      </c>
      <c r="K284" s="82"/>
      <c r="L284" s="82"/>
      <c r="M284" s="82"/>
    </row>
    <row r="285" spans="2:14">
      <c r="B285" s="82"/>
      <c r="C285" s="82"/>
      <c r="D285" s="82"/>
      <c r="E285" s="479" t="s">
        <v>610</v>
      </c>
      <c r="F285" s="168">
        <f>ROUND((I285*M$884)+(J285*M$888),0)</f>
        <v>30491611</v>
      </c>
      <c r="G285" s="82"/>
      <c r="H285" s="134"/>
      <c r="I285" s="571">
        <v>31011627.429202337</v>
      </c>
      <c r="J285" s="571">
        <v>28751670.911714356</v>
      </c>
      <c r="K285" s="82"/>
      <c r="L285" s="81"/>
      <c r="M285" s="82"/>
    </row>
    <row r="286" spans="2:14">
      <c r="B286" s="61"/>
      <c r="C286" s="61"/>
      <c r="D286" s="61"/>
      <c r="E286" s="480" t="s">
        <v>611</v>
      </c>
      <c r="F286" s="169">
        <f>ROUND((I286*M$884)+(J286*M$888),0)+0.05</f>
        <v>29294650.050000001</v>
      </c>
      <c r="G286" s="528">
        <f>F285-F286</f>
        <v>1196960.9499999993</v>
      </c>
      <c r="H286" s="529"/>
      <c r="I286" s="572">
        <f>'Att GG at 12.38 '!N78</f>
        <v>29794984.44917459</v>
      </c>
      <c r="J286" s="572">
        <f>'Att GG at 10.82'!N78</f>
        <v>27620561.916827001</v>
      </c>
      <c r="L286" s="174"/>
      <c r="M286" s="82"/>
    </row>
    <row r="287" spans="2:14">
      <c r="B287" s="61"/>
      <c r="C287" s="61"/>
      <c r="D287" s="61"/>
      <c r="E287" s="91" t="s">
        <v>153</v>
      </c>
      <c r="F287" s="175">
        <f>I283</f>
        <v>32120896.939999998</v>
      </c>
      <c r="G287" s="528">
        <f>F287-F285</f>
        <v>1629285.9399999976</v>
      </c>
      <c r="H287" s="530"/>
      <c r="K287" s="86"/>
      <c r="L287" s="644"/>
      <c r="M287" s="86"/>
    </row>
    <row r="288" spans="2:14">
      <c r="G288" s="528">
        <f>G286+G287</f>
        <v>2826246.8899999969</v>
      </c>
      <c r="H288" s="529">
        <f>F287-F286</f>
        <v>2826246.8899999969</v>
      </c>
      <c r="K288" s="86"/>
      <c r="L288" s="86"/>
      <c r="M288" s="86"/>
    </row>
    <row r="289" spans="1:14">
      <c r="B289" s="79"/>
      <c r="C289" s="79"/>
      <c r="D289" s="79"/>
      <c r="E289" s="79"/>
      <c r="F289" s="79"/>
      <c r="G289" s="79"/>
      <c r="H289" s="79"/>
      <c r="I289" s="79"/>
      <c r="J289" s="105"/>
      <c r="K289" s="79"/>
      <c r="L289" s="79"/>
      <c r="M289" s="79"/>
    </row>
    <row r="291" spans="1:14" ht="15.75" customHeight="1">
      <c r="B291" s="541" t="s">
        <v>0</v>
      </c>
      <c r="C291" s="692" t="s">
        <v>682</v>
      </c>
      <c r="D291" s="693"/>
      <c r="E291" s="693"/>
      <c r="F291" s="693"/>
      <c r="G291" s="693"/>
      <c r="H291" s="694"/>
      <c r="I291" s="1"/>
    </row>
    <row r="292" spans="1:14" ht="15.75" customHeight="1">
      <c r="B292" s="69" t="s">
        <v>1</v>
      </c>
      <c r="C292" s="695" t="s">
        <v>136</v>
      </c>
      <c r="D292" s="687"/>
      <c r="E292" s="687"/>
      <c r="F292" s="687"/>
      <c r="G292" s="687"/>
      <c r="H292" s="688"/>
      <c r="I292" s="1"/>
    </row>
    <row r="293" spans="1:14" ht="15.75" customHeight="1">
      <c r="B293" s="69" t="s">
        <v>3</v>
      </c>
      <c r="C293" s="696" t="s">
        <v>114</v>
      </c>
      <c r="D293" s="687"/>
      <c r="E293" s="687"/>
      <c r="F293" s="687"/>
      <c r="G293" s="687"/>
      <c r="H293" s="688"/>
      <c r="I293" s="1"/>
    </row>
    <row r="294" spans="1:14" ht="15.75" customHeight="1">
      <c r="B294" s="70" t="s">
        <v>5</v>
      </c>
      <c r="C294" s="697" t="s">
        <v>6</v>
      </c>
      <c r="D294" s="690"/>
      <c r="E294" s="690"/>
      <c r="F294" s="690"/>
      <c r="G294" s="690"/>
      <c r="H294" s="691"/>
      <c r="I294" s="1"/>
    </row>
    <row r="295" spans="1:14">
      <c r="B295" s="74"/>
      <c r="C295" s="74"/>
      <c r="D295" s="74"/>
      <c r="E295" s="74"/>
      <c r="F295" s="74"/>
      <c r="J295" s="99" t="s">
        <v>155</v>
      </c>
      <c r="K295" s="3" t="s">
        <v>40</v>
      </c>
      <c r="M295" s="3" t="s">
        <v>54</v>
      </c>
    </row>
    <row r="296" spans="1:14">
      <c r="B296" s="74"/>
      <c r="C296" s="74"/>
      <c r="D296" s="74"/>
      <c r="E296" s="74"/>
      <c r="F296" s="74"/>
      <c r="G296" s="3" t="s">
        <v>37</v>
      </c>
      <c r="H296" s="127" t="s">
        <v>38</v>
      </c>
      <c r="I296" s="92" t="s">
        <v>39</v>
      </c>
      <c r="J296" s="100" t="s">
        <v>156</v>
      </c>
      <c r="K296" s="4" t="s">
        <v>157</v>
      </c>
      <c r="L296" s="4" t="s">
        <v>53</v>
      </c>
      <c r="M296" s="4" t="s">
        <v>158</v>
      </c>
      <c r="N296" s="191"/>
    </row>
    <row r="297" spans="1:14">
      <c r="B297" s="74"/>
      <c r="C297" s="74"/>
      <c r="D297" s="74"/>
      <c r="E297" s="74"/>
      <c r="F297" s="74"/>
      <c r="G297" s="5"/>
      <c r="H297" s="662" t="s">
        <v>41</v>
      </c>
      <c r="I297" s="663"/>
      <c r="J297" s="664"/>
      <c r="K297" s="6" t="s">
        <v>42</v>
      </c>
      <c r="L297" s="5"/>
      <c r="M297" s="6" t="s">
        <v>43</v>
      </c>
      <c r="N297" s="191"/>
    </row>
    <row r="298" spans="1:14">
      <c r="B298" s="75"/>
      <c r="C298" s="7">
        <v>0.2</v>
      </c>
      <c r="D298" s="7">
        <v>0.8</v>
      </c>
      <c r="E298" s="7"/>
      <c r="F298" s="87" t="s">
        <v>154</v>
      </c>
      <c r="G298" s="8" t="s">
        <v>44</v>
      </c>
      <c r="H298" s="128"/>
      <c r="I298" s="5"/>
      <c r="J298" s="101" t="s">
        <v>45</v>
      </c>
      <c r="K298" s="8" t="s">
        <v>46</v>
      </c>
      <c r="L298" s="9"/>
      <c r="M298" s="8" t="s">
        <v>47</v>
      </c>
    </row>
    <row r="299" spans="1:14">
      <c r="B299" s="10"/>
      <c r="C299" s="68" t="s">
        <v>8</v>
      </c>
      <c r="D299" s="68" t="s">
        <v>9</v>
      </c>
      <c r="E299" s="68" t="s">
        <v>10</v>
      </c>
      <c r="F299" s="88" t="s">
        <v>7</v>
      </c>
      <c r="G299" s="11" t="s">
        <v>48</v>
      </c>
      <c r="H299" s="129" t="s">
        <v>49</v>
      </c>
      <c r="I299" s="12" t="s">
        <v>152</v>
      </c>
      <c r="J299" s="102" t="s">
        <v>48</v>
      </c>
      <c r="K299" s="12" t="s">
        <v>48</v>
      </c>
      <c r="L299" s="12" t="s">
        <v>50</v>
      </c>
      <c r="M299" s="12" t="s">
        <v>51</v>
      </c>
    </row>
    <row r="300" spans="1:14" ht="31.5">
      <c r="B300" s="13" t="s">
        <v>12</v>
      </c>
      <c r="C300" s="14" t="s">
        <v>13</v>
      </c>
      <c r="D300" s="14" t="s">
        <v>13</v>
      </c>
      <c r="E300" s="15" t="s">
        <v>13</v>
      </c>
      <c r="F300" s="89" t="s">
        <v>14</v>
      </c>
      <c r="G300" s="16" t="s">
        <v>52</v>
      </c>
      <c r="H300" s="130"/>
      <c r="I300" s="17"/>
      <c r="J300" s="103" t="s">
        <v>52</v>
      </c>
      <c r="K300" s="17"/>
      <c r="L300" s="17"/>
      <c r="M300" s="16" t="s">
        <v>52</v>
      </c>
    </row>
    <row r="301" spans="1:14" s="174" customFormat="1">
      <c r="B301" s="18" t="s">
        <v>15</v>
      </c>
      <c r="C301" s="211">
        <v>2.2164937859183092E-2</v>
      </c>
      <c r="D301" s="214">
        <v>0</v>
      </c>
      <c r="E301" s="212">
        <f t="shared" ref="E301:E324" si="63">C301+D301</f>
        <v>2.2164937859183092E-2</v>
      </c>
      <c r="F301" s="215">
        <f>ROUND(+E301*F$327,2)</f>
        <v>727725.82</v>
      </c>
      <c r="G301" s="170">
        <f t="shared" ref="G301:G324" si="64">(F$327-F$328)*E301</f>
        <v>42916.572785651093</v>
      </c>
      <c r="H301" s="531">
        <f>ROUND(F301*'Actual Load'!$B$8/'Zonal Load'!$N$8,2)</f>
        <v>727725.82</v>
      </c>
      <c r="I301" s="170">
        <f t="shared" ref="I301:I324" si="65">ROUND((H301*$H$912)/$H$910,2)</f>
        <v>735533</v>
      </c>
      <c r="J301" s="170">
        <f t="shared" ref="J301:J324" si="66">I301-F301</f>
        <v>7807.1800000000512</v>
      </c>
      <c r="K301" s="170">
        <f t="shared" ref="K301:K324" si="67">+G301+J301</f>
        <v>50723.752785651144</v>
      </c>
      <c r="L301" s="655">
        <f>E301*'Interest Over Collect'!J$8</f>
        <v>3637.2527820798514</v>
      </c>
      <c r="M301" s="170">
        <f>+K301+L301</f>
        <v>54361.005567730994</v>
      </c>
      <c r="N301" s="82"/>
    </row>
    <row r="302" spans="1:14" s="174" customFormat="1">
      <c r="B302" s="23" t="s">
        <v>16</v>
      </c>
      <c r="C302" s="211">
        <v>1.0662514248883771E-3</v>
      </c>
      <c r="D302" s="214">
        <v>0</v>
      </c>
      <c r="E302" s="212">
        <f t="shared" si="63"/>
        <v>1.0662514248883771E-3</v>
      </c>
      <c r="F302" s="213">
        <f>ROUND(+E302*F$327,2)</f>
        <v>35007.480000000003</v>
      </c>
      <c r="G302" s="170">
        <f t="shared" si="64"/>
        <v>2064.5154601715967</v>
      </c>
      <c r="H302" s="531">
        <f>ROUND(F302*'Actual Load'!$B$14/'Zonal Load'!$N$14,2)</f>
        <v>33698.910000000003</v>
      </c>
      <c r="I302" s="170">
        <f t="shared" si="65"/>
        <v>34060.44</v>
      </c>
      <c r="J302" s="170">
        <f t="shared" si="66"/>
        <v>-947.04000000000087</v>
      </c>
      <c r="K302" s="170">
        <f t="shared" si="67"/>
        <v>1117.4754601715958</v>
      </c>
      <c r="L302" s="655">
        <f>E302*'Interest Over Collect'!J$8</f>
        <v>174.97120841081352</v>
      </c>
      <c r="M302" s="170">
        <f t="shared" ref="M302:M324" si="68">+K302+L302</f>
        <v>1292.4466685824093</v>
      </c>
      <c r="N302" s="82"/>
    </row>
    <row r="303" spans="1:14" s="174" customFormat="1">
      <c r="B303" s="23" t="s">
        <v>190</v>
      </c>
      <c r="C303" s="211">
        <f>2.02141717256893%*0.421</f>
        <v>8.5101662965151956E-3</v>
      </c>
      <c r="D303" s="214">
        <f>0%*0.421</f>
        <v>0</v>
      </c>
      <c r="E303" s="212">
        <f t="shared" si="63"/>
        <v>8.5101662965151956E-3</v>
      </c>
      <c r="F303" s="213">
        <f t="shared" ref="F303:F324" si="69">ROUND(+E303*F$327,2)</f>
        <v>279408.31</v>
      </c>
      <c r="G303" s="170">
        <f t="shared" si="64"/>
        <v>16477.698859465694</v>
      </c>
      <c r="H303" s="531">
        <f>ROUND(F303*'Actual Load'!$B$9/'Zonal Load'!$N$9,2)</f>
        <v>279408.31</v>
      </c>
      <c r="I303" s="170">
        <f t="shared" si="65"/>
        <v>282405.86</v>
      </c>
      <c r="J303" s="170">
        <f t="shared" si="66"/>
        <v>2997.5499999999884</v>
      </c>
      <c r="K303" s="170">
        <f t="shared" si="67"/>
        <v>19475.248859465682</v>
      </c>
      <c r="L303" s="655">
        <f>E303*'Interest Over Collect'!J$8</f>
        <v>1396.5130980567028</v>
      </c>
      <c r="M303" s="170">
        <f t="shared" si="68"/>
        <v>20871.761957522387</v>
      </c>
      <c r="N303" s="82"/>
    </row>
    <row r="304" spans="1:14" s="174" customFormat="1">
      <c r="B304" s="125" t="s">
        <v>249</v>
      </c>
      <c r="C304" s="211">
        <f>2.02141717256893%*0.579</f>
        <v>1.1704005429174104E-2</v>
      </c>
      <c r="D304" s="214">
        <f>0%*0.579</f>
        <v>0</v>
      </c>
      <c r="E304" s="212">
        <f>C304+D304</f>
        <v>1.1704005429174104E-2</v>
      </c>
      <c r="F304" s="213">
        <f t="shared" si="69"/>
        <v>384269.38</v>
      </c>
      <c r="G304" s="170">
        <f>(F$327-F$328)*E304</f>
        <v>22661.728360167781</v>
      </c>
      <c r="H304" s="531">
        <f>ROUND(F304*'Actual Load'!$B$10/'Zonal Load'!$N$10,2)</f>
        <v>390392.01</v>
      </c>
      <c r="I304" s="170">
        <f t="shared" si="65"/>
        <v>394580.21</v>
      </c>
      <c r="J304" s="170">
        <f>I304-F304</f>
        <v>10310.830000000016</v>
      </c>
      <c r="K304" s="170">
        <f>+G304+J304</f>
        <v>32972.558360167794</v>
      </c>
      <c r="L304" s="655">
        <f>E304*'Interest Over Collect'!J$8</f>
        <v>1920.6201514841589</v>
      </c>
      <c r="M304" s="170">
        <f>+K304+L304</f>
        <v>34893.178511651953</v>
      </c>
      <c r="N304" s="82"/>
    </row>
    <row r="305" spans="1:14" s="174" customFormat="1">
      <c r="B305" s="23" t="s">
        <v>17</v>
      </c>
      <c r="C305" s="211">
        <v>1.9941202679664245E-3</v>
      </c>
      <c r="D305" s="214">
        <v>0</v>
      </c>
      <c r="E305" s="212">
        <f t="shared" si="63"/>
        <v>1.9941202679664245E-3</v>
      </c>
      <c r="F305" s="213">
        <f t="shared" si="69"/>
        <v>65471.55</v>
      </c>
      <c r="G305" s="170">
        <f t="shared" si="64"/>
        <v>3861.0894452865059</v>
      </c>
      <c r="H305" s="531">
        <f>ROUND(F305*'Actual Load'!$B$26/'Zonal Load'!$N$26,2)</f>
        <v>65221.77</v>
      </c>
      <c r="I305" s="170">
        <f t="shared" si="65"/>
        <v>65921.48</v>
      </c>
      <c r="J305" s="170">
        <f t="shared" si="66"/>
        <v>449.92999999999302</v>
      </c>
      <c r="K305" s="170">
        <f t="shared" si="67"/>
        <v>4311.0194452864989</v>
      </c>
      <c r="L305" s="655">
        <f>E305*'Interest Over Collect'!J$8</f>
        <v>327.23391955992685</v>
      </c>
      <c r="M305" s="170">
        <f t="shared" si="68"/>
        <v>4638.2533648464259</v>
      </c>
      <c r="N305" s="82"/>
    </row>
    <row r="306" spans="1:14" s="174" customFormat="1">
      <c r="B306" s="23" t="s">
        <v>18</v>
      </c>
      <c r="C306" s="211">
        <v>5.0000236590646875E-3</v>
      </c>
      <c r="D306" s="214">
        <v>0</v>
      </c>
      <c r="E306" s="212">
        <f t="shared" si="63"/>
        <v>5.0000236590646875E-3</v>
      </c>
      <c r="F306" s="213">
        <f t="shared" si="69"/>
        <v>164162.26</v>
      </c>
      <c r="G306" s="170">
        <f t="shared" si="64"/>
        <v>9681.2308095564331</v>
      </c>
      <c r="H306" s="531">
        <f>ROUND(F306*'Actual Load'!$B$16/'Zonal Load'!$N$16,2)</f>
        <v>163443.46</v>
      </c>
      <c r="I306" s="170">
        <f t="shared" si="65"/>
        <v>165196.91</v>
      </c>
      <c r="J306" s="170">
        <f t="shared" si="66"/>
        <v>1034.6499999999942</v>
      </c>
      <c r="K306" s="170">
        <f t="shared" si="67"/>
        <v>10715.880809556427</v>
      </c>
      <c r="L306" s="655">
        <f>E306*'Interest Over Collect'!J$8</f>
        <v>820.50083243808331</v>
      </c>
      <c r="M306" s="170">
        <f t="shared" si="68"/>
        <v>11536.381641994511</v>
      </c>
      <c r="N306" s="82"/>
    </row>
    <row r="307" spans="1:14" s="174" customFormat="1">
      <c r="B307" s="23" t="s">
        <v>19</v>
      </c>
      <c r="C307" s="211">
        <v>5.765638403631492E-3</v>
      </c>
      <c r="D307" s="214">
        <v>0</v>
      </c>
      <c r="E307" s="212">
        <f t="shared" si="63"/>
        <v>5.765638403631492E-3</v>
      </c>
      <c r="F307" s="213">
        <f t="shared" si="69"/>
        <v>189299.15</v>
      </c>
      <c r="G307" s="170">
        <f t="shared" si="64"/>
        <v>11163.642405732229</v>
      </c>
      <c r="H307" s="531">
        <f>ROUND(F307*'Actual Load'!$B$22/'Zonal Load'!$N$22,2)</f>
        <v>184506.89</v>
      </c>
      <c r="I307" s="170">
        <f t="shared" si="65"/>
        <v>186486.32</v>
      </c>
      <c r="J307" s="170">
        <f t="shared" si="66"/>
        <v>-2812.8299999999872</v>
      </c>
      <c r="K307" s="170">
        <f t="shared" si="67"/>
        <v>8350.812405732242</v>
      </c>
      <c r="L307" s="655">
        <f>E307*'Interest Over Collect'!J$8</f>
        <v>946.13774499650174</v>
      </c>
      <c r="M307" s="170">
        <f t="shared" si="68"/>
        <v>9296.9501507287441</v>
      </c>
      <c r="N307" s="82"/>
    </row>
    <row r="308" spans="1:14" s="174" customFormat="1">
      <c r="B308" s="23" t="s">
        <v>20</v>
      </c>
      <c r="C308" s="211">
        <v>1.351039410792648E-2</v>
      </c>
      <c r="D308" s="214">
        <v>0</v>
      </c>
      <c r="E308" s="212">
        <f t="shared" si="63"/>
        <v>1.351039410792648E-2</v>
      </c>
      <c r="F308" s="213">
        <f t="shared" si="69"/>
        <v>443577.27</v>
      </c>
      <c r="G308" s="170">
        <f t="shared" si="64"/>
        <v>26159.324956349246</v>
      </c>
      <c r="H308" s="531">
        <f>ROUND(F308*'Actual Load'!$B$17/'Zonal Load'!$N$17,2)</f>
        <v>441640.25</v>
      </c>
      <c r="I308" s="170">
        <f t="shared" si="65"/>
        <v>446378.25</v>
      </c>
      <c r="J308" s="170">
        <f t="shared" si="66"/>
        <v>2800.9799999999814</v>
      </c>
      <c r="K308" s="170">
        <f t="shared" si="67"/>
        <v>28960.304956349228</v>
      </c>
      <c r="L308" s="655">
        <f>E308*'Interest Over Collect'!J$8</f>
        <v>2217.0474317703297</v>
      </c>
      <c r="M308" s="170">
        <f t="shared" si="68"/>
        <v>31177.352388119558</v>
      </c>
      <c r="N308" s="82"/>
    </row>
    <row r="309" spans="1:14" s="174" customFormat="1">
      <c r="B309" s="23" t="s">
        <v>21</v>
      </c>
      <c r="C309" s="211">
        <v>1.7924394526780265E-2</v>
      </c>
      <c r="D309" s="214">
        <v>0</v>
      </c>
      <c r="E309" s="212">
        <f t="shared" si="63"/>
        <v>1.7924394526780265E-2</v>
      </c>
      <c r="F309" s="213">
        <f t="shared" si="69"/>
        <v>588499.04</v>
      </c>
      <c r="G309" s="170">
        <f t="shared" si="64"/>
        <v>34705.875885349436</v>
      </c>
      <c r="H309" s="531">
        <f>ROUND(F309*'Actual Load'!$B$15/'Zonal Load'!$N$15,2)</f>
        <v>583727.17000000004</v>
      </c>
      <c r="I309" s="170">
        <f t="shared" si="65"/>
        <v>589989.51</v>
      </c>
      <c r="J309" s="170">
        <f t="shared" si="66"/>
        <v>1490.4699999999721</v>
      </c>
      <c r="K309" s="170">
        <f t="shared" si="67"/>
        <v>36196.345885349408</v>
      </c>
      <c r="L309" s="655">
        <f>E309*'Interest Over Collect'!J$8</f>
        <v>2941.3822079639804</v>
      </c>
      <c r="M309" s="170">
        <f t="shared" si="68"/>
        <v>39137.728093313388</v>
      </c>
      <c r="N309" s="82"/>
    </row>
    <row r="310" spans="1:14" s="174" customFormat="1">
      <c r="B310" s="23" t="s">
        <v>22</v>
      </c>
      <c r="C310" s="211">
        <v>5.4068299863813066E-3</v>
      </c>
      <c r="D310" s="214">
        <v>9.3611186119966425E-2</v>
      </c>
      <c r="E310" s="212">
        <f t="shared" si="63"/>
        <v>9.9018016106347737E-2</v>
      </c>
      <c r="F310" s="213">
        <f t="shared" si="69"/>
        <v>3250988.91</v>
      </c>
      <c r="G310" s="170">
        <f t="shared" si="64"/>
        <v>191722.34645170643</v>
      </c>
      <c r="H310" s="531">
        <f>ROUND(F310*'Actual Load'!$B$4/'Zonal Load'!$N$4,2)</f>
        <v>3208028.39</v>
      </c>
      <c r="I310" s="170">
        <f t="shared" si="65"/>
        <v>3242444.74</v>
      </c>
      <c r="J310" s="170">
        <f t="shared" si="66"/>
        <v>-8544.1699999999255</v>
      </c>
      <c r="K310" s="170">
        <f t="shared" si="67"/>
        <v>183178.1764517065</v>
      </c>
      <c r="L310" s="655">
        <f>E310*'Interest Over Collect'!J$8</f>
        <v>16248.79604206184</v>
      </c>
      <c r="M310" s="170">
        <f t="shared" si="68"/>
        <v>199426.97249376835</v>
      </c>
      <c r="N310" s="82"/>
    </row>
    <row r="311" spans="1:14" s="174" customFormat="1">
      <c r="B311" s="23" t="s">
        <v>23</v>
      </c>
      <c r="C311" s="211">
        <v>4.5182681452834018E-4</v>
      </c>
      <c r="D311" s="214">
        <v>0</v>
      </c>
      <c r="E311" s="212">
        <f t="shared" si="63"/>
        <v>4.5182681452834018E-4</v>
      </c>
      <c r="F311" s="213">
        <f t="shared" si="69"/>
        <v>14834.51</v>
      </c>
      <c r="G311" s="170">
        <f t="shared" si="64"/>
        <v>874.84379588190984</v>
      </c>
      <c r="H311" s="531">
        <f>ROUND(F311*'Actual Load'!$B$11/'Zonal Load'!$N$11,2)</f>
        <v>14407.98</v>
      </c>
      <c r="I311" s="170">
        <f t="shared" si="65"/>
        <v>14562.55</v>
      </c>
      <c r="J311" s="170">
        <f t="shared" si="66"/>
        <v>-271.96000000000095</v>
      </c>
      <c r="K311" s="170">
        <f t="shared" si="67"/>
        <v>602.8837958819089</v>
      </c>
      <c r="L311" s="655">
        <f>E311*'Interest Over Collect'!J$8</f>
        <v>74.144504649743766</v>
      </c>
      <c r="M311" s="170">
        <f t="shared" si="68"/>
        <v>677.02830053165269</v>
      </c>
      <c r="N311" s="82"/>
    </row>
    <row r="312" spans="1:14" s="174" customFormat="1">
      <c r="B312" s="23" t="s">
        <v>25</v>
      </c>
      <c r="C312" s="211">
        <v>1.3632763870194574E-2</v>
      </c>
      <c r="D312" s="214">
        <v>0</v>
      </c>
      <c r="E312" s="212">
        <f t="shared" si="63"/>
        <v>1.3632763870194574E-2</v>
      </c>
      <c r="F312" s="213">
        <f t="shared" si="69"/>
        <v>447594.95</v>
      </c>
      <c r="G312" s="170">
        <f t="shared" si="64"/>
        <v>26396.261817733932</v>
      </c>
      <c r="H312" s="531">
        <f>ROUND(F312*'Actual Load'!$B$7/'Zonal Load'!$N$7,2)</f>
        <v>422202.98</v>
      </c>
      <c r="I312" s="170">
        <f t="shared" si="65"/>
        <v>426732.45</v>
      </c>
      <c r="J312" s="170">
        <f t="shared" si="66"/>
        <v>-20862.5</v>
      </c>
      <c r="K312" s="170">
        <f t="shared" si="67"/>
        <v>5533.7618177339318</v>
      </c>
      <c r="L312" s="655">
        <f>E312*'Interest Over Collect'!J$8</f>
        <v>2237.1282351129689</v>
      </c>
      <c r="M312" s="170">
        <f t="shared" si="68"/>
        <v>7770.8900528469003</v>
      </c>
      <c r="N312" s="82"/>
    </row>
    <row r="313" spans="1:14" s="174" customFormat="1">
      <c r="B313" s="23" t="s">
        <v>24</v>
      </c>
      <c r="C313" s="211">
        <v>1.364955676680121E-2</v>
      </c>
      <c r="D313" s="214">
        <v>0</v>
      </c>
      <c r="E313" s="212">
        <f t="shared" si="63"/>
        <v>1.364955676680121E-2</v>
      </c>
      <c r="F313" s="213">
        <f t="shared" si="69"/>
        <v>448146.3</v>
      </c>
      <c r="G313" s="170">
        <f t="shared" si="64"/>
        <v>26428.776845480872</v>
      </c>
      <c r="H313" s="531">
        <f>ROUND(F313*'Actual Load'!$B$6/'Zonal Load'!$N$6,2)</f>
        <v>440414.89</v>
      </c>
      <c r="I313" s="170">
        <f t="shared" si="65"/>
        <v>445139.75</v>
      </c>
      <c r="J313" s="170">
        <f t="shared" si="66"/>
        <v>-3006.5499999999884</v>
      </c>
      <c r="K313" s="170">
        <f t="shared" si="67"/>
        <v>23422.226845480884</v>
      </c>
      <c r="L313" s="655">
        <f>E313*'Interest Over Collect'!J$8</f>
        <v>2239.8839392024511</v>
      </c>
      <c r="M313" s="170">
        <f t="shared" si="68"/>
        <v>25662.110784683333</v>
      </c>
      <c r="N313" s="82"/>
    </row>
    <row r="314" spans="1:14" s="174" customFormat="1">
      <c r="B314" s="23" t="s">
        <v>116</v>
      </c>
      <c r="C314" s="211">
        <v>9.3395305800359797E-4</v>
      </c>
      <c r="D314" s="214">
        <v>0</v>
      </c>
      <c r="E314" s="212">
        <f t="shared" si="63"/>
        <v>9.3395305800359797E-4</v>
      </c>
      <c r="F314" s="213">
        <f t="shared" si="69"/>
        <v>30663.82</v>
      </c>
      <c r="G314" s="170">
        <f t="shared" si="64"/>
        <v>1808.3544671697125</v>
      </c>
      <c r="H314" s="531">
        <f>ROUND(F314*'Actual Load'!$B$18/'Zonal Load'!$N$18,2)</f>
        <v>30315.95</v>
      </c>
      <c r="I314" s="170">
        <f t="shared" si="65"/>
        <v>30641.19</v>
      </c>
      <c r="J314" s="170">
        <f t="shared" si="66"/>
        <v>-22.630000000001019</v>
      </c>
      <c r="K314" s="170">
        <f t="shared" si="67"/>
        <v>1785.7244671697115</v>
      </c>
      <c r="L314" s="655">
        <f>E314*'Interest Over Collect'!J$8</f>
        <v>153.26112710702506</v>
      </c>
      <c r="M314" s="170">
        <f t="shared" si="68"/>
        <v>1938.9855942767365</v>
      </c>
      <c r="N314" s="82"/>
    </row>
    <row r="315" spans="1:14" s="174" customFormat="1">
      <c r="B315" s="23" t="s">
        <v>117</v>
      </c>
      <c r="C315" s="211">
        <v>2.4232591975772091E-4</v>
      </c>
      <c r="D315" s="214">
        <v>0</v>
      </c>
      <c r="E315" s="212">
        <f t="shared" si="63"/>
        <v>2.4232591975772091E-4</v>
      </c>
      <c r="F315" s="213">
        <f t="shared" si="69"/>
        <v>7956.12</v>
      </c>
      <c r="G315" s="170">
        <f t="shared" si="64"/>
        <v>469.20041189393027</v>
      </c>
      <c r="H315" s="531">
        <f>ROUND(F315*'Actual Load'!$B$17/'Zonal Load'!$N$17,2)</f>
        <v>7921.38</v>
      </c>
      <c r="I315" s="170">
        <f t="shared" si="65"/>
        <v>8006.36</v>
      </c>
      <c r="J315" s="170">
        <f t="shared" si="66"/>
        <v>50.239999999999782</v>
      </c>
      <c r="K315" s="170">
        <f t="shared" si="67"/>
        <v>519.4404118939301</v>
      </c>
      <c r="L315" s="655">
        <f>E315*'Interest Over Collect'!J$8</f>
        <v>39.765535613430956</v>
      </c>
      <c r="M315" s="170">
        <f t="shared" si="68"/>
        <v>559.20594750736109</v>
      </c>
      <c r="N315" s="82"/>
    </row>
    <row r="316" spans="1:14" s="174" customFormat="1">
      <c r="B316" s="23" t="s">
        <v>26</v>
      </c>
      <c r="C316" s="211">
        <v>6.7387845414696888E-4</v>
      </c>
      <c r="D316" s="214">
        <v>0</v>
      </c>
      <c r="E316" s="212">
        <f t="shared" si="63"/>
        <v>6.7387845414696888E-4</v>
      </c>
      <c r="F316" s="213">
        <f t="shared" si="69"/>
        <v>22124.98</v>
      </c>
      <c r="G316" s="170">
        <f t="shared" si="64"/>
        <v>1304.7883964221646</v>
      </c>
      <c r="H316" s="531">
        <f>ROUND(F316*'Actual Load'!$B$12/'Zonal Load'!$N$12,2)</f>
        <v>20325.68</v>
      </c>
      <c r="I316" s="170">
        <f t="shared" si="65"/>
        <v>20543.740000000002</v>
      </c>
      <c r="J316" s="170">
        <f t="shared" si="66"/>
        <v>-1581.239999999998</v>
      </c>
      <c r="K316" s="170">
        <f t="shared" si="67"/>
        <v>-276.45160357783334</v>
      </c>
      <c r="L316" s="655">
        <f>E316*'Interest Over Collect'!J$8</f>
        <v>110.58304325966057</v>
      </c>
      <c r="M316" s="170">
        <f t="shared" si="68"/>
        <v>-165.86856031817277</v>
      </c>
      <c r="N316" s="82"/>
    </row>
    <row r="317" spans="1:14" s="174" customFormat="1">
      <c r="B317" s="23" t="s">
        <v>27</v>
      </c>
      <c r="C317" s="211">
        <v>7.138477492783221E-4</v>
      </c>
      <c r="D317" s="214">
        <v>0</v>
      </c>
      <c r="E317" s="212">
        <f t="shared" si="63"/>
        <v>7.138477492783221E-4</v>
      </c>
      <c r="F317" s="213">
        <f t="shared" si="69"/>
        <v>23437.26</v>
      </c>
      <c r="G317" s="170">
        <f t="shared" si="64"/>
        <v>1382.1784245194106</v>
      </c>
      <c r="H317" s="531">
        <f>ROUND(F317*'Actual Load'!$B$24/'Zonal Load'!$N$24,2)</f>
        <v>23135.439999999999</v>
      </c>
      <c r="I317" s="170">
        <f t="shared" si="65"/>
        <v>23383.64</v>
      </c>
      <c r="J317" s="170">
        <f t="shared" si="66"/>
        <v>-53.619999999998981</v>
      </c>
      <c r="K317" s="170">
        <f t="shared" si="67"/>
        <v>1328.5584245194116</v>
      </c>
      <c r="L317" s="655">
        <f>E317*'Interest Over Collect'!J$8</f>
        <v>117.14198020944561</v>
      </c>
      <c r="M317" s="170">
        <f t="shared" si="68"/>
        <v>1445.7004047288572</v>
      </c>
      <c r="N317" s="82"/>
    </row>
    <row r="318" spans="1:14" s="174" customFormat="1">
      <c r="B318" s="23" t="s">
        <v>28</v>
      </c>
      <c r="C318" s="211">
        <v>2.0662656180320461E-2</v>
      </c>
      <c r="D318" s="214">
        <v>0.12478102294492677</v>
      </c>
      <c r="E318" s="212">
        <f t="shared" si="63"/>
        <v>0.14544367912524722</v>
      </c>
      <c r="F318" s="213">
        <f t="shared" si="69"/>
        <v>4775250.07</v>
      </c>
      <c r="G318" s="170">
        <f t="shared" si="64"/>
        <v>281613.43293843133</v>
      </c>
      <c r="H318" s="531">
        <f>ROUND(F318*'Actual Load'!$B$5/'Zonal Load'!$N$5,2)</f>
        <v>4895958.3099999996</v>
      </c>
      <c r="I318" s="170">
        <f t="shared" si="65"/>
        <v>4948483.09</v>
      </c>
      <c r="J318" s="170">
        <f t="shared" si="66"/>
        <v>173233.01999999955</v>
      </c>
      <c r="K318" s="170">
        <f t="shared" si="67"/>
        <v>454846.45293843088</v>
      </c>
      <c r="L318" s="655">
        <f>E318*'Interest Over Collect'!J$8</f>
        <v>23867.219023808804</v>
      </c>
      <c r="M318" s="170">
        <f t="shared" si="68"/>
        <v>478713.67196223966</v>
      </c>
      <c r="N318" s="82"/>
    </row>
    <row r="319" spans="1:14" s="174" customFormat="1">
      <c r="B319" s="23" t="s">
        <v>29</v>
      </c>
      <c r="C319" s="211">
        <v>1.6395630776288334E-2</v>
      </c>
      <c r="D319" s="214">
        <v>0.51694680703295415</v>
      </c>
      <c r="E319" s="212">
        <f t="shared" si="63"/>
        <v>0.53334243780924251</v>
      </c>
      <c r="F319" s="213">
        <f t="shared" si="69"/>
        <v>17510857.32</v>
      </c>
      <c r="G319" s="170">
        <f t="shared" si="64"/>
        <v>1032677.3617564543</v>
      </c>
      <c r="H319" s="531">
        <f>ROUND(F319*'Actual Load'!$B$21/'Zonal Load'!$N$21,2)</f>
        <v>16780239.859999999</v>
      </c>
      <c r="I319" s="170">
        <f t="shared" si="65"/>
        <v>16960261.510000002</v>
      </c>
      <c r="J319" s="170">
        <f t="shared" si="66"/>
        <v>-550595.80999999866</v>
      </c>
      <c r="K319" s="170">
        <f t="shared" si="67"/>
        <v>482081.55175645568</v>
      </c>
      <c r="L319" s="655">
        <f>E319*'Interest Over Collect'!J$8</f>
        <v>87521.168705609642</v>
      </c>
      <c r="M319" s="170">
        <f t="shared" si="68"/>
        <v>569602.72046206531</v>
      </c>
      <c r="N319" s="82"/>
    </row>
    <row r="320" spans="1:14" s="174" customFormat="1">
      <c r="B320" s="23" t="s">
        <v>30</v>
      </c>
      <c r="C320" s="211">
        <v>3.3339219349105471E-3</v>
      </c>
      <c r="D320" s="214">
        <v>1.1944101778948947E-2</v>
      </c>
      <c r="E320" s="212">
        <f t="shared" si="63"/>
        <v>1.5278023713859494E-2</v>
      </c>
      <c r="F320" s="213">
        <f t="shared" si="69"/>
        <v>501612.61</v>
      </c>
      <c r="G320" s="170">
        <f t="shared" si="64"/>
        <v>29581.874801652164</v>
      </c>
      <c r="H320" s="531">
        <f>ROUND(F320*'Actual Load'!$B$19/'Zonal Load'!$N$19,2)</f>
        <v>487759.16</v>
      </c>
      <c r="I320" s="170">
        <f t="shared" si="65"/>
        <v>492991.93</v>
      </c>
      <c r="J320" s="170">
        <f t="shared" si="66"/>
        <v>-8620.679999999993</v>
      </c>
      <c r="K320" s="170">
        <f t="shared" si="67"/>
        <v>20961.194801652171</v>
      </c>
      <c r="L320" s="655">
        <f>E320*'Interest Over Collect'!J$8</f>
        <v>2507.1143718498779</v>
      </c>
      <c r="M320" s="170">
        <f t="shared" si="68"/>
        <v>23468.30917350205</v>
      </c>
      <c r="N320" s="82"/>
    </row>
    <row r="321" spans="2:14" s="174" customFormat="1">
      <c r="B321" s="23" t="s">
        <v>31</v>
      </c>
      <c r="C321" s="211">
        <v>5.0286007396416947E-4</v>
      </c>
      <c r="D321" s="214">
        <v>7.1206587451959805E-2</v>
      </c>
      <c r="E321" s="212">
        <f t="shared" si="63"/>
        <v>7.1709447525923981E-2</v>
      </c>
      <c r="F321" s="213">
        <f t="shared" si="69"/>
        <v>2354385.88</v>
      </c>
      <c r="G321" s="170">
        <f t="shared" si="64"/>
        <v>138846.48554925248</v>
      </c>
      <c r="H321" s="531">
        <f>ROUND(F321*'Actual Load'!$B$25/'Zonal Load'!$N$25,2)</f>
        <v>2286078.9500000002</v>
      </c>
      <c r="I321" s="170">
        <f t="shared" si="65"/>
        <v>2310604.4500000002</v>
      </c>
      <c r="J321" s="170">
        <f t="shared" si="66"/>
        <v>-43781.429999999702</v>
      </c>
      <c r="K321" s="170">
        <f t="shared" si="67"/>
        <v>95065.055549252778</v>
      </c>
      <c r="L321" s="655">
        <f>E321*'Interest Over Collect'!J$8</f>
        <v>11767.476596241135</v>
      </c>
      <c r="M321" s="170">
        <f t="shared" si="68"/>
        <v>106832.53214549391</v>
      </c>
      <c r="N321" s="82"/>
    </row>
    <row r="322" spans="2:14" s="174" customFormat="1">
      <c r="B322" s="23" t="s">
        <v>32</v>
      </c>
      <c r="C322" s="211">
        <v>1.9508298526599059E-3</v>
      </c>
      <c r="D322" s="214">
        <v>1.2709766264955144E-2</v>
      </c>
      <c r="E322" s="212">
        <f t="shared" si="63"/>
        <v>1.4660596117615049E-2</v>
      </c>
      <c r="F322" s="213">
        <f t="shared" si="69"/>
        <v>481341.05</v>
      </c>
      <c r="G322" s="170">
        <f t="shared" si="64"/>
        <v>28386.38864498261</v>
      </c>
      <c r="H322" s="531">
        <f>ROUND(F322*'Actual Load'!$B$13/'Zonal Load'!$N$13,2)</f>
        <v>461747.36</v>
      </c>
      <c r="I322" s="170">
        <f t="shared" si="65"/>
        <v>466701.07</v>
      </c>
      <c r="J322" s="170">
        <f t="shared" si="66"/>
        <v>-14639.979999999981</v>
      </c>
      <c r="K322" s="170">
        <f t="shared" si="67"/>
        <v>13746.408644982628</v>
      </c>
      <c r="L322" s="655">
        <f>E322*'Interest Over Collect'!J$8</f>
        <v>2405.7948799369979</v>
      </c>
      <c r="M322" s="170">
        <f t="shared" si="68"/>
        <v>16152.203524919627</v>
      </c>
      <c r="N322" s="82"/>
    </row>
    <row r="323" spans="2:14" s="174" customFormat="1">
      <c r="B323" s="23" t="s">
        <v>33</v>
      </c>
      <c r="C323" s="211">
        <v>1.4369579482544754E-3</v>
      </c>
      <c r="D323" s="214">
        <v>0</v>
      </c>
      <c r="E323" s="212">
        <f t="shared" si="63"/>
        <v>1.4369579482544754E-3</v>
      </c>
      <c r="F323" s="213">
        <f t="shared" si="69"/>
        <v>47178.63</v>
      </c>
      <c r="G323" s="170">
        <f t="shared" si="64"/>
        <v>2782.2911468544007</v>
      </c>
      <c r="H323" s="531">
        <f>ROUND(F323*'Actual Load'!$B$23/'Zonal Load'!$N$23,2)</f>
        <v>64195.29</v>
      </c>
      <c r="I323" s="170">
        <f t="shared" si="65"/>
        <v>64883.99</v>
      </c>
      <c r="J323" s="170">
        <f t="shared" si="66"/>
        <v>17705.36</v>
      </c>
      <c r="K323" s="170">
        <f t="shared" si="67"/>
        <v>20487.651146854401</v>
      </c>
      <c r="L323" s="655">
        <f>E323*'Interest Over Collect'!J$8</f>
        <v>235.80392276421099</v>
      </c>
      <c r="M323" s="170">
        <f t="shared" si="68"/>
        <v>20723.455069618612</v>
      </c>
      <c r="N323" s="82"/>
    </row>
    <row r="324" spans="2:14" s="174" customFormat="1">
      <c r="B324" s="23" t="s">
        <v>34</v>
      </c>
      <c r="C324" s="211">
        <v>1.1727570456685852E-3</v>
      </c>
      <c r="D324" s="214">
        <v>0</v>
      </c>
      <c r="E324" s="212">
        <f t="shared" si="63"/>
        <v>1.1727570456685852E-3</v>
      </c>
      <c r="F324" s="213">
        <f t="shared" si="69"/>
        <v>38504.31</v>
      </c>
      <c r="G324" s="170">
        <f t="shared" si="64"/>
        <v>2270.7355838342046</v>
      </c>
      <c r="H324" s="531">
        <f>ROUND(F324*'Actual Load'!$B$20/'Zonal Load'!$N$20,2)</f>
        <v>43254.64</v>
      </c>
      <c r="I324" s="170">
        <f t="shared" si="65"/>
        <v>43718.68</v>
      </c>
      <c r="J324" s="170">
        <f t="shared" si="66"/>
        <v>5214.3700000000026</v>
      </c>
      <c r="K324" s="170">
        <f t="shared" si="67"/>
        <v>7485.1055838342072</v>
      </c>
      <c r="L324" s="655">
        <f>E324*'Interest Over Collect'!J$8</f>
        <v>192.44871581241699</v>
      </c>
      <c r="M324" s="170">
        <f t="shared" si="68"/>
        <v>7677.5542996466238</v>
      </c>
      <c r="N324" s="82"/>
    </row>
    <row r="325" spans="2:14">
      <c r="B325" s="25"/>
      <c r="C325" s="26">
        <f t="shared" ref="C325:M325" si="70">SUM(C301:C324)</f>
        <v>0.16880052840628862</v>
      </c>
      <c r="D325" s="27">
        <f t="shared" si="70"/>
        <v>0.83119947159371133</v>
      </c>
      <c r="E325" s="94">
        <f t="shared" si="70"/>
        <v>0.99999999999999989</v>
      </c>
      <c r="F325" s="90">
        <f t="shared" si="70"/>
        <v>32832296.979999997</v>
      </c>
      <c r="G325" s="76">
        <f t="shared" si="70"/>
        <v>1936237</v>
      </c>
      <c r="H325" s="131">
        <f t="shared" si="70"/>
        <v>32055750.849999998</v>
      </c>
      <c r="I325" s="77">
        <f t="shared" si="70"/>
        <v>32399651.119999997</v>
      </c>
      <c r="J325" s="77">
        <f t="shared" si="70"/>
        <v>-432645.85999999871</v>
      </c>
      <c r="K325" s="563">
        <f t="shared" si="70"/>
        <v>1503591.1400000013</v>
      </c>
      <c r="L325" s="656">
        <f t="shared" si="70"/>
        <v>164099.38999999998</v>
      </c>
      <c r="M325" s="77">
        <f t="shared" si="70"/>
        <v>1667690.5300000012</v>
      </c>
    </row>
    <row r="326" spans="2:14">
      <c r="B326" s="82"/>
      <c r="C326" s="82"/>
      <c r="D326" s="82"/>
      <c r="E326" s="82"/>
      <c r="F326" s="3" t="s">
        <v>623</v>
      </c>
      <c r="G326" s="21"/>
      <c r="H326" s="133"/>
      <c r="I326" s="569" t="s">
        <v>621</v>
      </c>
      <c r="J326" s="570" t="s">
        <v>622</v>
      </c>
      <c r="K326" s="82"/>
      <c r="L326" s="82"/>
      <c r="M326" s="82"/>
    </row>
    <row r="327" spans="2:14">
      <c r="B327" s="82"/>
      <c r="C327" s="82"/>
      <c r="D327" s="82"/>
      <c r="E327" s="479" t="s">
        <v>610</v>
      </c>
      <c r="F327" s="168">
        <f>ROUND((I327*M$884)+(J327*M$888),0)</f>
        <v>32832297</v>
      </c>
      <c r="G327" s="82"/>
      <c r="H327" s="134"/>
      <c r="I327" s="571">
        <v>33404288.084436063</v>
      </c>
      <c r="J327" s="571">
        <v>30918450.406543352</v>
      </c>
      <c r="K327" s="82"/>
      <c r="M327" s="82"/>
    </row>
    <row r="328" spans="2:14">
      <c r="B328" s="82"/>
      <c r="C328" s="82"/>
      <c r="D328" s="82"/>
      <c r="E328" s="480" t="s">
        <v>611</v>
      </c>
      <c r="F328" s="169">
        <f>ROUND((I328*M$884)+(J328*M$888),0)</f>
        <v>30896060</v>
      </c>
      <c r="G328" s="528">
        <f>F327-F328</f>
        <v>1936237</v>
      </c>
      <c r="H328" s="529"/>
      <c r="I328" s="572">
        <f>'Att GG at 12.38 '!N79</f>
        <v>31437097.177572932</v>
      </c>
      <c r="J328" s="572">
        <f>'Att GG at 10.82'!N79</f>
        <v>29085785.379294511</v>
      </c>
      <c r="K328" s="82"/>
      <c r="L328" s="81"/>
      <c r="M328" s="82"/>
    </row>
    <row r="329" spans="2:14">
      <c r="B329" s="61"/>
      <c r="C329" s="61"/>
      <c r="D329" s="61"/>
      <c r="E329" s="91" t="s">
        <v>153</v>
      </c>
      <c r="F329" s="175">
        <f>I325</f>
        <v>32399651.119999997</v>
      </c>
      <c r="G329" s="528">
        <f>F329-F327</f>
        <v>-432645.88000000268</v>
      </c>
      <c r="H329" s="530"/>
      <c r="K329" s="86"/>
      <c r="L329" s="644"/>
      <c r="M329" s="86"/>
    </row>
    <row r="330" spans="2:14">
      <c r="G330" s="528">
        <f>G328+G329</f>
        <v>1503591.1199999973</v>
      </c>
      <c r="H330" s="529">
        <f>F329-F328</f>
        <v>1503591.1199999973</v>
      </c>
      <c r="K330" s="86"/>
      <c r="L330" s="86"/>
      <c r="M330" s="86"/>
    </row>
    <row r="331" spans="2:14">
      <c r="B331" s="79"/>
      <c r="C331" s="79"/>
      <c r="D331" s="79"/>
      <c r="E331" s="79"/>
      <c r="F331" s="79"/>
      <c r="G331" s="79"/>
      <c r="H331" s="79"/>
      <c r="I331" s="79"/>
      <c r="J331" s="105"/>
      <c r="K331" s="79"/>
      <c r="L331" s="79"/>
      <c r="M331" s="79"/>
    </row>
    <row r="333" spans="2:14" ht="15.75" customHeight="1">
      <c r="B333" s="541" t="s">
        <v>0</v>
      </c>
      <c r="C333" s="692" t="s">
        <v>683</v>
      </c>
      <c r="D333" s="693"/>
      <c r="E333" s="693"/>
      <c r="F333" s="693"/>
      <c r="G333" s="693"/>
      <c r="H333" s="694"/>
      <c r="I333" s="1"/>
    </row>
    <row r="334" spans="2:14" ht="15.75" customHeight="1">
      <c r="B334" s="69" t="s">
        <v>1</v>
      </c>
      <c r="C334" s="695" t="s">
        <v>137</v>
      </c>
      <c r="D334" s="687"/>
      <c r="E334" s="687"/>
      <c r="F334" s="687"/>
      <c r="G334" s="687"/>
      <c r="H334" s="688"/>
      <c r="I334" s="1"/>
    </row>
    <row r="335" spans="2:14" ht="15.75" customHeight="1">
      <c r="B335" s="69" t="s">
        <v>3</v>
      </c>
      <c r="C335" s="696" t="s">
        <v>114</v>
      </c>
      <c r="D335" s="687"/>
      <c r="E335" s="687"/>
      <c r="F335" s="687"/>
      <c r="G335" s="687"/>
      <c r="H335" s="688"/>
      <c r="I335" s="1"/>
    </row>
    <row r="336" spans="2:14" ht="15.75" customHeight="1">
      <c r="B336" s="70" t="s">
        <v>5</v>
      </c>
      <c r="C336" s="697" t="s">
        <v>6</v>
      </c>
      <c r="D336" s="690"/>
      <c r="E336" s="690"/>
      <c r="F336" s="690"/>
      <c r="G336" s="690"/>
      <c r="H336" s="691"/>
      <c r="I336" s="1"/>
    </row>
    <row r="337" spans="1:14">
      <c r="B337" s="74"/>
      <c r="C337" s="74"/>
      <c r="D337" s="74"/>
      <c r="E337" s="74"/>
      <c r="F337" s="74"/>
      <c r="J337" s="99" t="s">
        <v>155</v>
      </c>
      <c r="K337" s="3" t="s">
        <v>40</v>
      </c>
      <c r="M337" s="3" t="s">
        <v>54</v>
      </c>
    </row>
    <row r="338" spans="1:14">
      <c r="B338" s="74"/>
      <c r="C338" s="74"/>
      <c r="D338" s="74"/>
      <c r="E338" s="74"/>
      <c r="F338" s="74"/>
      <c r="G338" s="3" t="s">
        <v>37</v>
      </c>
      <c r="H338" s="127" t="s">
        <v>38</v>
      </c>
      <c r="I338" s="92" t="s">
        <v>39</v>
      </c>
      <c r="J338" s="100" t="s">
        <v>156</v>
      </c>
      <c r="K338" s="4" t="s">
        <v>157</v>
      </c>
      <c r="L338" s="4" t="s">
        <v>53</v>
      </c>
      <c r="M338" s="4" t="s">
        <v>158</v>
      </c>
      <c r="N338" s="191"/>
    </row>
    <row r="339" spans="1:14">
      <c r="B339" s="74"/>
      <c r="C339" s="74"/>
      <c r="D339" s="74"/>
      <c r="E339" s="74"/>
      <c r="F339" s="74"/>
      <c r="G339" s="5"/>
      <c r="H339" s="662" t="s">
        <v>41</v>
      </c>
      <c r="I339" s="663"/>
      <c r="J339" s="664"/>
      <c r="K339" s="6" t="s">
        <v>42</v>
      </c>
      <c r="L339" s="5"/>
      <c r="M339" s="6" t="s">
        <v>43</v>
      </c>
      <c r="N339" s="191"/>
    </row>
    <row r="340" spans="1:14">
      <c r="B340" s="75"/>
      <c r="C340" s="7">
        <v>0.2</v>
      </c>
      <c r="D340" s="7">
        <v>0.8</v>
      </c>
      <c r="E340" s="7"/>
      <c r="F340" s="87" t="s">
        <v>154</v>
      </c>
      <c r="G340" s="8" t="s">
        <v>44</v>
      </c>
      <c r="H340" s="128"/>
      <c r="I340" s="5"/>
      <c r="J340" s="101" t="s">
        <v>45</v>
      </c>
      <c r="K340" s="8" t="s">
        <v>46</v>
      </c>
      <c r="L340" s="9"/>
      <c r="M340" s="8" t="s">
        <v>47</v>
      </c>
    </row>
    <row r="341" spans="1:14">
      <c r="B341" s="10"/>
      <c r="C341" s="68" t="s">
        <v>8</v>
      </c>
      <c r="D341" s="68" t="s">
        <v>9</v>
      </c>
      <c r="E341" s="68" t="s">
        <v>10</v>
      </c>
      <c r="F341" s="88" t="s">
        <v>7</v>
      </c>
      <c r="G341" s="11" t="s">
        <v>48</v>
      </c>
      <c r="H341" s="129" t="s">
        <v>49</v>
      </c>
      <c r="I341" s="12" t="s">
        <v>152</v>
      </c>
      <c r="J341" s="102" t="s">
        <v>48</v>
      </c>
      <c r="K341" s="12" t="s">
        <v>48</v>
      </c>
      <c r="L341" s="12" t="s">
        <v>50</v>
      </c>
      <c r="M341" s="12" t="s">
        <v>51</v>
      </c>
    </row>
    <row r="342" spans="1:14" ht="31.5">
      <c r="B342" s="13" t="s">
        <v>12</v>
      </c>
      <c r="C342" s="14" t="s">
        <v>13</v>
      </c>
      <c r="D342" s="14" t="s">
        <v>13</v>
      </c>
      <c r="E342" s="96" t="s">
        <v>13</v>
      </c>
      <c r="F342" s="89" t="s">
        <v>14</v>
      </c>
      <c r="G342" s="16" t="s">
        <v>52</v>
      </c>
      <c r="H342" s="130"/>
      <c r="I342" s="17"/>
      <c r="J342" s="103" t="s">
        <v>52</v>
      </c>
      <c r="K342" s="17"/>
      <c r="L342" s="17"/>
      <c r="M342" s="16" t="s">
        <v>52</v>
      </c>
    </row>
    <row r="343" spans="1:14" s="174" customFormat="1">
      <c r="B343" s="18" t="s">
        <v>15</v>
      </c>
      <c r="C343" s="211">
        <f>0.0570140929748884%*2</f>
        <v>1.140281859497768E-3</v>
      </c>
      <c r="D343" s="214">
        <v>0</v>
      </c>
      <c r="E343" s="212">
        <f t="shared" ref="E343:E364" si="71">C343+D343</f>
        <v>1.140281859497768E-3</v>
      </c>
      <c r="F343" s="217">
        <f>ROUND(+E343*F$367,2)</f>
        <v>74.040000000000006</v>
      </c>
      <c r="G343" s="170">
        <f t="shared" ref="G343:G364" si="72">(F$367-F$368)*E343</f>
        <v>1.7389298357340963</v>
      </c>
      <c r="H343" s="531">
        <f>ROUND(F343*'Actual Load'!$B$8/'Zonal Load'!$N$8,2)</f>
        <v>74.040000000000006</v>
      </c>
      <c r="I343" s="170">
        <f t="shared" ref="I343:I364" si="73">ROUND((H343*$H$912)/$H$910,2)</f>
        <v>74.83</v>
      </c>
      <c r="J343" s="170">
        <f t="shared" ref="J343:J364" si="74">I343-F343</f>
        <v>0.78999999999999204</v>
      </c>
      <c r="K343" s="170">
        <f t="shared" ref="K343:K364" si="75">+G343+J343</f>
        <v>2.5289298357340884</v>
      </c>
      <c r="L343" s="655">
        <f>E343*'Interest Under Collect '!J$9</f>
        <v>-6.4882037805422996E-2</v>
      </c>
      <c r="M343" s="170">
        <f t="shared" ref="M343:M350" si="76">+K343+L343</f>
        <v>2.4640477979286652</v>
      </c>
      <c r="N343" s="82"/>
    </row>
    <row r="344" spans="1:14" s="174" customFormat="1">
      <c r="B344" s="23" t="s">
        <v>16</v>
      </c>
      <c r="C344" s="211">
        <f>0.0029798826665683%*2</f>
        <v>5.9597653331365996E-5</v>
      </c>
      <c r="D344" s="214">
        <v>0</v>
      </c>
      <c r="E344" s="212">
        <f t="shared" si="71"/>
        <v>5.9597653331365996E-5</v>
      </c>
      <c r="F344" s="218">
        <f>ROUND(+E344*F$367,2)</f>
        <v>3.87</v>
      </c>
      <c r="G344" s="170">
        <f t="shared" si="72"/>
        <v>9.0886421330333145E-2</v>
      </c>
      <c r="H344" s="531">
        <f>ROUND(F344*'Actual Load'!$B$14/'Zonal Load'!$N$14,2)</f>
        <v>3.73</v>
      </c>
      <c r="I344" s="170">
        <f t="shared" si="73"/>
        <v>3.77</v>
      </c>
      <c r="J344" s="170">
        <f t="shared" si="74"/>
        <v>-0.10000000000000009</v>
      </c>
      <c r="K344" s="170">
        <f t="shared" si="75"/>
        <v>-9.1135786696669441E-3</v>
      </c>
      <c r="L344" s="655">
        <f>E344*'Interest Under Collect '!J$9</f>
        <v>-3.391106474554725E-3</v>
      </c>
      <c r="M344" s="170">
        <f t="shared" si="76"/>
        <v>-1.2504685144221669E-2</v>
      </c>
      <c r="N344" s="82"/>
    </row>
    <row r="345" spans="1:14" s="174" customFormat="1">
      <c r="B345" s="23" t="s">
        <v>190</v>
      </c>
      <c r="C345" s="211">
        <f>(0.0520150575171606%*2)*0.421</f>
        <v>4.3796678429449228E-4</v>
      </c>
      <c r="D345" s="214">
        <f>0%*0.421</f>
        <v>0</v>
      </c>
      <c r="E345" s="212">
        <f t="shared" si="71"/>
        <v>4.3796678429449228E-4</v>
      </c>
      <c r="F345" s="218">
        <f t="shared" ref="F345:F364" si="77">ROUND(+E345*F$367,2)</f>
        <v>28.44</v>
      </c>
      <c r="G345" s="170">
        <f t="shared" si="72"/>
        <v>0.66789934604910073</v>
      </c>
      <c r="H345" s="531">
        <f>ROUND(F345*'Actual Load'!$B$9/'Zonal Load'!$N$9,2)</f>
        <v>28.44</v>
      </c>
      <c r="I345" s="170">
        <f t="shared" si="73"/>
        <v>28.75</v>
      </c>
      <c r="J345" s="170">
        <f t="shared" si="74"/>
        <v>0.30999999999999872</v>
      </c>
      <c r="K345" s="170">
        <f t="shared" si="75"/>
        <v>0.97789934604909945</v>
      </c>
      <c r="L345" s="655">
        <f>E345*'Interest Under Collect '!J$9</f>
        <v>-2.4920310026356609E-2</v>
      </c>
      <c r="M345" s="170">
        <f t="shared" si="76"/>
        <v>0.95297903602274281</v>
      </c>
      <c r="N345" s="82"/>
    </row>
    <row r="346" spans="1:14" s="174" customFormat="1">
      <c r="B346" s="125" t="s">
        <v>249</v>
      </c>
      <c r="C346" s="211">
        <f>(0.0520150575171606%*2)*0.579</f>
        <v>6.0233436604871971E-4</v>
      </c>
      <c r="D346" s="214">
        <f>0%*0.579</f>
        <v>0</v>
      </c>
      <c r="E346" s="212">
        <f>C346+D346</f>
        <v>6.0233436604871971E-4</v>
      </c>
      <c r="F346" s="218">
        <f t="shared" si="77"/>
        <v>39.11</v>
      </c>
      <c r="G346" s="170">
        <f>(F$367-F$368)*E346</f>
        <v>0.91855990822429756</v>
      </c>
      <c r="H346" s="531">
        <f>ROUND(F346*'Actual Load'!$B$10/'Zonal Load'!$N$10,2)</f>
        <v>39.729999999999997</v>
      </c>
      <c r="I346" s="170">
        <f t="shared" si="73"/>
        <v>40.159999999999997</v>
      </c>
      <c r="J346" s="170">
        <f>I346-F346</f>
        <v>1.0499999999999972</v>
      </c>
      <c r="K346" s="170">
        <f>+G346+J346</f>
        <v>1.9685599082242948</v>
      </c>
      <c r="L346" s="655">
        <f>E346*'Interest Under Collect '!J$9</f>
        <v>-3.427282542817215E-2</v>
      </c>
      <c r="M346" s="170">
        <f>+K346+L346</f>
        <v>1.9342870827961227</v>
      </c>
      <c r="N346" s="82"/>
    </row>
    <row r="347" spans="1:14" s="174" customFormat="1">
      <c r="B347" s="23" t="s">
        <v>17</v>
      </c>
      <c r="C347" s="211">
        <f>0.00535819522270603%*2</f>
        <v>1.0716390445412061E-4</v>
      </c>
      <c r="D347" s="214">
        <v>0</v>
      </c>
      <c r="E347" s="212">
        <f t="shared" si="71"/>
        <v>1.0716390445412061E-4</v>
      </c>
      <c r="F347" s="218">
        <f t="shared" si="77"/>
        <v>6.96</v>
      </c>
      <c r="G347" s="170">
        <f t="shared" si="72"/>
        <v>0.16342495429253392</v>
      </c>
      <c r="H347" s="531">
        <f>ROUND(F347*'Actual Load'!$B$26/'Zonal Load'!$N$26,2)</f>
        <v>6.93</v>
      </c>
      <c r="I347" s="170">
        <f t="shared" si="73"/>
        <v>7</v>
      </c>
      <c r="J347" s="170">
        <f t="shared" si="74"/>
        <v>4.0000000000000036E-2</v>
      </c>
      <c r="K347" s="170">
        <f t="shared" si="75"/>
        <v>0.20342495429253396</v>
      </c>
      <c r="L347" s="655">
        <f>E347*'Interest Under Collect '!J$9</f>
        <v>-6.0976261634394626E-3</v>
      </c>
      <c r="M347" s="170">
        <f t="shared" si="76"/>
        <v>0.19732732812909451</v>
      </c>
      <c r="N347" s="82"/>
    </row>
    <row r="348" spans="1:14" s="174" customFormat="1">
      <c r="B348" s="23" t="s">
        <v>18</v>
      </c>
      <c r="C348" s="211">
        <f>0.0134163336857722%*2</f>
        <v>2.6832667371544399E-4</v>
      </c>
      <c r="D348" s="214">
        <v>0</v>
      </c>
      <c r="E348" s="212">
        <f t="shared" si="71"/>
        <v>2.6832667371544399E-4</v>
      </c>
      <c r="F348" s="218">
        <f t="shared" si="77"/>
        <v>17.420000000000002</v>
      </c>
      <c r="G348" s="170">
        <f t="shared" si="72"/>
        <v>0.40919817741605208</v>
      </c>
      <c r="H348" s="531">
        <f>ROUND(F348*'Actual Load'!$B$16/'Zonal Load'!$N$16,2)</f>
        <v>17.34</v>
      </c>
      <c r="I348" s="170">
        <f t="shared" si="73"/>
        <v>17.53</v>
      </c>
      <c r="J348" s="170">
        <f t="shared" si="74"/>
        <v>0.10999999999999943</v>
      </c>
      <c r="K348" s="170">
        <f t="shared" si="75"/>
        <v>0.51919817741605145</v>
      </c>
      <c r="L348" s="655">
        <f>E348*'Interest Under Collect '!J$9</f>
        <v>-1.5267787734408763E-2</v>
      </c>
      <c r="M348" s="170">
        <f t="shared" si="76"/>
        <v>0.50393038968164272</v>
      </c>
      <c r="N348" s="82"/>
    </row>
    <row r="349" spans="1:14" s="174" customFormat="1">
      <c r="B349" s="23" t="s">
        <v>19</v>
      </c>
      <c r="C349" s="211">
        <f>0.014905873740698%*2</f>
        <v>2.9811747481395999E-4</v>
      </c>
      <c r="D349" s="214">
        <v>0</v>
      </c>
      <c r="E349" s="212">
        <f t="shared" si="71"/>
        <v>2.9811747481395999E-4</v>
      </c>
      <c r="F349" s="218">
        <f t="shared" si="77"/>
        <v>19.36</v>
      </c>
      <c r="G349" s="170">
        <f t="shared" si="72"/>
        <v>0.45462914909128899</v>
      </c>
      <c r="H349" s="531">
        <f>ROUND(F349*'Actual Load'!$B$22/'Zonal Load'!$N$22,2)</f>
        <v>18.87</v>
      </c>
      <c r="I349" s="170">
        <f t="shared" si="73"/>
        <v>19.07</v>
      </c>
      <c r="J349" s="170">
        <f t="shared" si="74"/>
        <v>-0.28999999999999915</v>
      </c>
      <c r="K349" s="170">
        <f t="shared" si="75"/>
        <v>0.16462914909128984</v>
      </c>
      <c r="L349" s="655">
        <f>E349*'Interest Under Collect '!J$9</f>
        <v>-1.6962884316914322E-2</v>
      </c>
      <c r="M349" s="170">
        <f t="shared" si="76"/>
        <v>0.14766626477437553</v>
      </c>
      <c r="N349" s="82"/>
    </row>
    <row r="350" spans="1:14" s="174" customFormat="1">
      <c r="B350" s="23" t="s">
        <v>20</v>
      </c>
      <c r="C350" s="211">
        <f>0.0370869797072986%*2</f>
        <v>7.4173959414597205E-4</v>
      </c>
      <c r="D350" s="214">
        <v>0</v>
      </c>
      <c r="E350" s="212">
        <f t="shared" si="71"/>
        <v>7.4173959414597205E-4</v>
      </c>
      <c r="F350" s="218">
        <f t="shared" si="77"/>
        <v>48.16</v>
      </c>
      <c r="G350" s="170">
        <f t="shared" si="72"/>
        <v>1.1311528810726075</v>
      </c>
      <c r="H350" s="531">
        <f>ROUND(F350*'Actual Load'!$B$17/'Zonal Load'!$N$17,2)</f>
        <v>47.95</v>
      </c>
      <c r="I350" s="170">
        <f t="shared" si="73"/>
        <v>48.46</v>
      </c>
      <c r="J350" s="170">
        <f t="shared" si="74"/>
        <v>0.30000000000000426</v>
      </c>
      <c r="K350" s="170">
        <f t="shared" si="75"/>
        <v>1.4311528810726117</v>
      </c>
      <c r="L350" s="655">
        <f>E350*'Interest Under Collect '!J$9</f>
        <v>-4.2204982906905809E-2</v>
      </c>
      <c r="M350" s="170">
        <f t="shared" si="76"/>
        <v>1.388947898165706</v>
      </c>
      <c r="N350" s="82"/>
    </row>
    <row r="351" spans="1:14" s="174" customFormat="1">
      <c r="B351" s="23" t="s">
        <v>21</v>
      </c>
      <c r="C351" s="211">
        <f>0.0486849665461369%*2</f>
        <v>9.7369933092273807E-4</v>
      </c>
      <c r="D351" s="214">
        <v>0</v>
      </c>
      <c r="E351" s="212">
        <f t="shared" si="71"/>
        <v>9.7369933092273807E-4</v>
      </c>
      <c r="F351" s="218">
        <f t="shared" si="77"/>
        <v>63.23</v>
      </c>
      <c r="G351" s="170">
        <f t="shared" si="72"/>
        <v>1.4848914796571755</v>
      </c>
      <c r="H351" s="531">
        <f>ROUND(F351*'Actual Load'!$B$15/'Zonal Load'!$N$15,2)</f>
        <v>62.72</v>
      </c>
      <c r="I351" s="170">
        <f t="shared" si="73"/>
        <v>63.39</v>
      </c>
      <c r="J351" s="170">
        <f t="shared" si="74"/>
        <v>0.16000000000000369</v>
      </c>
      <c r="K351" s="170">
        <f t="shared" si="75"/>
        <v>1.6448914796571792</v>
      </c>
      <c r="L351" s="655">
        <f>E351*'Interest Under Collect '!J$9</f>
        <v>-5.5403491929503793E-2</v>
      </c>
      <c r="M351" s="170">
        <f>+K351+L351</f>
        <v>1.5894879877276753</v>
      </c>
      <c r="N351" s="82"/>
    </row>
    <row r="352" spans="1:14" s="174" customFormat="1">
      <c r="B352" s="23" t="s">
        <v>22</v>
      </c>
      <c r="C352" s="211">
        <f>0.0153173753089281%*2</f>
        <v>3.0634750617856201E-4</v>
      </c>
      <c r="D352" s="214">
        <v>0</v>
      </c>
      <c r="E352" s="212">
        <f t="shared" si="71"/>
        <v>3.0634750617856201E-4</v>
      </c>
      <c r="F352" s="218">
        <f t="shared" si="77"/>
        <v>19.89</v>
      </c>
      <c r="G352" s="170">
        <f t="shared" si="72"/>
        <v>0.46717994692230708</v>
      </c>
      <c r="H352" s="531">
        <f>ROUND(F352*'Actual Load'!$B$4/'Zonal Load'!$N$4,2)</f>
        <v>19.63</v>
      </c>
      <c r="I352" s="170">
        <f t="shared" si="73"/>
        <v>19.84</v>
      </c>
      <c r="J352" s="170">
        <f t="shared" si="74"/>
        <v>-5.0000000000000711E-2</v>
      </c>
      <c r="K352" s="170">
        <f t="shared" si="75"/>
        <v>0.41717994692230637</v>
      </c>
      <c r="L352" s="655">
        <f>E352*'Interest Under Collect '!J$9</f>
        <v>-1.7431173101560178E-2</v>
      </c>
      <c r="M352" s="170">
        <f t="shared" ref="M352:M364" si="78">+K352+L352</f>
        <v>0.39974877382074619</v>
      </c>
      <c r="N352" s="82"/>
    </row>
    <row r="353" spans="2:14" s="174" customFormat="1">
      <c r="B353" s="23" t="s">
        <v>23</v>
      </c>
      <c r="C353" s="211">
        <f>0.00107876130111864%*2</f>
        <v>2.1575226022372797E-5</v>
      </c>
      <c r="D353" s="214">
        <v>0</v>
      </c>
      <c r="E353" s="212">
        <f t="shared" si="71"/>
        <v>2.1575226022372797E-5</v>
      </c>
      <c r="F353" s="218">
        <f t="shared" si="77"/>
        <v>1.4</v>
      </c>
      <c r="G353" s="170">
        <f t="shared" si="72"/>
        <v>3.2902219684118515E-2</v>
      </c>
      <c r="H353" s="531">
        <f>ROUND(F353*'Actual Load'!$B$11/'Zonal Load'!$N$11,2)</f>
        <v>1.36</v>
      </c>
      <c r="I353" s="170">
        <f t="shared" si="73"/>
        <v>1.37</v>
      </c>
      <c r="J353" s="170">
        <f t="shared" si="74"/>
        <v>-2.9999999999999805E-2</v>
      </c>
      <c r="K353" s="170">
        <f t="shared" si="75"/>
        <v>2.9022196841187106E-3</v>
      </c>
      <c r="L353" s="655">
        <f>E353*'Interest Under Collect '!J$9</f>
        <v>-1.227630360673012E-3</v>
      </c>
      <c r="M353" s="170">
        <f t="shared" si="78"/>
        <v>1.6745893234456986E-3</v>
      </c>
      <c r="N353" s="82"/>
    </row>
    <row r="354" spans="2:14" s="174" customFormat="1">
      <c r="B354" s="23" t="s">
        <v>24</v>
      </c>
      <c r="C354" s="211">
        <f>0.0365877633724287%*2</f>
        <v>7.3175526744857398E-4</v>
      </c>
      <c r="D354" s="214">
        <v>0</v>
      </c>
      <c r="E354" s="212">
        <f t="shared" si="71"/>
        <v>7.3175526744857398E-4</v>
      </c>
      <c r="F354" s="218">
        <f t="shared" si="77"/>
        <v>47.52</v>
      </c>
      <c r="G354" s="170">
        <f t="shared" si="72"/>
        <v>1.1159267828590753</v>
      </c>
      <c r="H354" s="531">
        <f>ROUND(F354*'Actual Load'!$B$6/'Zonal Load'!$N$6,2)</f>
        <v>46.7</v>
      </c>
      <c r="I354" s="170">
        <f t="shared" si="73"/>
        <v>47.2</v>
      </c>
      <c r="J354" s="170">
        <f t="shared" si="74"/>
        <v>-0.32000000000000028</v>
      </c>
      <c r="K354" s="170">
        <f t="shared" si="75"/>
        <v>0.79592678285907503</v>
      </c>
      <c r="L354" s="655">
        <f>E354*'Interest Under Collect '!J$9</f>
        <v>-4.163687471782386E-2</v>
      </c>
      <c r="M354" s="170">
        <f t="shared" si="78"/>
        <v>0.75428990814125119</v>
      </c>
      <c r="N354" s="82"/>
    </row>
    <row r="355" spans="2:14" s="174" customFormat="1">
      <c r="B355" s="23" t="s">
        <v>25</v>
      </c>
      <c r="C355" s="211">
        <f>0.036101299351104%*2</f>
        <v>7.2202598702208012E-4</v>
      </c>
      <c r="D355" s="214">
        <v>0</v>
      </c>
      <c r="E355" s="212">
        <f t="shared" si="71"/>
        <v>7.2202598702208012E-4</v>
      </c>
      <c r="F355" s="218">
        <f t="shared" si="77"/>
        <v>46.88</v>
      </c>
      <c r="G355" s="170">
        <f t="shared" si="72"/>
        <v>1.1010896302086721</v>
      </c>
      <c r="H355" s="531">
        <f>ROUND(F355*'Actual Load'!$B$7/'Zonal Load'!$N$7,2)</f>
        <v>44.22</v>
      </c>
      <c r="I355" s="170">
        <f t="shared" si="73"/>
        <v>44.69</v>
      </c>
      <c r="J355" s="170">
        <f t="shared" si="74"/>
        <v>-2.1900000000000048</v>
      </c>
      <c r="K355" s="170">
        <f t="shared" si="75"/>
        <v>-1.0889103697913327</v>
      </c>
      <c r="L355" s="655">
        <f>E355*'Interest Under Collect '!J$9</f>
        <v>-4.1083278661556359E-2</v>
      </c>
      <c r="M355" s="170">
        <f t="shared" si="78"/>
        <v>-1.129993648452889</v>
      </c>
      <c r="N355" s="82"/>
    </row>
    <row r="356" spans="2:14" s="174" customFormat="1">
      <c r="B356" s="23" t="s">
        <v>26</v>
      </c>
      <c r="C356" s="211">
        <f>0.00169370735682878%*2</f>
        <v>3.3874147136575603E-5</v>
      </c>
      <c r="D356" s="214">
        <v>0</v>
      </c>
      <c r="E356" s="212">
        <f t="shared" si="71"/>
        <v>3.3874147136575603E-5</v>
      </c>
      <c r="F356" s="218">
        <f t="shared" si="77"/>
        <v>2.2000000000000002</v>
      </c>
      <c r="G356" s="170">
        <f t="shared" si="72"/>
        <v>5.1658074383277797E-2</v>
      </c>
      <c r="H356" s="531">
        <f>ROUND(F356*'Actual Load'!$B$12/'Zonal Load'!$N$12,2)</f>
        <v>2.02</v>
      </c>
      <c r="I356" s="170">
        <f t="shared" si="73"/>
        <v>2.04</v>
      </c>
      <c r="J356" s="170">
        <f t="shared" si="74"/>
        <v>-0.16000000000000014</v>
      </c>
      <c r="K356" s="170">
        <f t="shared" si="75"/>
        <v>-0.10834192561672235</v>
      </c>
      <c r="L356" s="655">
        <f>E356*'Interest Under Collect '!J$9</f>
        <v>-1.9274389720711517E-3</v>
      </c>
      <c r="M356" s="170">
        <f t="shared" si="78"/>
        <v>-0.11026936458879349</v>
      </c>
      <c r="N356" s="82"/>
    </row>
    <row r="357" spans="2:14" s="174" customFormat="1">
      <c r="B357" s="23" t="s">
        <v>27</v>
      </c>
      <c r="C357" s="211">
        <f>0.00178751268736084%*2</f>
        <v>3.5750253747216796E-5</v>
      </c>
      <c r="D357" s="214">
        <v>0</v>
      </c>
      <c r="E357" s="212">
        <f t="shared" si="71"/>
        <v>3.5750253747216796E-5</v>
      </c>
      <c r="F357" s="218">
        <f t="shared" si="77"/>
        <v>2.3199999999999998</v>
      </c>
      <c r="G357" s="170">
        <f t="shared" si="72"/>
        <v>5.4519136964505617E-2</v>
      </c>
      <c r="H357" s="531">
        <f>ROUND(F357*'Actual Load'!$B$24/'Zonal Load'!$N$24,2)</f>
        <v>2.29</v>
      </c>
      <c r="I357" s="170">
        <f t="shared" si="73"/>
        <v>2.31</v>
      </c>
      <c r="J357" s="170">
        <f t="shared" si="74"/>
        <v>-9.9999999999997868E-3</v>
      </c>
      <c r="K357" s="170">
        <f t="shared" si="75"/>
        <v>4.451913696450583E-2</v>
      </c>
      <c r="L357" s="655">
        <f>E357*'Interest Under Collect '!J$9</f>
        <v>-2.0341894382166358E-3</v>
      </c>
      <c r="M357" s="170">
        <f t="shared" si="78"/>
        <v>4.2484947526289195E-2</v>
      </c>
      <c r="N357" s="82"/>
    </row>
    <row r="358" spans="2:14" s="174" customFormat="1">
      <c r="B358" s="23" t="s">
        <v>28</v>
      </c>
      <c r="C358" s="211">
        <f>0.0543889768569851%*2</f>
        <v>1.0877795371397019E-3</v>
      </c>
      <c r="D358" s="214">
        <v>0</v>
      </c>
      <c r="E358" s="212">
        <f t="shared" si="71"/>
        <v>1.0877795371397019E-3</v>
      </c>
      <c r="F358" s="218">
        <f t="shared" si="77"/>
        <v>70.63</v>
      </c>
      <c r="G358" s="170">
        <f t="shared" si="72"/>
        <v>1.6588637941380455</v>
      </c>
      <c r="H358" s="531">
        <f>ROUND(F358*'Actual Load'!$B$5/'Zonal Load'!$N$5,2)</f>
        <v>72.42</v>
      </c>
      <c r="I358" s="170">
        <f t="shared" si="73"/>
        <v>73.2</v>
      </c>
      <c r="J358" s="170">
        <f t="shared" si="74"/>
        <v>2.5700000000000074</v>
      </c>
      <c r="K358" s="170">
        <f t="shared" si="75"/>
        <v>4.2288637941380527</v>
      </c>
      <c r="L358" s="655">
        <f>E358*'Interest Under Collect '!J$9</f>
        <v>-6.1894655663249039E-2</v>
      </c>
      <c r="M358" s="170">
        <f t="shared" si="78"/>
        <v>4.166969138474804</v>
      </c>
      <c r="N358" s="82"/>
    </row>
    <row r="359" spans="2:14" s="174" customFormat="1">
      <c r="B359" s="23" t="s">
        <v>29</v>
      </c>
      <c r="C359" s="211">
        <f>0.040943654847444%*2</f>
        <v>8.1887309694888004E-4</v>
      </c>
      <c r="D359" s="214">
        <f>49.558805238415%*2</f>
        <v>0.99117610476829998</v>
      </c>
      <c r="E359" s="212">
        <f t="shared" si="71"/>
        <v>0.99199497786524882</v>
      </c>
      <c r="F359" s="218">
        <f t="shared" si="77"/>
        <v>64415.19</v>
      </c>
      <c r="G359" s="170">
        <f t="shared" si="72"/>
        <v>1512.7923412445045</v>
      </c>
      <c r="H359" s="531">
        <f>ROUND(F359*'Actual Load'!$B$21/'Zonal Load'!$N$21,2)</f>
        <v>61727.55</v>
      </c>
      <c r="I359" s="170">
        <f t="shared" si="73"/>
        <v>62389.78</v>
      </c>
      <c r="J359" s="170">
        <f t="shared" si="74"/>
        <v>-2025.4100000000035</v>
      </c>
      <c r="K359" s="170">
        <f t="shared" si="75"/>
        <v>-512.61765875549895</v>
      </c>
      <c r="L359" s="655">
        <f>E359*'Interest Under Collect '!J$9</f>
        <v>-56.444514240532655</v>
      </c>
      <c r="M359" s="170">
        <f t="shared" si="78"/>
        <v>-569.06217299603156</v>
      </c>
      <c r="N359" s="82"/>
    </row>
    <row r="360" spans="2:14" s="174" customFormat="1">
      <c r="B360" s="23" t="s">
        <v>30</v>
      </c>
      <c r="C360" s="211">
        <f>0.00875984228956821%*2</f>
        <v>1.7519684579136421E-4</v>
      </c>
      <c r="D360" s="214">
        <v>0</v>
      </c>
      <c r="E360" s="212">
        <f t="shared" si="71"/>
        <v>1.7519684579136421E-4</v>
      </c>
      <c r="F360" s="218">
        <f t="shared" si="77"/>
        <v>11.38</v>
      </c>
      <c r="G360" s="170">
        <f t="shared" si="72"/>
        <v>0.26717518983183042</v>
      </c>
      <c r="H360" s="531">
        <f>ROUND(F360*'Actual Load'!$B$19/'Zonal Load'!$N$19,2)</f>
        <v>11.07</v>
      </c>
      <c r="I360" s="170">
        <f t="shared" si="73"/>
        <v>11.19</v>
      </c>
      <c r="J360" s="170">
        <f t="shared" si="74"/>
        <v>-0.19000000000000128</v>
      </c>
      <c r="K360" s="170">
        <f t="shared" si="75"/>
        <v>7.7175189831829138E-2</v>
      </c>
      <c r="L360" s="655">
        <f>E360*'Interest Under Collect '!J$9</f>
        <v>-9.9687005255286228E-3</v>
      </c>
      <c r="M360" s="170">
        <f t="shared" si="78"/>
        <v>6.7206489306300521E-2</v>
      </c>
      <c r="N360" s="82"/>
    </row>
    <row r="361" spans="2:14" s="174" customFormat="1">
      <c r="B361" s="23" t="s">
        <v>31</v>
      </c>
      <c r="C361" s="211">
        <f>0.00133255683428037%*2</f>
        <v>2.6651136685607399E-5</v>
      </c>
      <c r="D361" s="214">
        <v>0</v>
      </c>
      <c r="E361" s="212">
        <f t="shared" si="71"/>
        <v>2.6651136685607399E-5</v>
      </c>
      <c r="F361" s="218">
        <f t="shared" si="77"/>
        <v>1.73</v>
      </c>
      <c r="G361" s="170">
        <f t="shared" si="72"/>
        <v>4.0642983445551284E-2</v>
      </c>
      <c r="H361" s="531">
        <f>ROUND(F361*'Actual Load'!$B$25/'Zonal Load'!$N$25,2)</f>
        <v>1.68</v>
      </c>
      <c r="I361" s="170">
        <f t="shared" si="73"/>
        <v>1.7</v>
      </c>
      <c r="J361" s="170">
        <f t="shared" si="74"/>
        <v>-3.0000000000000027E-2</v>
      </c>
      <c r="K361" s="170">
        <f t="shared" si="75"/>
        <v>1.0642983445551257E-2</v>
      </c>
      <c r="L361" s="655">
        <f>E361*'Interest Under Collect '!J$9</f>
        <v>-1.5164496774110608E-3</v>
      </c>
      <c r="M361" s="170">
        <f t="shared" si="78"/>
        <v>9.1265337681401965E-3</v>
      </c>
      <c r="N361" s="82"/>
    </row>
    <row r="362" spans="2:14" s="174" customFormat="1">
      <c r="B362" s="23" t="s">
        <v>32</v>
      </c>
      <c r="C362" s="211">
        <f>0.00520737437012833%*2</f>
        <v>1.0414748740256659E-4</v>
      </c>
      <c r="D362" s="214">
        <v>0</v>
      </c>
      <c r="E362" s="212">
        <f t="shared" si="71"/>
        <v>1.0414748740256659E-4</v>
      </c>
      <c r="F362" s="218">
        <f t="shared" si="77"/>
        <v>6.76</v>
      </c>
      <c r="G362" s="170">
        <f t="shared" si="72"/>
        <v>0.15882491828891407</v>
      </c>
      <c r="H362" s="531">
        <f>ROUND(F362*'Actual Load'!$B$13/'Zonal Load'!$N$13,2)</f>
        <v>6.48</v>
      </c>
      <c r="I362" s="170">
        <f t="shared" si="73"/>
        <v>6.55</v>
      </c>
      <c r="J362" s="170">
        <f t="shared" si="74"/>
        <v>-0.20999999999999996</v>
      </c>
      <c r="K362" s="170">
        <f t="shared" si="75"/>
        <v>-5.1175081711085896E-2</v>
      </c>
      <c r="L362" s="655">
        <f>E362*'Interest Under Collect '!J$9</f>
        <v>-5.9259920332060392E-3</v>
      </c>
      <c r="M362" s="170">
        <f t="shared" si="78"/>
        <v>-5.7101073744291936E-2</v>
      </c>
      <c r="N362" s="82"/>
    </row>
    <row r="363" spans="2:14" s="174" customFormat="1">
      <c r="B363" s="23" t="s">
        <v>33</v>
      </c>
      <c r="C363" s="211">
        <f>0.0036511927546943%*2</f>
        <v>7.3023855093885993E-5</v>
      </c>
      <c r="D363" s="214">
        <v>0</v>
      </c>
      <c r="E363" s="212">
        <f t="shared" si="71"/>
        <v>7.3023855093885993E-5</v>
      </c>
      <c r="F363" s="218">
        <f t="shared" si="77"/>
        <v>4.74</v>
      </c>
      <c r="G363" s="170">
        <f t="shared" si="72"/>
        <v>0.11136137901817614</v>
      </c>
      <c r="H363" s="531">
        <f>ROUND(F363*'Actual Load'!$B$23/'Zonal Load'!$N$23,2)</f>
        <v>6.45</v>
      </c>
      <c r="I363" s="170">
        <f t="shared" si="73"/>
        <v>6.52</v>
      </c>
      <c r="J363" s="170">
        <f t="shared" si="74"/>
        <v>1.7799999999999994</v>
      </c>
      <c r="K363" s="170">
        <f t="shared" si="75"/>
        <v>1.8913613790181756</v>
      </c>
      <c r="L363" s="655">
        <f>E363*'Interest Under Collect '!J$9</f>
        <v>-4.1550573548421125E-3</v>
      </c>
      <c r="M363" s="170">
        <f t="shared" si="78"/>
        <v>1.8872063216633335</v>
      </c>
      <c r="N363" s="82"/>
    </row>
    <row r="364" spans="2:14" s="174" customFormat="1">
      <c r="B364" s="24" t="s">
        <v>34</v>
      </c>
      <c r="C364" s="211">
        <f>0.00288336219285807%*2</f>
        <v>5.7667243857161401E-5</v>
      </c>
      <c r="D364" s="214">
        <v>0</v>
      </c>
      <c r="E364" s="212">
        <f t="shared" si="71"/>
        <v>5.7667243857161401E-5</v>
      </c>
      <c r="F364" s="218">
        <f t="shared" si="77"/>
        <v>3.74</v>
      </c>
      <c r="G364" s="170">
        <f t="shared" si="72"/>
        <v>8.7942546882171138E-2</v>
      </c>
      <c r="H364" s="531">
        <f>ROUND(F364*'Actual Load'!$B$20/'Zonal Load'!$N$20,2)</f>
        <v>4.2</v>
      </c>
      <c r="I364" s="170">
        <f t="shared" si="73"/>
        <v>4.25</v>
      </c>
      <c r="J364" s="170">
        <f t="shared" si="74"/>
        <v>0.50999999999999979</v>
      </c>
      <c r="K364" s="170">
        <f t="shared" si="75"/>
        <v>0.59794254688217097</v>
      </c>
      <c r="L364" s="655">
        <f>E364*'Interest Under Collect '!J$9</f>
        <v>-3.2812661754724835E-3</v>
      </c>
      <c r="M364" s="170">
        <f t="shared" si="78"/>
        <v>0.59466128070669844</v>
      </c>
      <c r="N364" s="82"/>
    </row>
    <row r="365" spans="2:14">
      <c r="B365" s="25"/>
      <c r="C365" s="26">
        <f t="shared" ref="C365:M365" si="79">SUM(C343:C364)</f>
        <v>8.8238952316991304E-3</v>
      </c>
      <c r="D365" s="27">
        <f t="shared" si="79"/>
        <v>0.99117610476829998</v>
      </c>
      <c r="E365" s="95">
        <f t="shared" si="79"/>
        <v>0.99999999999999911</v>
      </c>
      <c r="F365" s="90">
        <f t="shared" si="79"/>
        <v>64934.97</v>
      </c>
      <c r="G365" s="76">
        <f t="shared" si="79"/>
        <v>1524.9999999999989</v>
      </c>
      <c r="H365" s="131">
        <f t="shared" si="79"/>
        <v>62245.82</v>
      </c>
      <c r="I365" s="77">
        <f t="shared" si="79"/>
        <v>62913.599999999999</v>
      </c>
      <c r="J365" s="77">
        <f t="shared" si="79"/>
        <v>-2021.3700000000035</v>
      </c>
      <c r="K365" s="485">
        <f t="shared" si="79"/>
        <v>-496.37000000000484</v>
      </c>
      <c r="L365" s="656">
        <f t="shared" si="79"/>
        <v>-56.899999999999942</v>
      </c>
      <c r="M365" s="77">
        <f t="shared" si="79"/>
        <v>-553.27000000000476</v>
      </c>
    </row>
    <row r="366" spans="2:14">
      <c r="F366" s="3" t="s">
        <v>623</v>
      </c>
      <c r="G366" s="21"/>
      <c r="I366" s="569" t="s">
        <v>621</v>
      </c>
      <c r="J366" s="570" t="s">
        <v>622</v>
      </c>
    </row>
    <row r="367" spans="2:14">
      <c r="E367" s="479" t="s">
        <v>610</v>
      </c>
      <c r="F367" s="168">
        <f>ROUND((I367*M$884)+(J367*M$888),0)</f>
        <v>64935</v>
      </c>
      <c r="H367" s="132"/>
      <c r="I367" s="168">
        <v>65966.26610418818</v>
      </c>
      <c r="J367" s="571">
        <v>61483.232986674644</v>
      </c>
      <c r="K367" s="174"/>
      <c r="L367" s="81"/>
    </row>
    <row r="368" spans="2:14">
      <c r="E368" s="480" t="s">
        <v>611</v>
      </c>
      <c r="F368" s="169">
        <f>ROUND((I368*M$884)+(J368*M$888),0)</f>
        <v>63410</v>
      </c>
      <c r="G368" s="528">
        <f>F367-F368</f>
        <v>1525</v>
      </c>
      <c r="H368" s="529"/>
      <c r="I368" s="169">
        <f>'Att GG at 12.38 '!N80</f>
        <v>64418.408843387027</v>
      </c>
      <c r="J368" s="572">
        <f>'Att GG at 10.82'!N80</f>
        <v>60034.352080525903</v>
      </c>
      <c r="L368" s="174"/>
    </row>
    <row r="369" spans="1:14">
      <c r="E369" s="91" t="s">
        <v>153</v>
      </c>
      <c r="F369" s="175">
        <f>I365</f>
        <v>62913.599999999999</v>
      </c>
      <c r="G369" s="528">
        <f>F369-F367</f>
        <v>-2021.4000000000015</v>
      </c>
      <c r="H369" s="530"/>
      <c r="K369" s="86"/>
      <c r="L369" s="644"/>
      <c r="M369" s="86"/>
    </row>
    <row r="370" spans="1:14">
      <c r="G370" s="528">
        <f>G368+G369</f>
        <v>-496.40000000000146</v>
      </c>
      <c r="H370" s="529">
        <f>F369-F368</f>
        <v>-496.40000000000146</v>
      </c>
      <c r="K370" s="86"/>
      <c r="L370" s="86"/>
      <c r="M370" s="86"/>
    </row>
    <row r="371" spans="1:14">
      <c r="B371" s="79"/>
      <c r="C371" s="79"/>
      <c r="D371" s="79"/>
      <c r="E371" s="79"/>
      <c r="F371" s="79"/>
      <c r="G371" s="79"/>
      <c r="H371" s="79"/>
      <c r="I371" s="79"/>
      <c r="J371" s="105"/>
      <c r="K371" s="79"/>
      <c r="L371" s="79"/>
      <c r="M371" s="79"/>
    </row>
    <row r="373" spans="1:14" ht="15.75" customHeight="1">
      <c r="B373" s="83" t="s">
        <v>0</v>
      </c>
      <c r="C373" s="692" t="s">
        <v>684</v>
      </c>
      <c r="D373" s="693"/>
      <c r="E373" s="693"/>
      <c r="F373" s="693"/>
      <c r="G373" s="693"/>
      <c r="H373" s="694"/>
      <c r="I373" s="1"/>
    </row>
    <row r="374" spans="1:14" ht="15.75" customHeight="1">
      <c r="B374" s="84" t="s">
        <v>1</v>
      </c>
      <c r="C374" s="683" t="s">
        <v>146</v>
      </c>
      <c r="D374" s="684"/>
      <c r="E374" s="684"/>
      <c r="F374" s="684"/>
      <c r="G374" s="684"/>
      <c r="H374" s="685"/>
      <c r="I374" s="1"/>
    </row>
    <row r="375" spans="1:14" ht="15.75" customHeight="1">
      <c r="B375" s="84" t="s">
        <v>3</v>
      </c>
      <c r="C375" s="686"/>
      <c r="D375" s="687"/>
      <c r="E375" s="687"/>
      <c r="F375" s="687"/>
      <c r="G375" s="687"/>
      <c r="H375" s="688"/>
      <c r="I375" s="1"/>
    </row>
    <row r="376" spans="1:14" ht="15.75" customHeight="1">
      <c r="B376" s="85" t="s">
        <v>5</v>
      </c>
      <c r="C376" s="689" t="s">
        <v>29</v>
      </c>
      <c r="D376" s="690"/>
      <c r="E376" s="690"/>
      <c r="F376" s="690"/>
      <c r="G376" s="690"/>
      <c r="H376" s="691"/>
      <c r="I376" s="1"/>
    </row>
    <row r="377" spans="1:14">
      <c r="B377" s="74"/>
      <c r="C377" s="74"/>
      <c r="D377" s="74"/>
      <c r="E377" s="74"/>
      <c r="F377" s="74"/>
      <c r="J377" s="99" t="s">
        <v>155</v>
      </c>
      <c r="K377" s="3" t="s">
        <v>40</v>
      </c>
      <c r="M377" s="3" t="s">
        <v>54</v>
      </c>
    </row>
    <row r="378" spans="1:14">
      <c r="B378" s="74"/>
      <c r="C378" s="74"/>
      <c r="D378" s="74"/>
      <c r="E378" s="74"/>
      <c r="F378" s="74"/>
      <c r="G378" s="3" t="s">
        <v>37</v>
      </c>
      <c r="H378" s="127" t="s">
        <v>38</v>
      </c>
      <c r="I378" s="92" t="s">
        <v>39</v>
      </c>
      <c r="J378" s="100" t="s">
        <v>156</v>
      </c>
      <c r="K378" s="4" t="s">
        <v>157</v>
      </c>
      <c r="L378" s="4" t="s">
        <v>53</v>
      </c>
      <c r="M378" s="4" t="s">
        <v>158</v>
      </c>
      <c r="N378" s="191"/>
    </row>
    <row r="379" spans="1:14">
      <c r="B379" s="74"/>
      <c r="C379" s="74"/>
      <c r="D379" s="74"/>
      <c r="E379" s="74"/>
      <c r="F379" s="74"/>
      <c r="G379" s="5"/>
      <c r="H379" s="662" t="s">
        <v>41</v>
      </c>
      <c r="I379" s="663"/>
      <c r="J379" s="664"/>
      <c r="K379" s="6" t="s">
        <v>42</v>
      </c>
      <c r="L379" s="5"/>
      <c r="M379" s="6" t="s">
        <v>43</v>
      </c>
      <c r="N379" s="191"/>
    </row>
    <row r="380" spans="1:14">
      <c r="B380" s="75"/>
      <c r="C380" s="7">
        <v>0.2</v>
      </c>
      <c r="D380" s="7">
        <v>0.8</v>
      </c>
      <c r="E380" s="7"/>
      <c r="F380" s="87" t="s">
        <v>154</v>
      </c>
      <c r="G380" s="8" t="s">
        <v>44</v>
      </c>
      <c r="H380" s="128"/>
      <c r="I380" s="5"/>
      <c r="J380" s="101" t="s">
        <v>45</v>
      </c>
      <c r="K380" s="8" t="s">
        <v>46</v>
      </c>
      <c r="L380" s="9"/>
      <c r="M380" s="8" t="s">
        <v>47</v>
      </c>
    </row>
    <row r="381" spans="1:14">
      <c r="B381" s="10"/>
      <c r="C381" s="68" t="s">
        <v>8</v>
      </c>
      <c r="D381" s="68" t="s">
        <v>9</v>
      </c>
      <c r="E381" s="68" t="s">
        <v>10</v>
      </c>
      <c r="F381" s="88" t="s">
        <v>7</v>
      </c>
      <c r="G381" s="11" t="s">
        <v>48</v>
      </c>
      <c r="H381" s="129" t="s">
        <v>49</v>
      </c>
      <c r="I381" s="12" t="s">
        <v>152</v>
      </c>
      <c r="J381" s="102" t="s">
        <v>48</v>
      </c>
      <c r="K381" s="12" t="s">
        <v>48</v>
      </c>
      <c r="L381" s="12" t="s">
        <v>50</v>
      </c>
      <c r="M381" s="12" t="s">
        <v>51</v>
      </c>
    </row>
    <row r="382" spans="1:14" ht="31.5">
      <c r="B382" s="13" t="s">
        <v>12</v>
      </c>
      <c r="C382" s="14" t="s">
        <v>13</v>
      </c>
      <c r="D382" s="14" t="s">
        <v>13</v>
      </c>
      <c r="E382" s="15" t="s">
        <v>13</v>
      </c>
      <c r="F382" s="89" t="s">
        <v>14</v>
      </c>
      <c r="G382" s="16" t="s">
        <v>52</v>
      </c>
      <c r="H382" s="130"/>
      <c r="I382" s="17"/>
      <c r="J382" s="103" t="s">
        <v>52</v>
      </c>
      <c r="K382" s="17"/>
      <c r="L382" s="17"/>
      <c r="M382" s="16" t="s">
        <v>52</v>
      </c>
    </row>
    <row r="383" spans="1:14" s="174" customFormat="1">
      <c r="B383" s="18" t="s">
        <v>15</v>
      </c>
      <c r="C383" s="211">
        <v>0</v>
      </c>
      <c r="D383" s="214">
        <v>0</v>
      </c>
      <c r="E383" s="212">
        <f t="shared" ref="E383:E406" si="80">C383+D383</f>
        <v>0</v>
      </c>
      <c r="F383" s="215">
        <f>ROUND(+E383*F$409,2)</f>
        <v>0</v>
      </c>
      <c r="G383" s="170">
        <f t="shared" ref="G383:G406" si="81">(F$409-F$410)*E383</f>
        <v>0</v>
      </c>
      <c r="H383" s="531">
        <f>ROUND(F383*'Actual Load'!$B$8/'Zonal Load'!$N$8,2)</f>
        <v>0</v>
      </c>
      <c r="I383" s="170">
        <f t="shared" ref="I383:I406" si="82">ROUND((H383*$H$912)/$H$910,2)</f>
        <v>0</v>
      </c>
      <c r="J383" s="170">
        <f t="shared" ref="J383:J406" si="83">I383-F383</f>
        <v>0</v>
      </c>
      <c r="K383" s="170">
        <f t="shared" ref="K383:K406" si="84">+G383+J383</f>
        <v>0</v>
      </c>
      <c r="L383" s="655">
        <f>E383*'Interest Under Collect '!J$10</f>
        <v>0</v>
      </c>
      <c r="M383" s="170">
        <f t="shared" ref="M383:M390" si="85">+K383+L383</f>
        <v>0</v>
      </c>
      <c r="N383" s="82"/>
    </row>
    <row r="384" spans="1:14" s="174" customFormat="1">
      <c r="B384" s="23" t="s">
        <v>16</v>
      </c>
      <c r="C384" s="211">
        <v>0</v>
      </c>
      <c r="D384" s="214">
        <v>0</v>
      </c>
      <c r="E384" s="212">
        <f t="shared" si="80"/>
        <v>0</v>
      </c>
      <c r="F384" s="213">
        <f>ROUND(+E384*F$409,2)</f>
        <v>0</v>
      </c>
      <c r="G384" s="170">
        <f t="shared" si="81"/>
        <v>0</v>
      </c>
      <c r="H384" s="531">
        <f>ROUND(F384*'Actual Load'!$B$14/'Zonal Load'!$N$14,2)</f>
        <v>0</v>
      </c>
      <c r="I384" s="170">
        <f t="shared" si="82"/>
        <v>0</v>
      </c>
      <c r="J384" s="170">
        <f t="shared" si="83"/>
        <v>0</v>
      </c>
      <c r="K384" s="170">
        <f t="shared" si="84"/>
        <v>0</v>
      </c>
      <c r="L384" s="655">
        <f>E384*'Interest Under Collect '!J$10</f>
        <v>0</v>
      </c>
      <c r="M384" s="170">
        <f t="shared" si="85"/>
        <v>0</v>
      </c>
      <c r="N384" s="82"/>
    </row>
    <row r="385" spans="1:14" s="174" customFormat="1">
      <c r="B385" s="23" t="s">
        <v>190</v>
      </c>
      <c r="C385" s="211">
        <f>0%*0.421</f>
        <v>0</v>
      </c>
      <c r="D385" s="214">
        <f>0%*0.421</f>
        <v>0</v>
      </c>
      <c r="E385" s="212">
        <f t="shared" si="80"/>
        <v>0</v>
      </c>
      <c r="F385" s="213">
        <f t="shared" ref="F385:F406" si="86">ROUND(+E385*F$409,2)</f>
        <v>0</v>
      </c>
      <c r="G385" s="170">
        <f t="shared" si="81"/>
        <v>0</v>
      </c>
      <c r="H385" s="531">
        <f>ROUND(F385*'Actual Load'!$B$9/'Zonal Load'!$N$9,2)</f>
        <v>0</v>
      </c>
      <c r="I385" s="170">
        <f t="shared" si="82"/>
        <v>0</v>
      </c>
      <c r="J385" s="170">
        <f t="shared" si="83"/>
        <v>0</v>
      </c>
      <c r="K385" s="170">
        <f t="shared" si="84"/>
        <v>0</v>
      </c>
      <c r="L385" s="655">
        <f>E385*'Interest Under Collect '!J$10</f>
        <v>0</v>
      </c>
      <c r="M385" s="170">
        <f t="shared" si="85"/>
        <v>0</v>
      </c>
      <c r="N385" s="82"/>
    </row>
    <row r="386" spans="1:14" s="174" customFormat="1">
      <c r="B386" s="125" t="s">
        <v>249</v>
      </c>
      <c r="C386" s="211">
        <f>0%*0.579</f>
        <v>0</v>
      </c>
      <c r="D386" s="214">
        <f>0%*0.579</f>
        <v>0</v>
      </c>
      <c r="E386" s="212">
        <f>C386+D386</f>
        <v>0</v>
      </c>
      <c r="F386" s="213">
        <f t="shared" si="86"/>
        <v>0</v>
      </c>
      <c r="G386" s="170">
        <f>(F$409-F$410)*E386</f>
        <v>0</v>
      </c>
      <c r="H386" s="531">
        <f>ROUND(F386*'Actual Load'!$B$10/'Zonal Load'!$N$10,2)</f>
        <v>0</v>
      </c>
      <c r="I386" s="170">
        <f t="shared" si="82"/>
        <v>0</v>
      </c>
      <c r="J386" s="170">
        <f>I386-F386</f>
        <v>0</v>
      </c>
      <c r="K386" s="170">
        <f>+G386+J386</f>
        <v>0</v>
      </c>
      <c r="L386" s="655">
        <f>E386*'Interest Under Collect '!J$10</f>
        <v>0</v>
      </c>
      <c r="M386" s="170">
        <f>+K386+L386</f>
        <v>0</v>
      </c>
      <c r="N386" s="82"/>
    </row>
    <row r="387" spans="1:14" s="174" customFormat="1">
      <c r="B387" s="23" t="s">
        <v>17</v>
      </c>
      <c r="C387" s="211">
        <v>0</v>
      </c>
      <c r="D387" s="214">
        <v>0</v>
      </c>
      <c r="E387" s="212">
        <f t="shared" si="80"/>
        <v>0</v>
      </c>
      <c r="F387" s="213">
        <f t="shared" si="86"/>
        <v>0</v>
      </c>
      <c r="G387" s="170">
        <f t="shared" si="81"/>
        <v>0</v>
      </c>
      <c r="H387" s="531">
        <f>ROUND(F387*'Actual Load'!$B$26/'Zonal Load'!$N$26,2)</f>
        <v>0</v>
      </c>
      <c r="I387" s="170">
        <f t="shared" si="82"/>
        <v>0</v>
      </c>
      <c r="J387" s="170">
        <f t="shared" si="83"/>
        <v>0</v>
      </c>
      <c r="K387" s="170">
        <f t="shared" si="84"/>
        <v>0</v>
      </c>
      <c r="L387" s="655">
        <f>E387*'Interest Under Collect '!J$10</f>
        <v>0</v>
      </c>
      <c r="M387" s="170">
        <f t="shared" si="85"/>
        <v>0</v>
      </c>
      <c r="N387" s="82"/>
    </row>
    <row r="388" spans="1:14" s="174" customFormat="1">
      <c r="B388" s="23" t="s">
        <v>18</v>
      </c>
      <c r="C388" s="211">
        <v>0</v>
      </c>
      <c r="D388" s="214">
        <v>0</v>
      </c>
      <c r="E388" s="212">
        <f t="shared" si="80"/>
        <v>0</v>
      </c>
      <c r="F388" s="213">
        <f t="shared" si="86"/>
        <v>0</v>
      </c>
      <c r="G388" s="170">
        <f t="shared" si="81"/>
        <v>0</v>
      </c>
      <c r="H388" s="531">
        <f>ROUND(F388*'Actual Load'!$B$16/'Zonal Load'!$N$16,2)</f>
        <v>0</v>
      </c>
      <c r="I388" s="170">
        <f t="shared" si="82"/>
        <v>0</v>
      </c>
      <c r="J388" s="170">
        <f t="shared" si="83"/>
        <v>0</v>
      </c>
      <c r="K388" s="170">
        <f t="shared" si="84"/>
        <v>0</v>
      </c>
      <c r="L388" s="655">
        <f>E388*'Interest Under Collect '!J$10</f>
        <v>0</v>
      </c>
      <c r="M388" s="170">
        <f t="shared" si="85"/>
        <v>0</v>
      </c>
      <c r="N388" s="82"/>
    </row>
    <row r="389" spans="1:14" s="174" customFormat="1">
      <c r="B389" s="23" t="s">
        <v>19</v>
      </c>
      <c r="C389" s="211">
        <v>0</v>
      </c>
      <c r="D389" s="214">
        <v>0</v>
      </c>
      <c r="E389" s="212">
        <f t="shared" si="80"/>
        <v>0</v>
      </c>
      <c r="F389" s="213">
        <f t="shared" si="86"/>
        <v>0</v>
      </c>
      <c r="G389" s="170">
        <f t="shared" si="81"/>
        <v>0</v>
      </c>
      <c r="H389" s="531">
        <f>ROUND(F389*'Actual Load'!$B$22/'Zonal Load'!$N$22,2)</f>
        <v>0</v>
      </c>
      <c r="I389" s="170">
        <f t="shared" si="82"/>
        <v>0</v>
      </c>
      <c r="J389" s="170">
        <f t="shared" si="83"/>
        <v>0</v>
      </c>
      <c r="K389" s="170">
        <f t="shared" si="84"/>
        <v>0</v>
      </c>
      <c r="L389" s="655">
        <f>E389*'Interest Under Collect '!J$10</f>
        <v>0</v>
      </c>
      <c r="M389" s="170">
        <f t="shared" si="85"/>
        <v>0</v>
      </c>
      <c r="N389" s="82"/>
    </row>
    <row r="390" spans="1:14" s="174" customFormat="1">
      <c r="B390" s="23" t="s">
        <v>20</v>
      </c>
      <c r="C390" s="211">
        <v>0</v>
      </c>
      <c r="D390" s="214">
        <v>0</v>
      </c>
      <c r="E390" s="212">
        <f t="shared" si="80"/>
        <v>0</v>
      </c>
      <c r="F390" s="213">
        <f t="shared" si="86"/>
        <v>0</v>
      </c>
      <c r="G390" s="170">
        <f t="shared" si="81"/>
        <v>0</v>
      </c>
      <c r="H390" s="531">
        <f>ROUND(F390*'Actual Load'!$B$17/'Zonal Load'!$N$17,2)</f>
        <v>0</v>
      </c>
      <c r="I390" s="170">
        <f t="shared" si="82"/>
        <v>0</v>
      </c>
      <c r="J390" s="170">
        <f t="shared" si="83"/>
        <v>0</v>
      </c>
      <c r="K390" s="170">
        <f t="shared" si="84"/>
        <v>0</v>
      </c>
      <c r="L390" s="655">
        <f>E390*'Interest Under Collect '!J$10</f>
        <v>0</v>
      </c>
      <c r="M390" s="170">
        <f t="shared" si="85"/>
        <v>0</v>
      </c>
      <c r="N390" s="82"/>
    </row>
    <row r="391" spans="1:14" s="174" customFormat="1">
      <c r="B391" s="23" t="s">
        <v>21</v>
      </c>
      <c r="C391" s="211">
        <v>0</v>
      </c>
      <c r="D391" s="214">
        <v>0</v>
      </c>
      <c r="E391" s="212">
        <f t="shared" si="80"/>
        <v>0</v>
      </c>
      <c r="F391" s="213">
        <f t="shared" si="86"/>
        <v>0</v>
      </c>
      <c r="G391" s="170">
        <f t="shared" si="81"/>
        <v>0</v>
      </c>
      <c r="H391" s="531">
        <f>ROUND(F391*'Actual Load'!$B$15/'Zonal Load'!$N$15,2)</f>
        <v>0</v>
      </c>
      <c r="I391" s="170">
        <f t="shared" si="82"/>
        <v>0</v>
      </c>
      <c r="J391" s="170">
        <f t="shared" si="83"/>
        <v>0</v>
      </c>
      <c r="K391" s="170">
        <f t="shared" si="84"/>
        <v>0</v>
      </c>
      <c r="L391" s="655">
        <f>E391*'Interest Under Collect '!J$10</f>
        <v>0</v>
      </c>
      <c r="M391" s="170">
        <f>+K391+L391</f>
        <v>0</v>
      </c>
      <c r="N391" s="82"/>
    </row>
    <row r="392" spans="1:14" s="174" customFormat="1">
      <c r="B392" s="23" t="s">
        <v>22</v>
      </c>
      <c r="C392" s="211">
        <v>0</v>
      </c>
      <c r="D392" s="214">
        <v>0</v>
      </c>
      <c r="E392" s="212">
        <f t="shared" si="80"/>
        <v>0</v>
      </c>
      <c r="F392" s="213">
        <f t="shared" si="86"/>
        <v>0</v>
      </c>
      <c r="G392" s="170">
        <f t="shared" si="81"/>
        <v>0</v>
      </c>
      <c r="H392" s="531">
        <f>ROUND(F392*'Actual Load'!$B$4/'Zonal Load'!$N$4,2)</f>
        <v>0</v>
      </c>
      <c r="I392" s="170">
        <f t="shared" si="82"/>
        <v>0</v>
      </c>
      <c r="J392" s="170">
        <f t="shared" si="83"/>
        <v>0</v>
      </c>
      <c r="K392" s="170">
        <f t="shared" si="84"/>
        <v>0</v>
      </c>
      <c r="L392" s="655">
        <f>E392*'Interest Under Collect '!J$10</f>
        <v>0</v>
      </c>
      <c r="M392" s="170">
        <f t="shared" ref="M392:M403" si="87">+K392+L392</f>
        <v>0</v>
      </c>
      <c r="N392" s="82"/>
    </row>
    <row r="393" spans="1:14" s="174" customFormat="1">
      <c r="B393" s="23" t="s">
        <v>23</v>
      </c>
      <c r="C393" s="211">
        <v>0</v>
      </c>
      <c r="D393" s="214">
        <v>0</v>
      </c>
      <c r="E393" s="212">
        <f t="shared" si="80"/>
        <v>0</v>
      </c>
      <c r="F393" s="213">
        <f t="shared" si="86"/>
        <v>0</v>
      </c>
      <c r="G393" s="170">
        <f t="shared" si="81"/>
        <v>0</v>
      </c>
      <c r="H393" s="531">
        <f>ROUND(F393*'Actual Load'!$B$11/'Zonal Load'!$N$11,2)</f>
        <v>0</v>
      </c>
      <c r="I393" s="170">
        <f t="shared" si="82"/>
        <v>0</v>
      </c>
      <c r="J393" s="170">
        <f t="shared" si="83"/>
        <v>0</v>
      </c>
      <c r="K393" s="170">
        <f t="shared" si="84"/>
        <v>0</v>
      </c>
      <c r="L393" s="655">
        <f>E393*'Interest Under Collect '!J$10</f>
        <v>0</v>
      </c>
      <c r="M393" s="170">
        <f t="shared" si="87"/>
        <v>0</v>
      </c>
      <c r="N393" s="82"/>
    </row>
    <row r="394" spans="1:14" s="174" customFormat="1">
      <c r="B394" s="23" t="s">
        <v>25</v>
      </c>
      <c r="C394" s="211">
        <v>0</v>
      </c>
      <c r="D394" s="214">
        <v>0</v>
      </c>
      <c r="E394" s="212">
        <f t="shared" si="80"/>
        <v>0</v>
      </c>
      <c r="F394" s="213">
        <f t="shared" si="86"/>
        <v>0</v>
      </c>
      <c r="G394" s="170">
        <f t="shared" si="81"/>
        <v>0</v>
      </c>
      <c r="H394" s="531">
        <f>ROUND(F394*'Actual Load'!$B$7/'Zonal Load'!$N$7,2)</f>
        <v>0</v>
      </c>
      <c r="I394" s="170">
        <f t="shared" si="82"/>
        <v>0</v>
      </c>
      <c r="J394" s="170">
        <f t="shared" si="83"/>
        <v>0</v>
      </c>
      <c r="K394" s="170">
        <f t="shared" si="84"/>
        <v>0</v>
      </c>
      <c r="L394" s="655">
        <f>E394*'Interest Under Collect '!J$10</f>
        <v>0</v>
      </c>
      <c r="M394" s="170">
        <f t="shared" si="87"/>
        <v>0</v>
      </c>
      <c r="N394" s="82"/>
    </row>
    <row r="395" spans="1:14" s="174" customFormat="1">
      <c r="B395" s="23" t="s">
        <v>24</v>
      </c>
      <c r="C395" s="211">
        <v>0</v>
      </c>
      <c r="D395" s="214">
        <v>0</v>
      </c>
      <c r="E395" s="212">
        <f t="shared" si="80"/>
        <v>0</v>
      </c>
      <c r="F395" s="213">
        <f t="shared" si="86"/>
        <v>0</v>
      </c>
      <c r="G395" s="170">
        <f t="shared" si="81"/>
        <v>0</v>
      </c>
      <c r="H395" s="531">
        <f>ROUND(F395*'Actual Load'!$B$6/'Zonal Load'!$N$6,2)</f>
        <v>0</v>
      </c>
      <c r="I395" s="170">
        <f t="shared" si="82"/>
        <v>0</v>
      </c>
      <c r="J395" s="170">
        <f t="shared" si="83"/>
        <v>0</v>
      </c>
      <c r="K395" s="170">
        <f t="shared" si="84"/>
        <v>0</v>
      </c>
      <c r="L395" s="655">
        <f>E395*'Interest Under Collect '!J$10</f>
        <v>0</v>
      </c>
      <c r="M395" s="170">
        <f t="shared" si="87"/>
        <v>0</v>
      </c>
      <c r="N395" s="82"/>
    </row>
    <row r="396" spans="1:14" s="174" customFormat="1">
      <c r="B396" s="23" t="s">
        <v>116</v>
      </c>
      <c r="C396" s="211">
        <v>0</v>
      </c>
      <c r="D396" s="214">
        <v>0</v>
      </c>
      <c r="E396" s="212">
        <f t="shared" si="80"/>
        <v>0</v>
      </c>
      <c r="F396" s="213">
        <f t="shared" si="86"/>
        <v>0</v>
      </c>
      <c r="G396" s="170">
        <f t="shared" si="81"/>
        <v>0</v>
      </c>
      <c r="H396" s="531">
        <f>ROUND(F396*'Actual Load'!$B$18/'Zonal Load'!$N$18,2)</f>
        <v>0</v>
      </c>
      <c r="I396" s="170">
        <f t="shared" si="82"/>
        <v>0</v>
      </c>
      <c r="J396" s="170">
        <f t="shared" si="83"/>
        <v>0</v>
      </c>
      <c r="K396" s="170">
        <f t="shared" si="84"/>
        <v>0</v>
      </c>
      <c r="L396" s="655">
        <f>E396*'Interest Under Collect '!J$10</f>
        <v>0</v>
      </c>
      <c r="M396" s="170">
        <f t="shared" si="87"/>
        <v>0</v>
      </c>
      <c r="N396" s="82"/>
    </row>
    <row r="397" spans="1:14" s="174" customFormat="1">
      <c r="B397" s="23" t="s">
        <v>117</v>
      </c>
      <c r="C397" s="211">
        <v>0</v>
      </c>
      <c r="D397" s="214">
        <v>0</v>
      </c>
      <c r="E397" s="212">
        <f t="shared" si="80"/>
        <v>0</v>
      </c>
      <c r="F397" s="213">
        <f t="shared" si="86"/>
        <v>0</v>
      </c>
      <c r="G397" s="170">
        <f t="shared" si="81"/>
        <v>0</v>
      </c>
      <c r="H397" s="531">
        <f>ROUND(F397*'Actual Load'!$B$17/'Zonal Load'!$N$17,2)</f>
        <v>0</v>
      </c>
      <c r="I397" s="170">
        <f t="shared" si="82"/>
        <v>0</v>
      </c>
      <c r="J397" s="170">
        <f t="shared" si="83"/>
        <v>0</v>
      </c>
      <c r="K397" s="170">
        <f t="shared" si="84"/>
        <v>0</v>
      </c>
      <c r="L397" s="655">
        <f>E397*'Interest Under Collect '!J$10</f>
        <v>0</v>
      </c>
      <c r="M397" s="170">
        <f t="shared" si="87"/>
        <v>0</v>
      </c>
      <c r="N397" s="82"/>
    </row>
    <row r="398" spans="1:14" s="174" customFormat="1">
      <c r="B398" s="23" t="s">
        <v>26</v>
      </c>
      <c r="C398" s="211">
        <v>0</v>
      </c>
      <c r="D398" s="214">
        <v>0</v>
      </c>
      <c r="E398" s="212">
        <f t="shared" si="80"/>
        <v>0</v>
      </c>
      <c r="F398" s="213">
        <f t="shared" si="86"/>
        <v>0</v>
      </c>
      <c r="G398" s="170">
        <f t="shared" si="81"/>
        <v>0</v>
      </c>
      <c r="H398" s="531">
        <f>ROUND(F398*'Actual Load'!$B$12/'Zonal Load'!$N$12,2)</f>
        <v>0</v>
      </c>
      <c r="I398" s="170">
        <f t="shared" si="82"/>
        <v>0</v>
      </c>
      <c r="J398" s="170">
        <f t="shared" si="83"/>
        <v>0</v>
      </c>
      <c r="K398" s="170">
        <f t="shared" si="84"/>
        <v>0</v>
      </c>
      <c r="L398" s="655">
        <f>E398*'Interest Under Collect '!J$10</f>
        <v>0</v>
      </c>
      <c r="M398" s="170">
        <f t="shared" si="87"/>
        <v>0</v>
      </c>
      <c r="N398" s="82"/>
    </row>
    <row r="399" spans="1:14" s="174" customFormat="1">
      <c r="B399" s="23" t="s">
        <v>27</v>
      </c>
      <c r="C399" s="211">
        <v>0</v>
      </c>
      <c r="D399" s="214">
        <v>0</v>
      </c>
      <c r="E399" s="212">
        <f t="shared" si="80"/>
        <v>0</v>
      </c>
      <c r="F399" s="213">
        <f t="shared" si="86"/>
        <v>0</v>
      </c>
      <c r="G399" s="170">
        <f t="shared" si="81"/>
        <v>0</v>
      </c>
      <c r="H399" s="531">
        <f>ROUND(F399*'Actual Load'!$B$24/'Zonal Load'!$N$24,2)</f>
        <v>0</v>
      </c>
      <c r="I399" s="170">
        <f t="shared" si="82"/>
        <v>0</v>
      </c>
      <c r="J399" s="170">
        <f t="shared" si="83"/>
        <v>0</v>
      </c>
      <c r="K399" s="170">
        <f t="shared" si="84"/>
        <v>0</v>
      </c>
      <c r="L399" s="655">
        <f>E399*'Interest Under Collect '!J$10</f>
        <v>0</v>
      </c>
      <c r="M399" s="170">
        <f t="shared" si="87"/>
        <v>0</v>
      </c>
      <c r="N399" s="82"/>
    </row>
    <row r="400" spans="1:14" s="174" customFormat="1">
      <c r="B400" s="23" t="s">
        <v>28</v>
      </c>
      <c r="C400" s="211">
        <v>0</v>
      </c>
      <c r="D400" s="214">
        <v>0</v>
      </c>
      <c r="E400" s="212">
        <f t="shared" si="80"/>
        <v>0</v>
      </c>
      <c r="F400" s="213">
        <f t="shared" si="86"/>
        <v>0</v>
      </c>
      <c r="G400" s="170">
        <f t="shared" si="81"/>
        <v>0</v>
      </c>
      <c r="H400" s="531">
        <f>ROUND(F400*'Actual Load'!$B$5/'Zonal Load'!$N$5,2)</f>
        <v>0</v>
      </c>
      <c r="I400" s="170">
        <f t="shared" si="82"/>
        <v>0</v>
      </c>
      <c r="J400" s="170">
        <f t="shared" si="83"/>
        <v>0</v>
      </c>
      <c r="K400" s="170">
        <f t="shared" si="84"/>
        <v>0</v>
      </c>
      <c r="L400" s="655">
        <f>E400*'Interest Under Collect '!J$10</f>
        <v>0</v>
      </c>
      <c r="M400" s="170">
        <f t="shared" si="87"/>
        <v>0</v>
      </c>
      <c r="N400" s="82"/>
    </row>
    <row r="401" spans="2:14" s="174" customFormat="1">
      <c r="B401" s="23" t="s">
        <v>29</v>
      </c>
      <c r="C401" s="211">
        <v>0</v>
      </c>
      <c r="D401" s="214">
        <v>0</v>
      </c>
      <c r="E401" s="212">
        <v>1</v>
      </c>
      <c r="F401" s="213">
        <f t="shared" si="86"/>
        <v>17266</v>
      </c>
      <c r="G401" s="170">
        <f t="shared" si="81"/>
        <v>404</v>
      </c>
      <c r="H401" s="531">
        <f>ROUND(F401*'Actual Load'!$B$21/'Zonal Load'!$N$21,2)</f>
        <v>16545.599999999999</v>
      </c>
      <c r="I401" s="170">
        <f t="shared" si="82"/>
        <v>16723.099999999999</v>
      </c>
      <c r="J401" s="170">
        <f t="shared" si="83"/>
        <v>-542.90000000000146</v>
      </c>
      <c r="K401" s="170">
        <f t="shared" si="84"/>
        <v>-138.90000000000146</v>
      </c>
      <c r="L401" s="655">
        <f>E401*'Interest Under Collect '!J$10</f>
        <v>-15.1</v>
      </c>
      <c r="M401" s="170">
        <f t="shared" si="87"/>
        <v>-154.00000000000145</v>
      </c>
      <c r="N401" s="82"/>
    </row>
    <row r="402" spans="2:14" s="174" customFormat="1">
      <c r="B402" s="23" t="s">
        <v>30</v>
      </c>
      <c r="C402" s="211">
        <v>0</v>
      </c>
      <c r="D402" s="214">
        <v>0</v>
      </c>
      <c r="E402" s="212">
        <f t="shared" si="80"/>
        <v>0</v>
      </c>
      <c r="F402" s="213">
        <f t="shared" si="86"/>
        <v>0</v>
      </c>
      <c r="G402" s="170">
        <f t="shared" si="81"/>
        <v>0</v>
      </c>
      <c r="H402" s="531">
        <f>ROUND(F402*'Actual Load'!$B$19/'Zonal Load'!$N$19,2)</f>
        <v>0</v>
      </c>
      <c r="I402" s="170">
        <f t="shared" si="82"/>
        <v>0</v>
      </c>
      <c r="J402" s="170">
        <f t="shared" si="83"/>
        <v>0</v>
      </c>
      <c r="K402" s="170">
        <f t="shared" si="84"/>
        <v>0</v>
      </c>
      <c r="L402" s="655">
        <f>E402*'Interest Under Collect '!J$10</f>
        <v>0</v>
      </c>
      <c r="M402" s="170">
        <f t="shared" si="87"/>
        <v>0</v>
      </c>
      <c r="N402" s="82"/>
    </row>
    <row r="403" spans="2:14" s="174" customFormat="1">
      <c r="B403" s="23" t="s">
        <v>31</v>
      </c>
      <c r="C403" s="211">
        <v>0</v>
      </c>
      <c r="D403" s="214">
        <v>0</v>
      </c>
      <c r="E403" s="212">
        <f t="shared" si="80"/>
        <v>0</v>
      </c>
      <c r="F403" s="213">
        <f t="shared" si="86"/>
        <v>0</v>
      </c>
      <c r="G403" s="170">
        <f t="shared" si="81"/>
        <v>0</v>
      </c>
      <c r="H403" s="531">
        <f>ROUND(F403*'Actual Load'!$B$25/'Zonal Load'!$N$25,2)</f>
        <v>0</v>
      </c>
      <c r="I403" s="170">
        <f t="shared" si="82"/>
        <v>0</v>
      </c>
      <c r="J403" s="170">
        <f t="shared" si="83"/>
        <v>0</v>
      </c>
      <c r="K403" s="170">
        <f t="shared" si="84"/>
        <v>0</v>
      </c>
      <c r="L403" s="655">
        <f>E403*'Interest Under Collect '!J$10</f>
        <v>0</v>
      </c>
      <c r="M403" s="170">
        <f t="shared" si="87"/>
        <v>0</v>
      </c>
      <c r="N403" s="82"/>
    </row>
    <row r="404" spans="2:14" s="174" customFormat="1">
      <c r="B404" s="23" t="s">
        <v>32</v>
      </c>
      <c r="C404" s="211">
        <v>0</v>
      </c>
      <c r="D404" s="214">
        <v>0</v>
      </c>
      <c r="E404" s="212">
        <f t="shared" si="80"/>
        <v>0</v>
      </c>
      <c r="F404" s="213">
        <f t="shared" si="86"/>
        <v>0</v>
      </c>
      <c r="G404" s="170">
        <f t="shared" si="81"/>
        <v>0</v>
      </c>
      <c r="H404" s="531">
        <f>ROUND(F404*'Actual Load'!$B$13/'Zonal Load'!$N$13,2)</f>
        <v>0</v>
      </c>
      <c r="I404" s="170">
        <f t="shared" si="82"/>
        <v>0</v>
      </c>
      <c r="J404" s="170">
        <f t="shared" si="83"/>
        <v>0</v>
      </c>
      <c r="K404" s="170">
        <f t="shared" si="84"/>
        <v>0</v>
      </c>
      <c r="L404" s="655">
        <f>E404*'Interest Under Collect '!J$10</f>
        <v>0</v>
      </c>
      <c r="M404" s="170">
        <f>+K404+L404</f>
        <v>0</v>
      </c>
      <c r="N404" s="82"/>
    </row>
    <row r="405" spans="2:14" s="174" customFormat="1">
      <c r="B405" s="23" t="s">
        <v>33</v>
      </c>
      <c r="C405" s="211">
        <v>0</v>
      </c>
      <c r="D405" s="214">
        <v>0</v>
      </c>
      <c r="E405" s="212">
        <f t="shared" si="80"/>
        <v>0</v>
      </c>
      <c r="F405" s="213">
        <f t="shared" si="86"/>
        <v>0</v>
      </c>
      <c r="G405" s="170">
        <f t="shared" si="81"/>
        <v>0</v>
      </c>
      <c r="H405" s="531">
        <f>ROUND(F405*'Actual Load'!$B$23/'Zonal Load'!$N$23,2)</f>
        <v>0</v>
      </c>
      <c r="I405" s="170">
        <f t="shared" si="82"/>
        <v>0</v>
      </c>
      <c r="J405" s="170">
        <f t="shared" si="83"/>
        <v>0</v>
      </c>
      <c r="K405" s="170">
        <f t="shared" si="84"/>
        <v>0</v>
      </c>
      <c r="L405" s="655">
        <f>E405*'Interest Under Collect '!J$10</f>
        <v>0</v>
      </c>
      <c r="M405" s="170">
        <f>+K405+L405</f>
        <v>0</v>
      </c>
      <c r="N405" s="82"/>
    </row>
    <row r="406" spans="2:14" s="174" customFormat="1">
      <c r="B406" s="24" t="s">
        <v>34</v>
      </c>
      <c r="C406" s="211">
        <v>0</v>
      </c>
      <c r="D406" s="214">
        <v>0</v>
      </c>
      <c r="E406" s="212">
        <f t="shared" si="80"/>
        <v>0</v>
      </c>
      <c r="F406" s="213">
        <f t="shared" si="86"/>
        <v>0</v>
      </c>
      <c r="G406" s="170">
        <f t="shared" si="81"/>
        <v>0</v>
      </c>
      <c r="H406" s="531">
        <f>ROUND(F406*'Actual Load'!$B$20/'Zonal Load'!$N$20,2)</f>
        <v>0</v>
      </c>
      <c r="I406" s="170">
        <f t="shared" si="82"/>
        <v>0</v>
      </c>
      <c r="J406" s="170">
        <f t="shared" si="83"/>
        <v>0</v>
      </c>
      <c r="K406" s="170">
        <f t="shared" si="84"/>
        <v>0</v>
      </c>
      <c r="L406" s="655">
        <f>E406*'Interest Under Collect '!J$10</f>
        <v>0</v>
      </c>
      <c r="M406" s="170">
        <f>+K406+L406</f>
        <v>0</v>
      </c>
      <c r="N406" s="82"/>
    </row>
    <row r="407" spans="2:14">
      <c r="B407" s="25"/>
      <c r="C407" s="26">
        <f>SUM(C383:C406)</f>
        <v>0</v>
      </c>
      <c r="D407" s="27">
        <f>SUM(D383:D406)</f>
        <v>0</v>
      </c>
      <c r="E407" s="95">
        <f>SUM(E383:E406)</f>
        <v>1</v>
      </c>
      <c r="F407" s="90">
        <f>SUM(F383:F406)</f>
        <v>17266</v>
      </c>
      <c r="G407" s="76">
        <f t="shared" ref="G407:M407" si="88">SUM(G385:G406)</f>
        <v>404</v>
      </c>
      <c r="H407" s="532">
        <f t="shared" si="88"/>
        <v>16545.599999999999</v>
      </c>
      <c r="I407" s="77">
        <f t="shared" si="88"/>
        <v>16723.099999999999</v>
      </c>
      <c r="J407" s="77">
        <f t="shared" si="88"/>
        <v>-542.90000000000146</v>
      </c>
      <c r="K407" s="485">
        <f t="shared" si="88"/>
        <v>-138.90000000000146</v>
      </c>
      <c r="L407" s="656">
        <f t="shared" si="88"/>
        <v>-15.1</v>
      </c>
      <c r="M407" s="77">
        <f t="shared" si="88"/>
        <v>-154.00000000000145</v>
      </c>
    </row>
    <row r="408" spans="2:14">
      <c r="F408" s="3" t="s">
        <v>623</v>
      </c>
      <c r="G408" s="21"/>
      <c r="I408" s="569" t="s">
        <v>621</v>
      </c>
      <c r="J408" s="570" t="s">
        <v>622</v>
      </c>
    </row>
    <row r="409" spans="2:14">
      <c r="E409" s="479" t="s">
        <v>610</v>
      </c>
      <c r="F409" s="168">
        <f>ROUND((I409*M$884)+(J409*M$888),0)</f>
        <v>17266</v>
      </c>
      <c r="H409" s="80"/>
      <c r="I409" s="571">
        <v>17535.475809919888</v>
      </c>
      <c r="J409" s="571">
        <v>16362.531053428314</v>
      </c>
    </row>
    <row r="410" spans="2:14">
      <c r="E410" s="480" t="s">
        <v>611</v>
      </c>
      <c r="F410" s="169">
        <f>ROUND((I410*M$884)+(J410*M$888),0)</f>
        <v>16862</v>
      </c>
      <c r="G410" s="528">
        <f>F409-F410</f>
        <v>404</v>
      </c>
      <c r="H410" s="529"/>
      <c r="I410" s="572">
        <f>'Att GG at 12.38 '!N81</f>
        <v>17126.100642136098</v>
      </c>
      <c r="J410" s="572">
        <f>'Att GG at 10.82'!N81</f>
        <v>15979.05214676128</v>
      </c>
      <c r="L410" s="81"/>
    </row>
    <row r="411" spans="2:14">
      <c r="E411" s="91" t="s">
        <v>153</v>
      </c>
      <c r="F411" s="175">
        <f>I407</f>
        <v>16723.099999999999</v>
      </c>
      <c r="G411" s="528">
        <f>F411-F409</f>
        <v>-542.90000000000146</v>
      </c>
      <c r="H411" s="530"/>
      <c r="K411" s="86"/>
      <c r="L411" s="644"/>
      <c r="M411" s="86"/>
    </row>
    <row r="412" spans="2:14">
      <c r="G412" s="528">
        <f>G410+G411</f>
        <v>-138.90000000000146</v>
      </c>
      <c r="H412" s="529">
        <f>F411-F410</f>
        <v>-138.90000000000146</v>
      </c>
      <c r="K412" s="86"/>
      <c r="L412" s="86"/>
      <c r="M412" s="86"/>
    </row>
    <row r="413" spans="2:14">
      <c r="B413" s="79"/>
      <c r="C413" s="79"/>
      <c r="D413" s="79"/>
      <c r="E413" s="79"/>
      <c r="F413" s="79"/>
      <c r="G413" s="79"/>
      <c r="H413" s="79"/>
      <c r="I413" s="79"/>
      <c r="J413" s="105"/>
      <c r="K413" s="79"/>
      <c r="L413" s="79"/>
      <c r="M413" s="79"/>
    </row>
    <row r="414" spans="2:14">
      <c r="L414" s="174"/>
    </row>
    <row r="415" spans="2:14">
      <c r="B415" s="678" t="s">
        <v>0</v>
      </c>
      <c r="C415" s="679"/>
      <c r="D415" s="680" t="s">
        <v>685</v>
      </c>
      <c r="E415" s="681"/>
      <c r="F415" s="681"/>
      <c r="G415" s="681"/>
      <c r="H415" s="682"/>
      <c r="I415" s="142"/>
      <c r="J415" s="1"/>
    </row>
    <row r="416" spans="2:14">
      <c r="B416" s="665" t="s">
        <v>1</v>
      </c>
      <c r="C416" s="666"/>
      <c r="D416" s="667" t="s">
        <v>174</v>
      </c>
      <c r="E416" s="668"/>
      <c r="F416" s="668"/>
      <c r="G416" s="668"/>
      <c r="H416" s="669"/>
      <c r="I416" s="143"/>
      <c r="J416" s="1"/>
    </row>
    <row r="417" spans="1:14">
      <c r="B417" s="665" t="s">
        <v>3</v>
      </c>
      <c r="C417" s="666"/>
      <c r="D417" s="670">
        <v>115</v>
      </c>
      <c r="E417" s="671"/>
      <c r="F417" s="671"/>
      <c r="G417" s="671"/>
      <c r="H417" s="672"/>
      <c r="I417" s="144"/>
      <c r="J417" s="1"/>
    </row>
    <row r="418" spans="1:14">
      <c r="B418" s="673" t="s">
        <v>5</v>
      </c>
      <c r="C418" s="674"/>
      <c r="D418" s="675" t="s">
        <v>6</v>
      </c>
      <c r="E418" s="676"/>
      <c r="F418" s="676"/>
      <c r="G418" s="676"/>
      <c r="H418" s="677"/>
      <c r="I418" s="145"/>
      <c r="J418" s="1"/>
    </row>
    <row r="419" spans="1:14">
      <c r="B419" s="74"/>
      <c r="C419" s="74"/>
      <c r="D419" s="74"/>
      <c r="E419" s="74"/>
      <c r="F419" s="74"/>
      <c r="J419" s="99" t="s">
        <v>155</v>
      </c>
      <c r="K419" s="3" t="s">
        <v>40</v>
      </c>
      <c r="M419" s="3" t="s">
        <v>54</v>
      </c>
    </row>
    <row r="420" spans="1:14">
      <c r="B420" s="74"/>
      <c r="C420" s="74"/>
      <c r="D420" s="74"/>
      <c r="E420" s="74"/>
      <c r="F420" s="74"/>
      <c r="G420" s="3" t="s">
        <v>37</v>
      </c>
      <c r="H420" s="127" t="s">
        <v>38</v>
      </c>
      <c r="I420" s="92" t="s">
        <v>39</v>
      </c>
      <c r="J420" s="100" t="s">
        <v>156</v>
      </c>
      <c r="K420" s="4" t="s">
        <v>157</v>
      </c>
      <c r="L420" s="4" t="s">
        <v>53</v>
      </c>
      <c r="M420" s="4" t="s">
        <v>158</v>
      </c>
      <c r="N420" s="191"/>
    </row>
    <row r="421" spans="1:14">
      <c r="B421" s="74"/>
      <c r="C421" s="74"/>
      <c r="D421" s="74"/>
      <c r="E421" s="74"/>
      <c r="F421" s="74"/>
      <c r="G421" s="5"/>
      <c r="H421" s="662" t="s">
        <v>41</v>
      </c>
      <c r="I421" s="663"/>
      <c r="J421" s="664"/>
      <c r="K421" s="6" t="s">
        <v>42</v>
      </c>
      <c r="L421" s="5"/>
      <c r="M421" s="6" t="s">
        <v>43</v>
      </c>
      <c r="N421" s="191"/>
    </row>
    <row r="422" spans="1:14">
      <c r="B422" s="75"/>
      <c r="C422" s="7">
        <v>0.2</v>
      </c>
      <c r="D422" s="7">
        <v>0.8</v>
      </c>
      <c r="E422" s="7"/>
      <c r="F422" s="87" t="s">
        <v>154</v>
      </c>
      <c r="G422" s="8" t="s">
        <v>44</v>
      </c>
      <c r="H422" s="128"/>
      <c r="I422" s="5"/>
      <c r="J422" s="101" t="s">
        <v>45</v>
      </c>
      <c r="K422" s="8" t="s">
        <v>46</v>
      </c>
      <c r="L422" s="9"/>
      <c r="M422" s="8" t="s">
        <v>47</v>
      </c>
    </row>
    <row r="423" spans="1:14">
      <c r="B423" s="10"/>
      <c r="C423" s="68" t="s">
        <v>8</v>
      </c>
      <c r="D423" s="68" t="s">
        <v>9</v>
      </c>
      <c r="E423" s="68" t="s">
        <v>10</v>
      </c>
      <c r="F423" s="88" t="s">
        <v>7</v>
      </c>
      <c r="G423" s="11" t="s">
        <v>48</v>
      </c>
      <c r="H423" s="129" t="s">
        <v>49</v>
      </c>
      <c r="I423" s="12" t="s">
        <v>152</v>
      </c>
      <c r="J423" s="102" t="s">
        <v>48</v>
      </c>
      <c r="K423" s="12" t="s">
        <v>48</v>
      </c>
      <c r="L423" s="12" t="s">
        <v>50</v>
      </c>
      <c r="M423" s="12" t="s">
        <v>51</v>
      </c>
    </row>
    <row r="424" spans="1:14" ht="31.5">
      <c r="B424" s="13" t="s">
        <v>12</v>
      </c>
      <c r="C424" s="14" t="s">
        <v>13</v>
      </c>
      <c r="D424" s="14" t="s">
        <v>13</v>
      </c>
      <c r="E424" s="15" t="s">
        <v>13</v>
      </c>
      <c r="F424" s="89" t="s">
        <v>14</v>
      </c>
      <c r="G424" s="16" t="s">
        <v>52</v>
      </c>
      <c r="H424" s="130"/>
      <c r="I424" s="17"/>
      <c r="J424" s="103" t="s">
        <v>52</v>
      </c>
      <c r="K424" s="17"/>
      <c r="L424" s="17"/>
      <c r="M424" s="16" t="s">
        <v>52</v>
      </c>
    </row>
    <row r="425" spans="1:14" s="174" customFormat="1">
      <c r="B425" s="18" t="s">
        <v>15</v>
      </c>
      <c r="C425" s="211">
        <v>0</v>
      </c>
      <c r="D425" s="214">
        <v>0</v>
      </c>
      <c r="E425" s="212">
        <f t="shared" ref="E425:E442" si="89">C425+D425</f>
        <v>0</v>
      </c>
      <c r="F425" s="215">
        <f t="shared" ref="F425:F448" si="90">ROUND(+E425*F$451,2)</f>
        <v>0</v>
      </c>
      <c r="G425" s="170">
        <f t="shared" ref="G425:G448" si="91">(F$409-F$410)*E425</f>
        <v>0</v>
      </c>
      <c r="H425" s="531">
        <f>ROUND(F425*'Actual Load'!$B$8/'Zonal Load'!$N$8,2)</f>
        <v>0</v>
      </c>
      <c r="I425" s="170">
        <f t="shared" ref="I425:I448" si="92">ROUND((H425*$H$912)/$H$910,2)</f>
        <v>0</v>
      </c>
      <c r="J425" s="170">
        <f t="shared" ref="J425:J448" si="93">I425-F425</f>
        <v>0</v>
      </c>
      <c r="K425" s="170">
        <f t="shared" ref="K425:K448" si="94">+G425+J425</f>
        <v>0</v>
      </c>
      <c r="L425" s="655">
        <f>E425*'Interest Under Collect '!J$11</f>
        <v>0</v>
      </c>
      <c r="M425" s="170">
        <f t="shared" ref="M425:M432" si="95">+K425+L425</f>
        <v>0</v>
      </c>
      <c r="N425" s="82"/>
    </row>
    <row r="426" spans="1:14" s="174" customFormat="1">
      <c r="B426" s="23" t="s">
        <v>16</v>
      </c>
      <c r="C426" s="211">
        <v>0</v>
      </c>
      <c r="D426" s="214">
        <v>0</v>
      </c>
      <c r="E426" s="212">
        <f t="shared" si="89"/>
        <v>0</v>
      </c>
      <c r="F426" s="213">
        <f t="shared" si="90"/>
        <v>0</v>
      </c>
      <c r="G426" s="170">
        <f t="shared" si="91"/>
        <v>0</v>
      </c>
      <c r="H426" s="531">
        <f>ROUND(F426*'Actual Load'!$B$14/'Zonal Load'!$N$14,2)</f>
        <v>0</v>
      </c>
      <c r="I426" s="170">
        <f t="shared" si="92"/>
        <v>0</v>
      </c>
      <c r="J426" s="170">
        <f t="shared" si="93"/>
        <v>0</v>
      </c>
      <c r="K426" s="170">
        <f t="shared" si="94"/>
        <v>0</v>
      </c>
      <c r="L426" s="655">
        <f>E426*'Interest Under Collect '!J$11</f>
        <v>0</v>
      </c>
      <c r="M426" s="170">
        <f t="shared" si="95"/>
        <v>0</v>
      </c>
      <c r="N426" s="82"/>
    </row>
    <row r="427" spans="1:14" s="174" customFormat="1">
      <c r="B427" s="23" t="s">
        <v>190</v>
      </c>
      <c r="C427" s="211">
        <f>0%*0.421</f>
        <v>0</v>
      </c>
      <c r="D427" s="214">
        <f>0%*0.421</f>
        <v>0</v>
      </c>
      <c r="E427" s="212">
        <f t="shared" si="89"/>
        <v>0</v>
      </c>
      <c r="F427" s="213">
        <f t="shared" si="90"/>
        <v>0</v>
      </c>
      <c r="G427" s="170">
        <f t="shared" si="91"/>
        <v>0</v>
      </c>
      <c r="H427" s="531">
        <f>ROUND(F427*'Actual Load'!$B$9/'Zonal Load'!$N$9,2)</f>
        <v>0</v>
      </c>
      <c r="I427" s="170">
        <f t="shared" si="92"/>
        <v>0</v>
      </c>
      <c r="J427" s="170">
        <f t="shared" si="93"/>
        <v>0</v>
      </c>
      <c r="K427" s="170">
        <f t="shared" si="94"/>
        <v>0</v>
      </c>
      <c r="L427" s="655">
        <f>E427*'Interest Under Collect '!J$11</f>
        <v>0</v>
      </c>
      <c r="M427" s="170">
        <f t="shared" si="95"/>
        <v>0</v>
      </c>
      <c r="N427" s="82"/>
    </row>
    <row r="428" spans="1:14" s="174" customFormat="1">
      <c r="B428" s="125" t="s">
        <v>249</v>
      </c>
      <c r="C428" s="211">
        <f>0%*0.579</f>
        <v>0</v>
      </c>
      <c r="D428" s="214">
        <f>0%*0.579</f>
        <v>0</v>
      </c>
      <c r="E428" s="212">
        <f>C428+D428</f>
        <v>0</v>
      </c>
      <c r="F428" s="213">
        <f t="shared" si="90"/>
        <v>0</v>
      </c>
      <c r="G428" s="170">
        <f>(F$409-F$410)*E428</f>
        <v>0</v>
      </c>
      <c r="H428" s="531">
        <f>ROUND(F428*'Actual Load'!$B$10/'Zonal Load'!$N$10,2)</f>
        <v>0</v>
      </c>
      <c r="I428" s="170">
        <f t="shared" si="92"/>
        <v>0</v>
      </c>
      <c r="J428" s="170">
        <f>I428-F428</f>
        <v>0</v>
      </c>
      <c r="K428" s="170">
        <f>+G428+J428</f>
        <v>0</v>
      </c>
      <c r="L428" s="655">
        <f>E428*'Interest Under Collect '!J$11</f>
        <v>0</v>
      </c>
      <c r="M428" s="170">
        <f>+K428+L428</f>
        <v>0</v>
      </c>
      <c r="N428" s="82"/>
    </row>
    <row r="429" spans="1:14" s="174" customFormat="1">
      <c r="B429" s="23" t="s">
        <v>17</v>
      </c>
      <c r="C429" s="211">
        <v>0</v>
      </c>
      <c r="D429" s="214">
        <v>0</v>
      </c>
      <c r="E429" s="212">
        <f t="shared" si="89"/>
        <v>0</v>
      </c>
      <c r="F429" s="213">
        <f t="shared" si="90"/>
        <v>0</v>
      </c>
      <c r="G429" s="170">
        <f t="shared" si="91"/>
        <v>0</v>
      </c>
      <c r="H429" s="531">
        <f>ROUND(F429*'Actual Load'!$B$26/'Zonal Load'!$N$26,2)</f>
        <v>0</v>
      </c>
      <c r="I429" s="170">
        <f t="shared" si="92"/>
        <v>0</v>
      </c>
      <c r="J429" s="170">
        <f t="shared" si="93"/>
        <v>0</v>
      </c>
      <c r="K429" s="170">
        <f t="shared" si="94"/>
        <v>0</v>
      </c>
      <c r="L429" s="655">
        <f>E429*'Interest Under Collect '!J$11</f>
        <v>0</v>
      </c>
      <c r="M429" s="170">
        <f t="shared" si="95"/>
        <v>0</v>
      </c>
      <c r="N429" s="82"/>
    </row>
    <row r="430" spans="1:14" s="174" customFormat="1">
      <c r="B430" s="23" t="s">
        <v>18</v>
      </c>
      <c r="C430" s="211">
        <v>0</v>
      </c>
      <c r="D430" s="214">
        <v>0</v>
      </c>
      <c r="E430" s="212">
        <f t="shared" si="89"/>
        <v>0</v>
      </c>
      <c r="F430" s="213">
        <f t="shared" si="90"/>
        <v>0</v>
      </c>
      <c r="G430" s="170">
        <f t="shared" si="91"/>
        <v>0</v>
      </c>
      <c r="H430" s="531">
        <f>ROUND(F430*'Actual Load'!$B$16/'Zonal Load'!$N$16,2)</f>
        <v>0</v>
      </c>
      <c r="I430" s="170">
        <f t="shared" si="92"/>
        <v>0</v>
      </c>
      <c r="J430" s="170">
        <f t="shared" si="93"/>
        <v>0</v>
      </c>
      <c r="K430" s="170">
        <f t="shared" si="94"/>
        <v>0</v>
      </c>
      <c r="L430" s="655">
        <f>E430*'Interest Under Collect '!J$11</f>
        <v>0</v>
      </c>
      <c r="M430" s="170">
        <f t="shared" si="95"/>
        <v>0</v>
      </c>
      <c r="N430" s="82"/>
    </row>
    <row r="431" spans="1:14" s="174" customFormat="1">
      <c r="B431" s="23" t="s">
        <v>19</v>
      </c>
      <c r="C431" s="211">
        <v>0</v>
      </c>
      <c r="D431" s="214">
        <v>0</v>
      </c>
      <c r="E431" s="212">
        <f t="shared" si="89"/>
        <v>0</v>
      </c>
      <c r="F431" s="213">
        <f t="shared" si="90"/>
        <v>0</v>
      </c>
      <c r="G431" s="170">
        <f t="shared" si="91"/>
        <v>0</v>
      </c>
      <c r="H431" s="531">
        <f>ROUND(F431*'Actual Load'!$B$22/'Zonal Load'!$N$22,2)</f>
        <v>0</v>
      </c>
      <c r="I431" s="170">
        <f t="shared" si="92"/>
        <v>0</v>
      </c>
      <c r="J431" s="170">
        <f t="shared" si="93"/>
        <v>0</v>
      </c>
      <c r="K431" s="170">
        <f t="shared" si="94"/>
        <v>0</v>
      </c>
      <c r="L431" s="655">
        <f>E431*'Interest Under Collect '!J$11</f>
        <v>0</v>
      </c>
      <c r="M431" s="170">
        <f t="shared" si="95"/>
        <v>0</v>
      </c>
      <c r="N431" s="82"/>
    </row>
    <row r="432" spans="1:14" s="174" customFormat="1">
      <c r="B432" s="23" t="s">
        <v>20</v>
      </c>
      <c r="C432" s="211">
        <v>0</v>
      </c>
      <c r="D432" s="214">
        <v>0</v>
      </c>
      <c r="E432" s="212">
        <f t="shared" si="89"/>
        <v>0</v>
      </c>
      <c r="F432" s="213">
        <f t="shared" si="90"/>
        <v>0</v>
      </c>
      <c r="G432" s="170">
        <f t="shared" si="91"/>
        <v>0</v>
      </c>
      <c r="H432" s="531">
        <f>ROUND(F432*'Actual Load'!$B$17/'Zonal Load'!$N$17,2)</f>
        <v>0</v>
      </c>
      <c r="I432" s="170">
        <f t="shared" si="92"/>
        <v>0</v>
      </c>
      <c r="J432" s="170">
        <f t="shared" si="93"/>
        <v>0</v>
      </c>
      <c r="K432" s="170">
        <f t="shared" si="94"/>
        <v>0</v>
      </c>
      <c r="L432" s="655">
        <f>E432*'Interest Under Collect '!J$11</f>
        <v>0</v>
      </c>
      <c r="M432" s="170">
        <f t="shared" si="95"/>
        <v>0</v>
      </c>
      <c r="N432" s="82"/>
    </row>
    <row r="433" spans="2:14" s="174" customFormat="1">
      <c r="B433" s="23" t="s">
        <v>21</v>
      </c>
      <c r="C433" s="211">
        <v>0</v>
      </c>
      <c r="D433" s="214">
        <v>0</v>
      </c>
      <c r="E433" s="212">
        <f t="shared" si="89"/>
        <v>0</v>
      </c>
      <c r="F433" s="213">
        <f t="shared" si="90"/>
        <v>0</v>
      </c>
      <c r="G433" s="170">
        <f t="shared" si="91"/>
        <v>0</v>
      </c>
      <c r="H433" s="531">
        <f>ROUND(F433*'Actual Load'!$B$15/'Zonal Load'!$N$15,2)</f>
        <v>0</v>
      </c>
      <c r="I433" s="170">
        <f t="shared" si="92"/>
        <v>0</v>
      </c>
      <c r="J433" s="170">
        <f t="shared" si="93"/>
        <v>0</v>
      </c>
      <c r="K433" s="170">
        <f t="shared" si="94"/>
        <v>0</v>
      </c>
      <c r="L433" s="655">
        <f>E433*'Interest Under Collect '!J$11</f>
        <v>0</v>
      </c>
      <c r="M433" s="170">
        <f>+K433+L433</f>
        <v>0</v>
      </c>
      <c r="N433" s="82"/>
    </row>
    <row r="434" spans="2:14" s="174" customFormat="1">
      <c r="B434" s="23" t="s">
        <v>22</v>
      </c>
      <c r="C434" s="211">
        <v>0</v>
      </c>
      <c r="D434" s="214">
        <v>0</v>
      </c>
      <c r="E434" s="212">
        <f t="shared" si="89"/>
        <v>0</v>
      </c>
      <c r="F434" s="213">
        <f t="shared" si="90"/>
        <v>0</v>
      </c>
      <c r="G434" s="170">
        <f t="shared" si="91"/>
        <v>0</v>
      </c>
      <c r="H434" s="531">
        <f>ROUND(F434*'Actual Load'!$B$4/'Zonal Load'!$N$4,2)</f>
        <v>0</v>
      </c>
      <c r="I434" s="170">
        <f t="shared" si="92"/>
        <v>0</v>
      </c>
      <c r="J434" s="170">
        <f t="shared" si="93"/>
        <v>0</v>
      </c>
      <c r="K434" s="170">
        <f t="shared" si="94"/>
        <v>0</v>
      </c>
      <c r="L434" s="655">
        <f>E434*'Interest Under Collect '!J$11</f>
        <v>0</v>
      </c>
      <c r="M434" s="170">
        <f t="shared" ref="M434:M445" si="96">+K434+L434</f>
        <v>0</v>
      </c>
      <c r="N434" s="82"/>
    </row>
    <row r="435" spans="2:14" s="174" customFormat="1">
      <c r="B435" s="23" t="s">
        <v>23</v>
      </c>
      <c r="C435" s="211">
        <v>0</v>
      </c>
      <c r="D435" s="214">
        <v>0</v>
      </c>
      <c r="E435" s="212">
        <f t="shared" si="89"/>
        <v>0</v>
      </c>
      <c r="F435" s="213">
        <f t="shared" si="90"/>
        <v>0</v>
      </c>
      <c r="G435" s="170">
        <f t="shared" si="91"/>
        <v>0</v>
      </c>
      <c r="H435" s="531">
        <f>ROUND(F435*'Actual Load'!$B$11/'Zonal Load'!$N$11,2)</f>
        <v>0</v>
      </c>
      <c r="I435" s="170">
        <f t="shared" si="92"/>
        <v>0</v>
      </c>
      <c r="J435" s="170">
        <f t="shared" si="93"/>
        <v>0</v>
      </c>
      <c r="K435" s="170">
        <f t="shared" si="94"/>
        <v>0</v>
      </c>
      <c r="L435" s="655">
        <f>E435*'Interest Under Collect '!J$11</f>
        <v>0</v>
      </c>
      <c r="M435" s="170">
        <f t="shared" si="96"/>
        <v>0</v>
      </c>
      <c r="N435" s="82"/>
    </row>
    <row r="436" spans="2:14" s="174" customFormat="1">
      <c r="B436" s="23" t="s">
        <v>25</v>
      </c>
      <c r="C436" s="211">
        <v>0</v>
      </c>
      <c r="D436" s="214">
        <v>0</v>
      </c>
      <c r="E436" s="212">
        <f t="shared" si="89"/>
        <v>0</v>
      </c>
      <c r="F436" s="213">
        <f t="shared" si="90"/>
        <v>0</v>
      </c>
      <c r="G436" s="170">
        <f t="shared" si="91"/>
        <v>0</v>
      </c>
      <c r="H436" s="531">
        <f>ROUND(F436*'Actual Load'!$B$7/'Zonal Load'!$N$7,2)</f>
        <v>0</v>
      </c>
      <c r="I436" s="170">
        <f t="shared" si="92"/>
        <v>0</v>
      </c>
      <c r="J436" s="170">
        <f t="shared" si="93"/>
        <v>0</v>
      </c>
      <c r="K436" s="170">
        <f t="shared" si="94"/>
        <v>0</v>
      </c>
      <c r="L436" s="655">
        <f>E436*'Interest Under Collect '!J$11</f>
        <v>0</v>
      </c>
      <c r="M436" s="170">
        <f t="shared" si="96"/>
        <v>0</v>
      </c>
      <c r="N436" s="82"/>
    </row>
    <row r="437" spans="2:14" s="174" customFormat="1">
      <c r="B437" s="23" t="s">
        <v>24</v>
      </c>
      <c r="C437" s="211">
        <v>0</v>
      </c>
      <c r="D437" s="214">
        <v>0</v>
      </c>
      <c r="E437" s="212">
        <f t="shared" si="89"/>
        <v>0</v>
      </c>
      <c r="F437" s="213">
        <f t="shared" si="90"/>
        <v>0</v>
      </c>
      <c r="G437" s="170">
        <f t="shared" si="91"/>
        <v>0</v>
      </c>
      <c r="H437" s="531">
        <f>ROUND(F437*'Actual Load'!$B$6/'Zonal Load'!$N$6,2)</f>
        <v>0</v>
      </c>
      <c r="I437" s="170">
        <f t="shared" si="92"/>
        <v>0</v>
      </c>
      <c r="J437" s="170">
        <f t="shared" si="93"/>
        <v>0</v>
      </c>
      <c r="K437" s="170">
        <f t="shared" si="94"/>
        <v>0</v>
      </c>
      <c r="L437" s="655">
        <f>E437*'Interest Under Collect '!J$11</f>
        <v>0</v>
      </c>
      <c r="M437" s="170">
        <f t="shared" si="96"/>
        <v>0</v>
      </c>
      <c r="N437" s="82"/>
    </row>
    <row r="438" spans="2:14" s="174" customFormat="1">
      <c r="B438" s="23" t="s">
        <v>116</v>
      </c>
      <c r="C438" s="211">
        <v>0</v>
      </c>
      <c r="D438" s="214">
        <v>0</v>
      </c>
      <c r="E438" s="212">
        <f t="shared" si="89"/>
        <v>0</v>
      </c>
      <c r="F438" s="213">
        <f t="shared" si="90"/>
        <v>0</v>
      </c>
      <c r="G438" s="170">
        <f t="shared" si="91"/>
        <v>0</v>
      </c>
      <c r="H438" s="531">
        <f>ROUND(F438*'Actual Load'!$B$18/'Zonal Load'!$N$18,2)</f>
        <v>0</v>
      </c>
      <c r="I438" s="170">
        <f t="shared" si="92"/>
        <v>0</v>
      </c>
      <c r="J438" s="170">
        <f t="shared" si="93"/>
        <v>0</v>
      </c>
      <c r="K438" s="170">
        <f t="shared" si="94"/>
        <v>0</v>
      </c>
      <c r="L438" s="655">
        <f>E438*'Interest Under Collect '!J$11</f>
        <v>0</v>
      </c>
      <c r="M438" s="170">
        <f t="shared" si="96"/>
        <v>0</v>
      </c>
      <c r="N438" s="82"/>
    </row>
    <row r="439" spans="2:14" s="174" customFormat="1">
      <c r="B439" s="23" t="s">
        <v>117</v>
      </c>
      <c r="C439" s="211">
        <v>0</v>
      </c>
      <c r="D439" s="214">
        <v>0</v>
      </c>
      <c r="E439" s="212">
        <f t="shared" si="89"/>
        <v>0</v>
      </c>
      <c r="F439" s="213">
        <f t="shared" si="90"/>
        <v>0</v>
      </c>
      <c r="G439" s="170">
        <f t="shared" si="91"/>
        <v>0</v>
      </c>
      <c r="H439" s="531">
        <f>ROUND(F439*'Actual Load'!$B$17/'Zonal Load'!$N$17,2)</f>
        <v>0</v>
      </c>
      <c r="I439" s="170">
        <f t="shared" si="92"/>
        <v>0</v>
      </c>
      <c r="J439" s="170">
        <f t="shared" si="93"/>
        <v>0</v>
      </c>
      <c r="K439" s="170">
        <f t="shared" si="94"/>
        <v>0</v>
      </c>
      <c r="L439" s="655">
        <f>E439*'Interest Under Collect '!J$11</f>
        <v>0</v>
      </c>
      <c r="M439" s="170">
        <f t="shared" si="96"/>
        <v>0</v>
      </c>
      <c r="N439" s="82"/>
    </row>
    <row r="440" spans="2:14" s="174" customFormat="1">
      <c r="B440" s="23" t="s">
        <v>26</v>
      </c>
      <c r="C440" s="211">
        <v>0</v>
      </c>
      <c r="D440" s="214">
        <v>0</v>
      </c>
      <c r="E440" s="212">
        <f t="shared" si="89"/>
        <v>0</v>
      </c>
      <c r="F440" s="213">
        <f t="shared" si="90"/>
        <v>0</v>
      </c>
      <c r="G440" s="170">
        <f t="shared" si="91"/>
        <v>0</v>
      </c>
      <c r="H440" s="531">
        <f>ROUND(F440*'Actual Load'!$B$12/'Zonal Load'!$N$12,2)</f>
        <v>0</v>
      </c>
      <c r="I440" s="170">
        <f t="shared" si="92"/>
        <v>0</v>
      </c>
      <c r="J440" s="170">
        <f t="shared" si="93"/>
        <v>0</v>
      </c>
      <c r="K440" s="170">
        <f t="shared" si="94"/>
        <v>0</v>
      </c>
      <c r="L440" s="655">
        <f>E440*'Interest Under Collect '!J$11</f>
        <v>0</v>
      </c>
      <c r="M440" s="170">
        <f t="shared" si="96"/>
        <v>0</v>
      </c>
      <c r="N440" s="82"/>
    </row>
    <row r="441" spans="2:14" s="174" customFormat="1">
      <c r="B441" s="23" t="s">
        <v>27</v>
      </c>
      <c r="C441" s="211">
        <v>0</v>
      </c>
      <c r="D441" s="214">
        <v>0</v>
      </c>
      <c r="E441" s="212">
        <f t="shared" si="89"/>
        <v>0</v>
      </c>
      <c r="F441" s="213">
        <f t="shared" si="90"/>
        <v>0</v>
      </c>
      <c r="G441" s="170">
        <f t="shared" si="91"/>
        <v>0</v>
      </c>
      <c r="H441" s="531">
        <f>ROUND(F441*'Actual Load'!$B$24/'Zonal Load'!$N$24,2)</f>
        <v>0</v>
      </c>
      <c r="I441" s="170">
        <f t="shared" si="92"/>
        <v>0</v>
      </c>
      <c r="J441" s="170">
        <f t="shared" si="93"/>
        <v>0</v>
      </c>
      <c r="K441" s="170">
        <f t="shared" si="94"/>
        <v>0</v>
      </c>
      <c r="L441" s="655">
        <f>E441*'Interest Under Collect '!J$11</f>
        <v>0</v>
      </c>
      <c r="M441" s="170">
        <f t="shared" si="96"/>
        <v>0</v>
      </c>
      <c r="N441" s="82"/>
    </row>
    <row r="442" spans="2:14" s="174" customFormat="1">
      <c r="B442" s="23" t="s">
        <v>28</v>
      </c>
      <c r="C442" s="211">
        <v>0</v>
      </c>
      <c r="D442" s="214">
        <v>0</v>
      </c>
      <c r="E442" s="212">
        <f t="shared" si="89"/>
        <v>0</v>
      </c>
      <c r="F442" s="213">
        <f t="shared" si="90"/>
        <v>0</v>
      </c>
      <c r="G442" s="170">
        <f t="shared" si="91"/>
        <v>0</v>
      </c>
      <c r="H442" s="531">
        <f>ROUND(F442*'Actual Load'!$B$5/'Zonal Load'!$N$5,2)</f>
        <v>0</v>
      </c>
      <c r="I442" s="170">
        <f t="shared" si="92"/>
        <v>0</v>
      </c>
      <c r="J442" s="170">
        <f t="shared" si="93"/>
        <v>0</v>
      </c>
      <c r="K442" s="170">
        <f t="shared" si="94"/>
        <v>0</v>
      </c>
      <c r="L442" s="655">
        <f>E442*'Interest Under Collect '!J$11</f>
        <v>0</v>
      </c>
      <c r="M442" s="170">
        <f t="shared" si="96"/>
        <v>0</v>
      </c>
      <c r="N442" s="82"/>
    </row>
    <row r="443" spans="2:14" s="174" customFormat="1">
      <c r="B443" s="23" t="s">
        <v>29</v>
      </c>
      <c r="C443" s="211">
        <v>0</v>
      </c>
      <c r="D443" s="214">
        <v>0</v>
      </c>
      <c r="E443" s="212">
        <v>1</v>
      </c>
      <c r="F443" s="213">
        <f t="shared" si="90"/>
        <v>5907</v>
      </c>
      <c r="G443" s="170">
        <f>(F$451-F$452)*E443</f>
        <v>144</v>
      </c>
      <c r="H443" s="531">
        <f>ROUND(F443*'Actual Load'!$B$21/'Zonal Load'!$N$21,2)</f>
        <v>5660.54</v>
      </c>
      <c r="I443" s="170">
        <f t="shared" si="92"/>
        <v>5721.27</v>
      </c>
      <c r="J443" s="170">
        <f t="shared" si="93"/>
        <v>-185.72999999999956</v>
      </c>
      <c r="K443" s="170">
        <f t="shared" si="94"/>
        <v>-41.729999999999563</v>
      </c>
      <c r="L443" s="655">
        <f>E443*'Interest Under Collect '!J$11</f>
        <v>-5.2</v>
      </c>
      <c r="M443" s="170">
        <f t="shared" si="96"/>
        <v>-46.929999999999566</v>
      </c>
      <c r="N443" s="82"/>
    </row>
    <row r="444" spans="2:14" s="174" customFormat="1">
      <c r="B444" s="23" t="s">
        <v>30</v>
      </c>
      <c r="C444" s="211">
        <v>0</v>
      </c>
      <c r="D444" s="214">
        <v>0</v>
      </c>
      <c r="E444" s="212">
        <f>C444+D444</f>
        <v>0</v>
      </c>
      <c r="F444" s="213">
        <f t="shared" si="90"/>
        <v>0</v>
      </c>
      <c r="G444" s="170">
        <f t="shared" si="91"/>
        <v>0</v>
      </c>
      <c r="H444" s="531">
        <f>ROUND(F444*'Actual Load'!$B$19/'Zonal Load'!$N$19,2)</f>
        <v>0</v>
      </c>
      <c r="I444" s="170">
        <f t="shared" si="92"/>
        <v>0</v>
      </c>
      <c r="J444" s="170">
        <f t="shared" si="93"/>
        <v>0</v>
      </c>
      <c r="K444" s="170">
        <f t="shared" si="94"/>
        <v>0</v>
      </c>
      <c r="L444" s="655">
        <f>E444*'Interest Under Collect '!J$11</f>
        <v>0</v>
      </c>
      <c r="M444" s="170">
        <f t="shared" si="96"/>
        <v>0</v>
      </c>
      <c r="N444" s="82"/>
    </row>
    <row r="445" spans="2:14" s="174" customFormat="1">
      <c r="B445" s="23" t="s">
        <v>31</v>
      </c>
      <c r="C445" s="211">
        <v>0</v>
      </c>
      <c r="D445" s="214">
        <v>0</v>
      </c>
      <c r="E445" s="212">
        <f>C445+D445</f>
        <v>0</v>
      </c>
      <c r="F445" s="213">
        <f t="shared" si="90"/>
        <v>0</v>
      </c>
      <c r="G445" s="170">
        <f t="shared" si="91"/>
        <v>0</v>
      </c>
      <c r="H445" s="531">
        <f>ROUND(F445*'Actual Load'!$B$25/'Zonal Load'!$N$25,2)</f>
        <v>0</v>
      </c>
      <c r="I445" s="170">
        <f t="shared" si="92"/>
        <v>0</v>
      </c>
      <c r="J445" s="170">
        <f t="shared" si="93"/>
        <v>0</v>
      </c>
      <c r="K445" s="170">
        <f t="shared" si="94"/>
        <v>0</v>
      </c>
      <c r="L445" s="655">
        <f>E445*'Interest Under Collect '!J$11</f>
        <v>0</v>
      </c>
      <c r="M445" s="170">
        <f t="shared" si="96"/>
        <v>0</v>
      </c>
      <c r="N445" s="82"/>
    </row>
    <row r="446" spans="2:14" s="174" customFormat="1">
      <c r="B446" s="23" t="s">
        <v>32</v>
      </c>
      <c r="C446" s="211">
        <v>0</v>
      </c>
      <c r="D446" s="214">
        <v>0</v>
      </c>
      <c r="E446" s="212">
        <f>C446+D446</f>
        <v>0</v>
      </c>
      <c r="F446" s="213">
        <f t="shared" si="90"/>
        <v>0</v>
      </c>
      <c r="G446" s="170">
        <f t="shared" si="91"/>
        <v>0</v>
      </c>
      <c r="H446" s="531">
        <f>ROUND(F446*'Actual Load'!$B$13/'Zonal Load'!$N$13,2)</f>
        <v>0</v>
      </c>
      <c r="I446" s="170">
        <f t="shared" si="92"/>
        <v>0</v>
      </c>
      <c r="J446" s="170">
        <f t="shared" si="93"/>
        <v>0</v>
      </c>
      <c r="K446" s="170">
        <f t="shared" si="94"/>
        <v>0</v>
      </c>
      <c r="L446" s="655">
        <f>E446*'Interest Under Collect '!J$11</f>
        <v>0</v>
      </c>
      <c r="M446" s="170">
        <f>+K446+L446</f>
        <v>0</v>
      </c>
      <c r="N446" s="82"/>
    </row>
    <row r="447" spans="2:14" s="174" customFormat="1">
      <c r="B447" s="23" t="s">
        <v>33</v>
      </c>
      <c r="C447" s="211">
        <v>0</v>
      </c>
      <c r="D447" s="214">
        <v>0</v>
      </c>
      <c r="E447" s="212">
        <f>C447+D447</f>
        <v>0</v>
      </c>
      <c r="F447" s="213">
        <f t="shared" si="90"/>
        <v>0</v>
      </c>
      <c r="G447" s="170">
        <f t="shared" si="91"/>
        <v>0</v>
      </c>
      <c r="H447" s="531">
        <f>ROUND(F447*'Actual Load'!$B$23/'Zonal Load'!$N$23,2)</f>
        <v>0</v>
      </c>
      <c r="I447" s="170">
        <f t="shared" si="92"/>
        <v>0</v>
      </c>
      <c r="J447" s="170">
        <f t="shared" si="93"/>
        <v>0</v>
      </c>
      <c r="K447" s="170">
        <f t="shared" si="94"/>
        <v>0</v>
      </c>
      <c r="L447" s="655">
        <f>E447*'Interest Under Collect '!J$11</f>
        <v>0</v>
      </c>
      <c r="M447" s="170">
        <f>+K447+L447</f>
        <v>0</v>
      </c>
      <c r="N447" s="82"/>
    </row>
    <row r="448" spans="2:14" s="174" customFormat="1">
      <c r="B448" s="24" t="s">
        <v>34</v>
      </c>
      <c r="C448" s="211">
        <v>0</v>
      </c>
      <c r="D448" s="214">
        <v>0</v>
      </c>
      <c r="E448" s="212">
        <f>C448+D448</f>
        <v>0</v>
      </c>
      <c r="F448" s="213">
        <f t="shared" si="90"/>
        <v>0</v>
      </c>
      <c r="G448" s="170">
        <f t="shared" si="91"/>
        <v>0</v>
      </c>
      <c r="H448" s="531">
        <f>ROUND(F448*'Actual Load'!$B$20/'Zonal Load'!$N$20,2)</f>
        <v>0</v>
      </c>
      <c r="I448" s="170">
        <f t="shared" si="92"/>
        <v>0</v>
      </c>
      <c r="J448" s="170">
        <f t="shared" si="93"/>
        <v>0</v>
      </c>
      <c r="K448" s="170">
        <f t="shared" si="94"/>
        <v>0</v>
      </c>
      <c r="L448" s="655">
        <f>E448*'Interest Under Collect '!J$11</f>
        <v>0</v>
      </c>
      <c r="M448" s="170">
        <f>+K448+L448</f>
        <v>0</v>
      </c>
      <c r="N448" s="82"/>
    </row>
    <row r="449" spans="2:15">
      <c r="B449" s="25"/>
      <c r="C449" s="26">
        <f>SUM(C425:C448)</f>
        <v>0</v>
      </c>
      <c r="D449" s="27">
        <f>SUM(D425:D448)</f>
        <v>0</v>
      </c>
      <c r="E449" s="95">
        <f>SUM(E425:E448)</f>
        <v>1</v>
      </c>
      <c r="F449" s="90">
        <f>SUM(F425:F448)</f>
        <v>5907</v>
      </c>
      <c r="G449" s="76">
        <f t="shared" ref="G449:M449" si="97">SUM(G427:G448)</f>
        <v>144</v>
      </c>
      <c r="H449" s="131">
        <f t="shared" si="97"/>
        <v>5660.54</v>
      </c>
      <c r="I449" s="77">
        <f t="shared" si="97"/>
        <v>5721.27</v>
      </c>
      <c r="J449" s="77">
        <f t="shared" si="97"/>
        <v>-185.72999999999956</v>
      </c>
      <c r="K449" s="485">
        <f t="shared" si="97"/>
        <v>-41.729999999999563</v>
      </c>
      <c r="L449" s="656">
        <f t="shared" si="97"/>
        <v>-5.2</v>
      </c>
      <c r="M449" s="77">
        <f t="shared" si="97"/>
        <v>-46.929999999999566</v>
      </c>
    </row>
    <row r="450" spans="2:15">
      <c r="F450" s="3" t="s">
        <v>623</v>
      </c>
      <c r="G450" s="21"/>
      <c r="I450" s="569" t="s">
        <v>621</v>
      </c>
      <c r="J450" s="570" t="s">
        <v>622</v>
      </c>
      <c r="N450" s="192"/>
      <c r="O450"/>
    </row>
    <row r="451" spans="2:15">
      <c r="E451" s="479" t="s">
        <v>610</v>
      </c>
      <c r="F451" s="168">
        <f>ROUND((I451*M$884)+(J451*M$888),0)</f>
        <v>5907</v>
      </c>
      <c r="I451" s="571">
        <v>6002.1251320249748</v>
      </c>
      <c r="J451" s="571">
        <v>5589.0771816368506</v>
      </c>
      <c r="N451" s="192"/>
      <c r="O451"/>
    </row>
    <row r="452" spans="2:15">
      <c r="E452" s="480" t="s">
        <v>611</v>
      </c>
      <c r="F452" s="169">
        <f>ROUND((I452*M$884)+(J452*M$888),0)</f>
        <v>5763</v>
      </c>
      <c r="G452" s="528">
        <f>F451-F452</f>
        <v>144</v>
      </c>
      <c r="H452" s="529"/>
      <c r="I452" s="572">
        <f>'Att GG at 12.38 '!N82</f>
        <v>5855.8638607142047</v>
      </c>
      <c r="J452" s="572">
        <f>'Att GG at 10.82'!N82</f>
        <v>5451.935178320412</v>
      </c>
      <c r="L452" s="81"/>
      <c r="N452" s="192"/>
      <c r="O452"/>
    </row>
    <row r="453" spans="2:15">
      <c r="E453" s="91" t="s">
        <v>153</v>
      </c>
      <c r="F453" s="175">
        <f>I449</f>
        <v>5721.27</v>
      </c>
      <c r="G453" s="528">
        <f>F453-F451</f>
        <v>-185.72999999999956</v>
      </c>
      <c r="H453" s="530"/>
      <c r="K453" s="86"/>
      <c r="L453" s="644"/>
      <c r="M453" s="86"/>
      <c r="N453" s="192"/>
      <c r="O453"/>
    </row>
    <row r="454" spans="2:15">
      <c r="B454" s="139"/>
      <c r="C454" s="139"/>
      <c r="D454" s="139"/>
      <c r="E454" s="139"/>
      <c r="F454" s="139"/>
      <c r="G454" s="528">
        <f>G452+G453</f>
        <v>-41.729999999999563</v>
      </c>
      <c r="H454" s="529">
        <f>F453-F452</f>
        <v>-41.729999999999563</v>
      </c>
      <c r="I454" s="139"/>
      <c r="J454" s="139"/>
      <c r="K454" s="86"/>
      <c r="L454" s="86"/>
      <c r="M454" s="86"/>
      <c r="N454" s="192"/>
      <c r="O454"/>
    </row>
    <row r="455" spans="2:15">
      <c r="B455" s="79"/>
      <c r="C455" s="79"/>
      <c r="D455" s="79"/>
      <c r="E455" s="79"/>
      <c r="F455" s="79"/>
      <c r="G455" s="79"/>
      <c r="H455" s="79"/>
      <c r="I455" s="79"/>
      <c r="J455" s="105"/>
      <c r="K455" s="79"/>
      <c r="L455" s="79"/>
      <c r="M455" s="79"/>
    </row>
    <row r="456" spans="2:15">
      <c r="L456" s="174"/>
    </row>
    <row r="457" spans="2:15">
      <c r="B457" s="678" t="s">
        <v>0</v>
      </c>
      <c r="C457" s="679"/>
      <c r="D457" s="680" t="s">
        <v>686</v>
      </c>
      <c r="E457" s="681"/>
      <c r="F457" s="681"/>
      <c r="G457" s="681"/>
      <c r="H457" s="682"/>
      <c r="I457" s="146"/>
      <c r="J457" s="138"/>
      <c r="K457"/>
      <c r="L457"/>
      <c r="M457"/>
      <c r="N457" s="192"/>
      <c r="O457"/>
    </row>
    <row r="458" spans="2:15" ht="15.75" customHeight="1">
      <c r="B458" s="665" t="s">
        <v>1</v>
      </c>
      <c r="C458" s="666"/>
      <c r="D458" s="667" t="s">
        <v>175</v>
      </c>
      <c r="E458" s="668"/>
      <c r="F458" s="668"/>
      <c r="G458" s="668"/>
      <c r="H458" s="669"/>
      <c r="I458" s="146"/>
      <c r="J458" s="138"/>
      <c r="K458"/>
      <c r="L458"/>
      <c r="M458"/>
      <c r="N458" s="192"/>
      <c r="O458"/>
    </row>
    <row r="459" spans="2:15">
      <c r="B459" s="665" t="s">
        <v>3</v>
      </c>
      <c r="C459" s="666"/>
      <c r="D459" s="670">
        <v>69</v>
      </c>
      <c r="E459" s="671"/>
      <c r="F459" s="671"/>
      <c r="G459" s="671"/>
      <c r="H459" s="672"/>
      <c r="I459" s="146"/>
      <c r="J459" s="138"/>
      <c r="K459"/>
      <c r="L459"/>
      <c r="M459"/>
      <c r="N459" s="192"/>
      <c r="O459"/>
    </row>
    <row r="460" spans="2:15">
      <c r="B460" s="673" t="s">
        <v>5</v>
      </c>
      <c r="C460" s="674"/>
      <c r="D460" s="675" t="s">
        <v>6</v>
      </c>
      <c r="E460" s="676"/>
      <c r="F460" s="676"/>
      <c r="G460" s="676"/>
      <c r="H460" s="677"/>
      <c r="I460" s="146"/>
      <c r="J460" s="138"/>
      <c r="K460"/>
      <c r="L460"/>
      <c r="M460"/>
      <c r="N460" s="192"/>
      <c r="O460"/>
    </row>
    <row r="461" spans="2:15">
      <c r="B461" s="74"/>
      <c r="C461" s="74"/>
      <c r="D461" s="74"/>
      <c r="E461" s="74"/>
      <c r="F461" s="74"/>
      <c r="J461" s="99" t="s">
        <v>155</v>
      </c>
      <c r="K461" s="3" t="s">
        <v>40</v>
      </c>
      <c r="M461" s="3" t="s">
        <v>54</v>
      </c>
      <c r="N461" s="192"/>
      <c r="O461"/>
    </row>
    <row r="462" spans="2:15">
      <c r="B462" s="74"/>
      <c r="C462" s="74"/>
      <c r="D462" s="74"/>
      <c r="E462" s="74"/>
      <c r="F462" s="74"/>
      <c r="G462" s="3" t="s">
        <v>37</v>
      </c>
      <c r="H462" s="127" t="s">
        <v>38</v>
      </c>
      <c r="I462" s="92" t="s">
        <v>39</v>
      </c>
      <c r="J462" s="100" t="s">
        <v>156</v>
      </c>
      <c r="K462" s="4" t="s">
        <v>157</v>
      </c>
      <c r="L462" s="4" t="s">
        <v>53</v>
      </c>
      <c r="M462" s="4" t="s">
        <v>158</v>
      </c>
      <c r="N462" s="192"/>
      <c r="O462"/>
    </row>
    <row r="463" spans="2:15">
      <c r="B463" s="74"/>
      <c r="C463" s="74"/>
      <c r="D463" s="74"/>
      <c r="E463" s="74"/>
      <c r="F463" s="74"/>
      <c r="G463" s="5"/>
      <c r="H463" s="662" t="s">
        <v>41</v>
      </c>
      <c r="I463" s="663"/>
      <c r="J463" s="664"/>
      <c r="K463" s="6" t="s">
        <v>42</v>
      </c>
      <c r="L463" s="5"/>
      <c r="M463" s="6" t="s">
        <v>43</v>
      </c>
      <c r="N463" s="192"/>
      <c r="O463"/>
    </row>
    <row r="464" spans="2:15">
      <c r="B464" s="75"/>
      <c r="C464" s="7">
        <v>0.2</v>
      </c>
      <c r="D464" s="7">
        <v>0.8</v>
      </c>
      <c r="E464" s="7"/>
      <c r="F464" s="87" t="s">
        <v>154</v>
      </c>
      <c r="G464" s="8" t="s">
        <v>44</v>
      </c>
      <c r="H464" s="128"/>
      <c r="I464" s="5"/>
      <c r="J464" s="101" t="s">
        <v>45</v>
      </c>
      <c r="K464" s="8" t="s">
        <v>46</v>
      </c>
      <c r="L464" s="9"/>
      <c r="M464" s="8" t="s">
        <v>47</v>
      </c>
      <c r="N464" s="192"/>
      <c r="O464"/>
    </row>
    <row r="465" spans="1:15">
      <c r="B465" s="10"/>
      <c r="C465" s="68" t="s">
        <v>8</v>
      </c>
      <c r="D465" s="68" t="s">
        <v>9</v>
      </c>
      <c r="E465" s="68" t="s">
        <v>10</v>
      </c>
      <c r="F465" s="88" t="s">
        <v>7</v>
      </c>
      <c r="G465" s="11" t="s">
        <v>48</v>
      </c>
      <c r="H465" s="129" t="s">
        <v>49</v>
      </c>
      <c r="I465" s="12" t="s">
        <v>152</v>
      </c>
      <c r="J465" s="102" t="s">
        <v>48</v>
      </c>
      <c r="K465" s="12" t="s">
        <v>48</v>
      </c>
      <c r="L465" s="12" t="s">
        <v>50</v>
      </c>
      <c r="M465" s="12" t="s">
        <v>51</v>
      </c>
      <c r="N465" s="192"/>
      <c r="O465"/>
    </row>
    <row r="466" spans="1:15" ht="31.5">
      <c r="B466" s="13" t="s">
        <v>12</v>
      </c>
      <c r="C466" s="14" t="s">
        <v>13</v>
      </c>
      <c r="D466" s="14" t="s">
        <v>13</v>
      </c>
      <c r="E466" s="15" t="s">
        <v>13</v>
      </c>
      <c r="F466" s="89" t="s">
        <v>14</v>
      </c>
      <c r="G466" s="16" t="s">
        <v>52</v>
      </c>
      <c r="H466" s="130"/>
      <c r="I466" s="17"/>
      <c r="J466" s="103" t="s">
        <v>52</v>
      </c>
      <c r="K466" s="17"/>
      <c r="L466" s="17"/>
      <c r="M466" s="16" t="s">
        <v>52</v>
      </c>
      <c r="N466" s="192"/>
      <c r="O466"/>
    </row>
    <row r="467" spans="1:15" s="174" customFormat="1">
      <c r="B467" s="18" t="s">
        <v>15</v>
      </c>
      <c r="C467" s="211">
        <v>0</v>
      </c>
      <c r="D467" s="214">
        <v>0</v>
      </c>
      <c r="E467" s="212">
        <f t="shared" ref="E467:E484" si="98">C467+D467</f>
        <v>0</v>
      </c>
      <c r="F467" s="215">
        <f t="shared" ref="F467:F490" si="99">ROUND(+E467*F$493,2)</f>
        <v>0</v>
      </c>
      <c r="G467" s="170">
        <f t="shared" ref="G467:G484" si="100">(F$409-F$410)*E467</f>
        <v>0</v>
      </c>
      <c r="H467" s="531">
        <f>ROUND(F467*'Actual Load'!$B$8/'Zonal Load'!$N$8,2)</f>
        <v>0</v>
      </c>
      <c r="I467" s="170">
        <f t="shared" ref="I467:I490" si="101">ROUND((H467*$H$912)/$H$910,2)</f>
        <v>0</v>
      </c>
      <c r="J467" s="170">
        <f t="shared" ref="J467:J490" si="102">I467-F467</f>
        <v>0</v>
      </c>
      <c r="K467" s="170">
        <f t="shared" ref="K467:K490" si="103">+G467+J467</f>
        <v>0</v>
      </c>
      <c r="L467" s="655">
        <f>E467*'Interest Under Collect '!J$12</f>
        <v>0</v>
      </c>
      <c r="M467" s="170">
        <f t="shared" ref="M467:M474" si="104">+K467+L467</f>
        <v>0</v>
      </c>
      <c r="N467" s="192"/>
      <c r="O467" s="219"/>
    </row>
    <row r="468" spans="1:15" s="174" customFormat="1">
      <c r="B468" s="23" t="s">
        <v>16</v>
      </c>
      <c r="C468" s="211">
        <v>0</v>
      </c>
      <c r="D468" s="214">
        <v>0</v>
      </c>
      <c r="E468" s="212">
        <f t="shared" si="98"/>
        <v>0</v>
      </c>
      <c r="F468" s="213">
        <f t="shared" si="99"/>
        <v>0</v>
      </c>
      <c r="G468" s="170">
        <f t="shared" si="100"/>
        <v>0</v>
      </c>
      <c r="H468" s="531">
        <f>ROUND(F468*'Actual Load'!$B$14/'Zonal Load'!$N$14,2)</f>
        <v>0</v>
      </c>
      <c r="I468" s="170">
        <f t="shared" si="101"/>
        <v>0</v>
      </c>
      <c r="J468" s="170">
        <f t="shared" si="102"/>
        <v>0</v>
      </c>
      <c r="K468" s="170">
        <f t="shared" si="103"/>
        <v>0</v>
      </c>
      <c r="L468" s="655">
        <f>E468*'Interest Under Collect '!J$12</f>
        <v>0</v>
      </c>
      <c r="M468" s="170">
        <f t="shared" si="104"/>
        <v>0</v>
      </c>
      <c r="N468" s="192"/>
      <c r="O468" s="219"/>
    </row>
    <row r="469" spans="1:15" s="174" customFormat="1">
      <c r="B469" s="23" t="s">
        <v>190</v>
      </c>
      <c r="C469" s="211">
        <f>0%*0.421</f>
        <v>0</v>
      </c>
      <c r="D469" s="214">
        <f>0%*0.421</f>
        <v>0</v>
      </c>
      <c r="E469" s="212">
        <f t="shared" si="98"/>
        <v>0</v>
      </c>
      <c r="F469" s="213">
        <f t="shared" si="99"/>
        <v>0</v>
      </c>
      <c r="G469" s="170">
        <f t="shared" si="100"/>
        <v>0</v>
      </c>
      <c r="H469" s="531">
        <f>ROUND(F469*'Actual Load'!$B$9/'Zonal Load'!$N$9,2)</f>
        <v>0</v>
      </c>
      <c r="I469" s="170">
        <f t="shared" si="101"/>
        <v>0</v>
      </c>
      <c r="J469" s="170">
        <f t="shared" si="102"/>
        <v>0</v>
      </c>
      <c r="K469" s="170">
        <f t="shared" si="103"/>
        <v>0</v>
      </c>
      <c r="L469" s="655">
        <f>E469*'Interest Under Collect '!J$12</f>
        <v>0</v>
      </c>
      <c r="M469" s="170">
        <f t="shared" si="104"/>
        <v>0</v>
      </c>
      <c r="N469" s="192"/>
      <c r="O469" s="219"/>
    </row>
    <row r="470" spans="1:15" s="174" customFormat="1">
      <c r="B470" s="125" t="s">
        <v>249</v>
      </c>
      <c r="C470" s="211">
        <f>0%*0.579</f>
        <v>0</v>
      </c>
      <c r="D470" s="214">
        <f>0%*0.579</f>
        <v>0</v>
      </c>
      <c r="E470" s="212">
        <f>C470+D470</f>
        <v>0</v>
      </c>
      <c r="F470" s="213">
        <f t="shared" si="99"/>
        <v>0</v>
      </c>
      <c r="G470" s="170">
        <f>(F$409-F$410)*E470</f>
        <v>0</v>
      </c>
      <c r="H470" s="531">
        <f>ROUND(F470*'Actual Load'!$B$10/'Zonal Load'!$N$10,2)</f>
        <v>0</v>
      </c>
      <c r="I470" s="170">
        <f t="shared" si="101"/>
        <v>0</v>
      </c>
      <c r="J470" s="170">
        <f>I470-F470</f>
        <v>0</v>
      </c>
      <c r="K470" s="170">
        <f>+G470+J470</f>
        <v>0</v>
      </c>
      <c r="L470" s="655">
        <f>E470*'Interest Under Collect '!J$12</f>
        <v>0</v>
      </c>
      <c r="M470" s="170">
        <f>+K470+L470</f>
        <v>0</v>
      </c>
      <c r="N470" s="192"/>
      <c r="O470" s="219"/>
    </row>
    <row r="471" spans="1:15" s="174" customFormat="1">
      <c r="B471" s="23" t="s">
        <v>17</v>
      </c>
      <c r="C471" s="211">
        <v>0</v>
      </c>
      <c r="D471" s="214">
        <v>0</v>
      </c>
      <c r="E471" s="212">
        <f t="shared" si="98"/>
        <v>0</v>
      </c>
      <c r="F471" s="213">
        <f t="shared" si="99"/>
        <v>0</v>
      </c>
      <c r="G471" s="170">
        <f t="shared" si="100"/>
        <v>0</v>
      </c>
      <c r="H471" s="531">
        <f>ROUND(F471*'Actual Load'!$B$26/'Zonal Load'!$N$26,2)</f>
        <v>0</v>
      </c>
      <c r="I471" s="170">
        <f t="shared" si="101"/>
        <v>0</v>
      </c>
      <c r="J471" s="170">
        <f t="shared" si="102"/>
        <v>0</v>
      </c>
      <c r="K471" s="170">
        <f t="shared" si="103"/>
        <v>0</v>
      </c>
      <c r="L471" s="655">
        <f>E471*'Interest Under Collect '!J$12</f>
        <v>0</v>
      </c>
      <c r="M471" s="170">
        <f t="shared" si="104"/>
        <v>0</v>
      </c>
      <c r="N471" s="192"/>
      <c r="O471" s="219"/>
    </row>
    <row r="472" spans="1:15" s="174" customFormat="1">
      <c r="B472" s="23" t="s">
        <v>18</v>
      </c>
      <c r="C472" s="211">
        <v>0</v>
      </c>
      <c r="D472" s="214">
        <v>0</v>
      </c>
      <c r="E472" s="212">
        <f t="shared" si="98"/>
        <v>0</v>
      </c>
      <c r="F472" s="213">
        <f t="shared" si="99"/>
        <v>0</v>
      </c>
      <c r="G472" s="170">
        <f t="shared" si="100"/>
        <v>0</v>
      </c>
      <c r="H472" s="531">
        <f>ROUND(F472*'Actual Load'!$B$16/'Zonal Load'!$N$16,2)</f>
        <v>0</v>
      </c>
      <c r="I472" s="170">
        <f t="shared" si="101"/>
        <v>0</v>
      </c>
      <c r="J472" s="170">
        <f t="shared" si="102"/>
        <v>0</v>
      </c>
      <c r="K472" s="170">
        <f t="shared" si="103"/>
        <v>0</v>
      </c>
      <c r="L472" s="655">
        <f>E472*'Interest Under Collect '!J$12</f>
        <v>0</v>
      </c>
      <c r="M472" s="170">
        <f t="shared" si="104"/>
        <v>0</v>
      </c>
      <c r="N472" s="192"/>
      <c r="O472" s="219"/>
    </row>
    <row r="473" spans="1:15" s="174" customFormat="1">
      <c r="B473" s="23" t="s">
        <v>19</v>
      </c>
      <c r="C473" s="211">
        <v>0</v>
      </c>
      <c r="D473" s="214">
        <v>0</v>
      </c>
      <c r="E473" s="212">
        <f t="shared" si="98"/>
        <v>0</v>
      </c>
      <c r="F473" s="213">
        <f t="shared" si="99"/>
        <v>0</v>
      </c>
      <c r="G473" s="170">
        <f t="shared" si="100"/>
        <v>0</v>
      </c>
      <c r="H473" s="531">
        <f>ROUND(F473*'Actual Load'!$B$22/'Zonal Load'!$N$22,2)</f>
        <v>0</v>
      </c>
      <c r="I473" s="170">
        <f t="shared" si="101"/>
        <v>0</v>
      </c>
      <c r="J473" s="170">
        <f t="shared" si="102"/>
        <v>0</v>
      </c>
      <c r="K473" s="170">
        <f t="shared" si="103"/>
        <v>0</v>
      </c>
      <c r="L473" s="655">
        <f>E473*'Interest Under Collect '!J$12</f>
        <v>0</v>
      </c>
      <c r="M473" s="170">
        <f t="shared" si="104"/>
        <v>0</v>
      </c>
      <c r="N473" s="192"/>
      <c r="O473" s="219"/>
    </row>
    <row r="474" spans="1:15" s="174" customFormat="1">
      <c r="B474" s="23" t="s">
        <v>20</v>
      </c>
      <c r="C474" s="211">
        <v>0</v>
      </c>
      <c r="D474" s="214">
        <v>0</v>
      </c>
      <c r="E474" s="212">
        <f t="shared" si="98"/>
        <v>0</v>
      </c>
      <c r="F474" s="213">
        <f t="shared" si="99"/>
        <v>0</v>
      </c>
      <c r="G474" s="170">
        <f t="shared" si="100"/>
        <v>0</v>
      </c>
      <c r="H474" s="531">
        <f>ROUND(F474*'Actual Load'!$B$17/'Zonal Load'!$N$17,2)</f>
        <v>0</v>
      </c>
      <c r="I474" s="170">
        <f t="shared" si="101"/>
        <v>0</v>
      </c>
      <c r="J474" s="170">
        <f t="shared" si="102"/>
        <v>0</v>
      </c>
      <c r="K474" s="170">
        <f t="shared" si="103"/>
        <v>0</v>
      </c>
      <c r="L474" s="655">
        <f>E474*'Interest Under Collect '!J$12</f>
        <v>0</v>
      </c>
      <c r="M474" s="170">
        <f t="shared" si="104"/>
        <v>0</v>
      </c>
      <c r="N474" s="192"/>
      <c r="O474" s="219"/>
    </row>
    <row r="475" spans="1:15" s="174" customFormat="1">
      <c r="B475" s="23" t="s">
        <v>21</v>
      </c>
      <c r="C475" s="211">
        <v>0</v>
      </c>
      <c r="D475" s="214">
        <v>0</v>
      </c>
      <c r="E475" s="212">
        <f t="shared" si="98"/>
        <v>0</v>
      </c>
      <c r="F475" s="213">
        <f t="shared" si="99"/>
        <v>0</v>
      </c>
      <c r="G475" s="170">
        <f t="shared" si="100"/>
        <v>0</v>
      </c>
      <c r="H475" s="531">
        <f>ROUND(F475*'Actual Load'!$B$15/'Zonal Load'!$N$15,2)</f>
        <v>0</v>
      </c>
      <c r="I475" s="170">
        <f t="shared" si="101"/>
        <v>0</v>
      </c>
      <c r="J475" s="170">
        <f t="shared" si="102"/>
        <v>0</v>
      </c>
      <c r="K475" s="170">
        <f t="shared" si="103"/>
        <v>0</v>
      </c>
      <c r="L475" s="655">
        <f>E475*'Interest Under Collect '!J$12</f>
        <v>0</v>
      </c>
      <c r="M475" s="170">
        <f>+K475+L475</f>
        <v>0</v>
      </c>
      <c r="N475" s="192"/>
      <c r="O475" s="219"/>
    </row>
    <row r="476" spans="1:15" s="174" customFormat="1">
      <c r="B476" s="23" t="s">
        <v>22</v>
      </c>
      <c r="C476" s="211">
        <v>0</v>
      </c>
      <c r="D476" s="214">
        <v>0</v>
      </c>
      <c r="E476" s="212">
        <f t="shared" si="98"/>
        <v>0</v>
      </c>
      <c r="F476" s="213">
        <f t="shared" si="99"/>
        <v>0</v>
      </c>
      <c r="G476" s="170">
        <f t="shared" si="100"/>
        <v>0</v>
      </c>
      <c r="H476" s="531">
        <f>ROUND(F476*'Actual Load'!$B$4/'Zonal Load'!$N$4,2)</f>
        <v>0</v>
      </c>
      <c r="I476" s="170">
        <f t="shared" si="101"/>
        <v>0</v>
      </c>
      <c r="J476" s="170">
        <f t="shared" si="102"/>
        <v>0</v>
      </c>
      <c r="K476" s="170">
        <f t="shared" si="103"/>
        <v>0</v>
      </c>
      <c r="L476" s="655">
        <f>E476*'Interest Under Collect '!J$12</f>
        <v>0</v>
      </c>
      <c r="M476" s="170">
        <f t="shared" ref="M476:M487" si="105">+K476+L476</f>
        <v>0</v>
      </c>
      <c r="N476" s="192"/>
      <c r="O476" s="219"/>
    </row>
    <row r="477" spans="1:15" s="174" customFormat="1">
      <c r="B477" s="23" t="s">
        <v>23</v>
      </c>
      <c r="C477" s="211">
        <v>0</v>
      </c>
      <c r="D477" s="214">
        <v>0</v>
      </c>
      <c r="E477" s="212">
        <f t="shared" si="98"/>
        <v>0</v>
      </c>
      <c r="F477" s="213">
        <f t="shared" si="99"/>
        <v>0</v>
      </c>
      <c r="G477" s="170">
        <f t="shared" si="100"/>
        <v>0</v>
      </c>
      <c r="H477" s="531">
        <f>ROUND(F477*'Actual Load'!$B$11/'Zonal Load'!$N$11,2)</f>
        <v>0</v>
      </c>
      <c r="I477" s="170">
        <f t="shared" si="101"/>
        <v>0</v>
      </c>
      <c r="J477" s="170">
        <f t="shared" si="102"/>
        <v>0</v>
      </c>
      <c r="K477" s="170">
        <f t="shared" si="103"/>
        <v>0</v>
      </c>
      <c r="L477" s="655">
        <f>E477*'Interest Under Collect '!J$12</f>
        <v>0</v>
      </c>
      <c r="M477" s="170">
        <f t="shared" si="105"/>
        <v>0</v>
      </c>
      <c r="N477" s="192"/>
      <c r="O477" s="219"/>
    </row>
    <row r="478" spans="1:15" s="174" customFormat="1">
      <c r="B478" s="23" t="s">
        <v>25</v>
      </c>
      <c r="C478" s="211">
        <v>0</v>
      </c>
      <c r="D478" s="214">
        <v>0</v>
      </c>
      <c r="E478" s="212">
        <f t="shared" si="98"/>
        <v>0</v>
      </c>
      <c r="F478" s="213">
        <f t="shared" si="99"/>
        <v>0</v>
      </c>
      <c r="G478" s="170">
        <f t="shared" si="100"/>
        <v>0</v>
      </c>
      <c r="H478" s="531">
        <f>ROUND(F478*'Actual Load'!$B$7/'Zonal Load'!$N$7,2)</f>
        <v>0</v>
      </c>
      <c r="I478" s="170">
        <f t="shared" si="101"/>
        <v>0</v>
      </c>
      <c r="J478" s="170">
        <f t="shared" si="102"/>
        <v>0</v>
      </c>
      <c r="K478" s="170">
        <f t="shared" si="103"/>
        <v>0</v>
      </c>
      <c r="L478" s="655">
        <f>E478*'Interest Under Collect '!J$12</f>
        <v>0</v>
      </c>
      <c r="M478" s="170">
        <f t="shared" si="105"/>
        <v>0</v>
      </c>
      <c r="N478" s="192"/>
      <c r="O478" s="219"/>
    </row>
    <row r="479" spans="1:15" s="174" customFormat="1">
      <c r="B479" s="23" t="s">
        <v>24</v>
      </c>
      <c r="C479" s="211">
        <v>0</v>
      </c>
      <c r="D479" s="214">
        <v>0</v>
      </c>
      <c r="E479" s="212">
        <f t="shared" si="98"/>
        <v>0</v>
      </c>
      <c r="F479" s="213">
        <f t="shared" si="99"/>
        <v>0</v>
      </c>
      <c r="G479" s="170">
        <f t="shared" si="100"/>
        <v>0</v>
      </c>
      <c r="H479" s="531">
        <f>ROUND(F479*'Actual Load'!$B$6/'Zonal Load'!$N$6,2)</f>
        <v>0</v>
      </c>
      <c r="I479" s="170">
        <f t="shared" si="101"/>
        <v>0</v>
      </c>
      <c r="J479" s="170">
        <f t="shared" si="102"/>
        <v>0</v>
      </c>
      <c r="K479" s="170">
        <f t="shared" si="103"/>
        <v>0</v>
      </c>
      <c r="L479" s="655">
        <f>E479*'Interest Under Collect '!J$12</f>
        <v>0</v>
      </c>
      <c r="M479" s="170">
        <f t="shared" si="105"/>
        <v>0</v>
      </c>
      <c r="N479" s="192"/>
      <c r="O479" s="219"/>
    </row>
    <row r="480" spans="1:15" s="174" customFormat="1">
      <c r="B480" s="23" t="s">
        <v>116</v>
      </c>
      <c r="C480" s="211">
        <v>0</v>
      </c>
      <c r="D480" s="214">
        <v>0</v>
      </c>
      <c r="E480" s="212">
        <f t="shared" si="98"/>
        <v>0</v>
      </c>
      <c r="F480" s="213">
        <f t="shared" si="99"/>
        <v>0</v>
      </c>
      <c r="G480" s="170">
        <f t="shared" si="100"/>
        <v>0</v>
      </c>
      <c r="H480" s="531">
        <f>ROUND(F480*'Actual Load'!$B$18/'Zonal Load'!$N$18,2)</f>
        <v>0</v>
      </c>
      <c r="I480" s="170">
        <f t="shared" si="101"/>
        <v>0</v>
      </c>
      <c r="J480" s="170">
        <f t="shared" si="102"/>
        <v>0</v>
      </c>
      <c r="K480" s="170">
        <f t="shared" si="103"/>
        <v>0</v>
      </c>
      <c r="L480" s="655">
        <f>E480*'Interest Under Collect '!J$12</f>
        <v>0</v>
      </c>
      <c r="M480" s="170">
        <f t="shared" si="105"/>
        <v>0</v>
      </c>
      <c r="N480" s="192"/>
      <c r="O480" s="219"/>
    </row>
    <row r="481" spans="2:15" s="174" customFormat="1">
      <c r="B481" s="23" t="s">
        <v>117</v>
      </c>
      <c r="C481" s="211">
        <v>0</v>
      </c>
      <c r="D481" s="214">
        <v>0</v>
      </c>
      <c r="E481" s="212">
        <f t="shared" si="98"/>
        <v>0</v>
      </c>
      <c r="F481" s="213">
        <f t="shared" si="99"/>
        <v>0</v>
      </c>
      <c r="G481" s="170">
        <f t="shared" si="100"/>
        <v>0</v>
      </c>
      <c r="H481" s="531">
        <f>ROUND(F481*'Actual Load'!$B$17/'Zonal Load'!$N$17,2)</f>
        <v>0</v>
      </c>
      <c r="I481" s="170">
        <f t="shared" si="101"/>
        <v>0</v>
      </c>
      <c r="J481" s="170">
        <f t="shared" si="102"/>
        <v>0</v>
      </c>
      <c r="K481" s="170">
        <f t="shared" si="103"/>
        <v>0</v>
      </c>
      <c r="L481" s="655">
        <f>E481*'Interest Under Collect '!J$12</f>
        <v>0</v>
      </c>
      <c r="M481" s="170">
        <f t="shared" si="105"/>
        <v>0</v>
      </c>
      <c r="N481" s="192"/>
      <c r="O481" s="219"/>
    </row>
    <row r="482" spans="2:15" s="174" customFormat="1">
      <c r="B482" s="23" t="s">
        <v>26</v>
      </c>
      <c r="C482" s="211">
        <v>0</v>
      </c>
      <c r="D482" s="214">
        <v>0</v>
      </c>
      <c r="E482" s="212">
        <f t="shared" si="98"/>
        <v>0</v>
      </c>
      <c r="F482" s="213">
        <f t="shared" si="99"/>
        <v>0</v>
      </c>
      <c r="G482" s="170">
        <f t="shared" si="100"/>
        <v>0</v>
      </c>
      <c r="H482" s="531">
        <f>ROUND(F482*'Actual Load'!$B$12/'Zonal Load'!$N$12,2)</f>
        <v>0</v>
      </c>
      <c r="I482" s="170">
        <f t="shared" si="101"/>
        <v>0</v>
      </c>
      <c r="J482" s="170">
        <f t="shared" si="102"/>
        <v>0</v>
      </c>
      <c r="K482" s="170">
        <f t="shared" si="103"/>
        <v>0</v>
      </c>
      <c r="L482" s="655">
        <f>E482*'Interest Under Collect '!J$12</f>
        <v>0</v>
      </c>
      <c r="M482" s="170">
        <f t="shared" si="105"/>
        <v>0</v>
      </c>
      <c r="N482" s="192"/>
      <c r="O482" s="219"/>
    </row>
    <row r="483" spans="2:15" s="174" customFormat="1">
      <c r="B483" s="23" t="s">
        <v>27</v>
      </c>
      <c r="C483" s="211">
        <v>0</v>
      </c>
      <c r="D483" s="214">
        <v>0</v>
      </c>
      <c r="E483" s="212">
        <f t="shared" si="98"/>
        <v>0</v>
      </c>
      <c r="F483" s="213">
        <f t="shared" si="99"/>
        <v>0</v>
      </c>
      <c r="G483" s="170">
        <f t="shared" si="100"/>
        <v>0</v>
      </c>
      <c r="H483" s="531">
        <f>ROUND(F483*'Actual Load'!$B$24/'Zonal Load'!$N$24,2)</f>
        <v>0</v>
      </c>
      <c r="I483" s="170">
        <f t="shared" si="101"/>
        <v>0</v>
      </c>
      <c r="J483" s="170">
        <f t="shared" si="102"/>
        <v>0</v>
      </c>
      <c r="K483" s="170">
        <f t="shared" si="103"/>
        <v>0</v>
      </c>
      <c r="L483" s="655">
        <f>E483*'Interest Under Collect '!J$12</f>
        <v>0</v>
      </c>
      <c r="M483" s="170">
        <f t="shared" si="105"/>
        <v>0</v>
      </c>
      <c r="N483" s="192"/>
      <c r="O483" s="219"/>
    </row>
    <row r="484" spans="2:15" s="174" customFormat="1">
      <c r="B484" s="23" t="s">
        <v>28</v>
      </c>
      <c r="C484" s="211">
        <v>0</v>
      </c>
      <c r="D484" s="214">
        <v>0</v>
      </c>
      <c r="E484" s="212">
        <f t="shared" si="98"/>
        <v>0</v>
      </c>
      <c r="F484" s="213">
        <f t="shared" si="99"/>
        <v>0</v>
      </c>
      <c r="G484" s="170">
        <f t="shared" si="100"/>
        <v>0</v>
      </c>
      <c r="H484" s="531">
        <f>ROUND(F484*'Actual Load'!$B$5/'Zonal Load'!$N$5,2)</f>
        <v>0</v>
      </c>
      <c r="I484" s="170">
        <f t="shared" si="101"/>
        <v>0</v>
      </c>
      <c r="J484" s="170">
        <f t="shared" si="102"/>
        <v>0</v>
      </c>
      <c r="K484" s="170">
        <f t="shared" si="103"/>
        <v>0</v>
      </c>
      <c r="L484" s="655">
        <f>E484*'Interest Under Collect '!J$12</f>
        <v>0</v>
      </c>
      <c r="M484" s="170">
        <f t="shared" si="105"/>
        <v>0</v>
      </c>
      <c r="N484" s="192"/>
      <c r="O484" s="219"/>
    </row>
    <row r="485" spans="2:15" s="174" customFormat="1">
      <c r="B485" s="23" t="s">
        <v>29</v>
      </c>
      <c r="C485" s="211">
        <v>0</v>
      </c>
      <c r="D485" s="214">
        <v>0</v>
      </c>
      <c r="E485" s="212">
        <v>1</v>
      </c>
      <c r="F485" s="213">
        <f t="shared" si="99"/>
        <v>29363</v>
      </c>
      <c r="G485" s="170">
        <f>(F$493-F$494)*E485</f>
        <v>732</v>
      </c>
      <c r="H485" s="531">
        <f>ROUND(F485*'Actual Load'!$B$21/'Zonal Load'!$N$21,2)</f>
        <v>28137.87</v>
      </c>
      <c r="I485" s="170">
        <f t="shared" si="101"/>
        <v>28439.74</v>
      </c>
      <c r="J485" s="170">
        <f t="shared" si="102"/>
        <v>-923.2599999999984</v>
      </c>
      <c r="K485" s="170">
        <f t="shared" si="103"/>
        <v>-191.2599999999984</v>
      </c>
      <c r="L485" s="655">
        <f>E485*'Interest Under Collect '!J$12</f>
        <v>-25.7</v>
      </c>
      <c r="M485" s="170">
        <f t="shared" si="105"/>
        <v>-216.95999999999839</v>
      </c>
      <c r="N485" s="192"/>
      <c r="O485" s="219"/>
    </row>
    <row r="486" spans="2:15" s="174" customFormat="1">
      <c r="B486" s="23" t="s">
        <v>30</v>
      </c>
      <c r="C486" s="211">
        <v>0</v>
      </c>
      <c r="D486" s="214">
        <v>0</v>
      </c>
      <c r="E486" s="212">
        <f>C486+D486</f>
        <v>0</v>
      </c>
      <c r="F486" s="213">
        <f t="shared" si="99"/>
        <v>0</v>
      </c>
      <c r="G486" s="170">
        <f>(F$409-F$410)*E486</f>
        <v>0</v>
      </c>
      <c r="H486" s="531">
        <f>ROUND(F486*'Actual Load'!$B$19/'Zonal Load'!$N$19,2)</f>
        <v>0</v>
      </c>
      <c r="I486" s="170">
        <f t="shared" si="101"/>
        <v>0</v>
      </c>
      <c r="J486" s="170">
        <f t="shared" si="102"/>
        <v>0</v>
      </c>
      <c r="K486" s="170">
        <f t="shared" si="103"/>
        <v>0</v>
      </c>
      <c r="L486" s="655">
        <f>E486*'Interest Under Collect '!J$12</f>
        <v>0</v>
      </c>
      <c r="M486" s="170">
        <f t="shared" si="105"/>
        <v>0</v>
      </c>
      <c r="N486" s="192"/>
      <c r="O486" s="219"/>
    </row>
    <row r="487" spans="2:15" s="174" customFormat="1">
      <c r="B487" s="23" t="s">
        <v>31</v>
      </c>
      <c r="C487" s="211">
        <v>0</v>
      </c>
      <c r="D487" s="214">
        <v>0</v>
      </c>
      <c r="E487" s="212">
        <f>C487+D487</f>
        <v>0</v>
      </c>
      <c r="F487" s="213">
        <f t="shared" si="99"/>
        <v>0</v>
      </c>
      <c r="G487" s="170">
        <f>(F$409-F$410)*E487</f>
        <v>0</v>
      </c>
      <c r="H487" s="531">
        <f>ROUND(F487*'Actual Load'!$B$25/'Zonal Load'!$N$25,2)</f>
        <v>0</v>
      </c>
      <c r="I487" s="170">
        <f t="shared" si="101"/>
        <v>0</v>
      </c>
      <c r="J487" s="170">
        <f t="shared" si="102"/>
        <v>0</v>
      </c>
      <c r="K487" s="170">
        <f t="shared" si="103"/>
        <v>0</v>
      </c>
      <c r="L487" s="655">
        <f>E487*'Interest Under Collect '!J$12</f>
        <v>0</v>
      </c>
      <c r="M487" s="170">
        <f t="shared" si="105"/>
        <v>0</v>
      </c>
      <c r="N487" s="192"/>
      <c r="O487" s="219"/>
    </row>
    <row r="488" spans="2:15" s="174" customFormat="1">
      <c r="B488" s="23" t="s">
        <v>32</v>
      </c>
      <c r="C488" s="211">
        <v>0</v>
      </c>
      <c r="D488" s="214">
        <v>0</v>
      </c>
      <c r="E488" s="212">
        <f>C488+D488</f>
        <v>0</v>
      </c>
      <c r="F488" s="213">
        <f t="shared" si="99"/>
        <v>0</v>
      </c>
      <c r="G488" s="170">
        <f>(F$409-F$410)*E488</f>
        <v>0</v>
      </c>
      <c r="H488" s="531">
        <f>ROUND(F488*'Actual Load'!$B$13/'Zonal Load'!$N$13,2)</f>
        <v>0</v>
      </c>
      <c r="I488" s="170">
        <f t="shared" si="101"/>
        <v>0</v>
      </c>
      <c r="J488" s="170">
        <f t="shared" si="102"/>
        <v>0</v>
      </c>
      <c r="K488" s="170">
        <f t="shared" si="103"/>
        <v>0</v>
      </c>
      <c r="L488" s="655">
        <f>E488*'Interest Under Collect '!J$12</f>
        <v>0</v>
      </c>
      <c r="M488" s="170">
        <f>+K488+L488</f>
        <v>0</v>
      </c>
      <c r="N488" s="192"/>
      <c r="O488" s="219"/>
    </row>
    <row r="489" spans="2:15" s="174" customFormat="1">
      <c r="B489" s="23" t="s">
        <v>33</v>
      </c>
      <c r="C489" s="211">
        <v>0</v>
      </c>
      <c r="D489" s="214">
        <v>0</v>
      </c>
      <c r="E489" s="212">
        <f>C489+D489</f>
        <v>0</v>
      </c>
      <c r="F489" s="213">
        <f t="shared" si="99"/>
        <v>0</v>
      </c>
      <c r="G489" s="170">
        <f>(F$409-F$410)*E489</f>
        <v>0</v>
      </c>
      <c r="H489" s="531">
        <f>ROUND(F489*'Actual Load'!$B$23/'Zonal Load'!$N$23,2)</f>
        <v>0</v>
      </c>
      <c r="I489" s="170">
        <f t="shared" si="101"/>
        <v>0</v>
      </c>
      <c r="J489" s="170">
        <f t="shared" si="102"/>
        <v>0</v>
      </c>
      <c r="K489" s="170">
        <f t="shared" si="103"/>
        <v>0</v>
      </c>
      <c r="L489" s="655">
        <f>E489*'Interest Under Collect '!J$12</f>
        <v>0</v>
      </c>
      <c r="M489" s="170">
        <f>+K489+L489</f>
        <v>0</v>
      </c>
      <c r="N489" s="192"/>
      <c r="O489" s="219"/>
    </row>
    <row r="490" spans="2:15" s="174" customFormat="1">
      <c r="B490" s="24" t="s">
        <v>34</v>
      </c>
      <c r="C490" s="211">
        <v>0</v>
      </c>
      <c r="D490" s="214">
        <v>0</v>
      </c>
      <c r="E490" s="212">
        <f>C490+D490</f>
        <v>0</v>
      </c>
      <c r="F490" s="213">
        <f t="shared" si="99"/>
        <v>0</v>
      </c>
      <c r="G490" s="170">
        <f>(F$409-F$410)*E490</f>
        <v>0</v>
      </c>
      <c r="H490" s="531">
        <f>ROUND(F490*'Actual Load'!$B$20/'Zonal Load'!$N$20,2)</f>
        <v>0</v>
      </c>
      <c r="I490" s="170">
        <f t="shared" si="101"/>
        <v>0</v>
      </c>
      <c r="J490" s="170">
        <f t="shared" si="102"/>
        <v>0</v>
      </c>
      <c r="K490" s="170">
        <f t="shared" si="103"/>
        <v>0</v>
      </c>
      <c r="L490" s="655">
        <f>E490*'Interest Under Collect '!J$12</f>
        <v>0</v>
      </c>
      <c r="M490" s="170">
        <f>+K490+L490</f>
        <v>0</v>
      </c>
      <c r="N490" s="192"/>
      <c r="O490" s="219"/>
    </row>
    <row r="491" spans="2:15">
      <c r="B491" s="25"/>
      <c r="C491" s="26">
        <f>SUM(C467:C490)</f>
        <v>0</v>
      </c>
      <c r="D491" s="27">
        <f>SUM(D467:D490)</f>
        <v>0</v>
      </c>
      <c r="E491" s="95">
        <f>SUM(E467:E490)</f>
        <v>1</v>
      </c>
      <c r="F491" s="90">
        <f>SUM(F467:F490)</f>
        <v>29363</v>
      </c>
      <c r="G491" s="76">
        <f t="shared" ref="G491:M491" si="106">SUM(G469:G490)</f>
        <v>732</v>
      </c>
      <c r="H491" s="131">
        <f t="shared" si="106"/>
        <v>28137.87</v>
      </c>
      <c r="I491" s="77">
        <f t="shared" si="106"/>
        <v>28439.74</v>
      </c>
      <c r="J491" s="77">
        <f t="shared" si="106"/>
        <v>-923.2599999999984</v>
      </c>
      <c r="K491" s="485">
        <f t="shared" si="106"/>
        <v>-191.2599999999984</v>
      </c>
      <c r="L491" s="656">
        <f t="shared" si="106"/>
        <v>-25.7</v>
      </c>
      <c r="M491" s="77">
        <f t="shared" si="106"/>
        <v>-216.95999999999839</v>
      </c>
      <c r="N491" s="192"/>
      <c r="O491"/>
    </row>
    <row r="492" spans="2:15">
      <c r="F492" s="3" t="s">
        <v>623</v>
      </c>
      <c r="G492" s="21"/>
      <c r="I492" s="569" t="s">
        <v>621</v>
      </c>
      <c r="J492" s="570" t="s">
        <v>622</v>
      </c>
      <c r="N492" s="192"/>
      <c r="O492"/>
    </row>
    <row r="493" spans="2:15">
      <c r="E493" s="479" t="s">
        <v>610</v>
      </c>
      <c r="F493" s="168">
        <f>ROUND((I493*M$884)+(J493*M$888),0)</f>
        <v>29363</v>
      </c>
      <c r="I493" s="571">
        <v>29853.734193873246</v>
      </c>
      <c r="J493" s="571">
        <v>27722.101794773505</v>
      </c>
      <c r="N493" s="192"/>
      <c r="O493"/>
    </row>
    <row r="494" spans="2:15">
      <c r="E494" s="480" t="s">
        <v>611</v>
      </c>
      <c r="F494" s="169">
        <f>ROUND((I494*M$884)+(J494*M$888),0)</f>
        <v>28631</v>
      </c>
      <c r="G494" s="528">
        <f>F493-F494</f>
        <v>732</v>
      </c>
      <c r="H494" s="529"/>
      <c r="I494" s="572">
        <f>'Att GG at 12.38 '!N83</f>
        <v>29110.862761901997</v>
      </c>
      <c r="J494" s="572">
        <f>'Att GG at 10.82'!N83</f>
        <v>27026.292518889764</v>
      </c>
      <c r="L494" s="81"/>
      <c r="N494" s="192"/>
      <c r="O494"/>
    </row>
    <row r="495" spans="2:15">
      <c r="E495" s="91" t="s">
        <v>153</v>
      </c>
      <c r="F495" s="175">
        <f>I491</f>
        <v>28439.74</v>
      </c>
      <c r="G495" s="528">
        <f>F495-F493</f>
        <v>-923.2599999999984</v>
      </c>
      <c r="H495" s="530"/>
      <c r="K495" s="86"/>
      <c r="L495" s="644"/>
      <c r="M495" s="86"/>
      <c r="N495" s="192"/>
      <c r="O495"/>
    </row>
    <row r="496" spans="2:15">
      <c r="B496" s="140"/>
      <c r="C496" s="140"/>
      <c r="D496" s="141"/>
      <c r="E496" s="141"/>
      <c r="F496" s="141"/>
      <c r="G496" s="528">
        <f>G494+G495</f>
        <v>-191.2599999999984</v>
      </c>
      <c r="H496" s="529">
        <f>F495-F494</f>
        <v>-191.2599999999984</v>
      </c>
      <c r="I496" s="141"/>
      <c r="J496" s="138"/>
      <c r="K496" s="86"/>
      <c r="L496" s="86"/>
      <c r="M496" s="86"/>
      <c r="N496" s="192"/>
      <c r="O496"/>
    </row>
    <row r="497" spans="1:14">
      <c r="B497" s="79"/>
      <c r="C497" s="79"/>
      <c r="D497" s="79"/>
      <c r="E497" s="79"/>
      <c r="F497" s="79"/>
      <c r="G497" s="79"/>
      <c r="H497" s="79"/>
      <c r="I497" s="79"/>
      <c r="J497" s="105"/>
      <c r="K497" s="79"/>
      <c r="L497" s="79"/>
      <c r="M497" s="79"/>
    </row>
    <row r="498" spans="1:14">
      <c r="L498" s="174"/>
    </row>
    <row r="499" spans="1:14">
      <c r="B499" s="678" t="s">
        <v>0</v>
      </c>
      <c r="C499" s="679"/>
      <c r="D499" s="680" t="s">
        <v>687</v>
      </c>
      <c r="E499" s="681"/>
      <c r="F499" s="681"/>
      <c r="G499" s="681"/>
      <c r="H499" s="682"/>
      <c r="I499" s="142"/>
      <c r="J499" s="1"/>
    </row>
    <row r="500" spans="1:14">
      <c r="B500" s="665" t="s">
        <v>1</v>
      </c>
      <c r="C500" s="666"/>
      <c r="D500" s="667" t="s">
        <v>184</v>
      </c>
      <c r="E500" s="668"/>
      <c r="F500" s="668"/>
      <c r="G500" s="668"/>
      <c r="H500" s="669"/>
      <c r="I500" s="143"/>
      <c r="J500" s="1"/>
    </row>
    <row r="501" spans="1:14">
      <c r="B501" s="665" t="s">
        <v>3</v>
      </c>
      <c r="C501" s="666"/>
      <c r="D501" s="670"/>
      <c r="E501" s="671"/>
      <c r="F501" s="671"/>
      <c r="G501" s="671"/>
      <c r="H501" s="672"/>
      <c r="I501" s="144"/>
      <c r="J501" s="1"/>
    </row>
    <row r="502" spans="1:14">
      <c r="B502" s="673" t="s">
        <v>5</v>
      </c>
      <c r="C502" s="674"/>
      <c r="D502" s="675" t="s">
        <v>29</v>
      </c>
      <c r="E502" s="676"/>
      <c r="F502" s="676"/>
      <c r="G502" s="676"/>
      <c r="H502" s="677"/>
      <c r="I502" s="145"/>
      <c r="J502" s="1"/>
    </row>
    <row r="503" spans="1:14">
      <c r="B503" s="74"/>
      <c r="C503" s="74"/>
      <c r="D503" s="74"/>
      <c r="E503" s="74"/>
      <c r="F503" s="74"/>
      <c r="J503" s="99" t="s">
        <v>155</v>
      </c>
      <c r="K503" s="3" t="s">
        <v>40</v>
      </c>
      <c r="M503" s="3" t="s">
        <v>54</v>
      </c>
    </row>
    <row r="504" spans="1:14">
      <c r="B504" s="74"/>
      <c r="C504" s="74"/>
      <c r="D504" s="74"/>
      <c r="E504" s="74"/>
      <c r="F504" s="74"/>
      <c r="G504" s="3" t="s">
        <v>37</v>
      </c>
      <c r="H504" s="127" t="s">
        <v>38</v>
      </c>
      <c r="I504" s="92" t="s">
        <v>39</v>
      </c>
      <c r="J504" s="100" t="s">
        <v>156</v>
      </c>
      <c r="K504" s="4" t="s">
        <v>157</v>
      </c>
      <c r="L504" s="4" t="s">
        <v>53</v>
      </c>
      <c r="M504" s="4" t="s">
        <v>158</v>
      </c>
      <c r="N504" s="191"/>
    </row>
    <row r="505" spans="1:14">
      <c r="B505" s="74"/>
      <c r="C505" s="74"/>
      <c r="D505" s="74"/>
      <c r="E505" s="74"/>
      <c r="F505" s="74"/>
      <c r="G505" s="5"/>
      <c r="H505" s="662" t="s">
        <v>41</v>
      </c>
      <c r="I505" s="663"/>
      <c r="J505" s="664"/>
      <c r="K505" s="6" t="s">
        <v>42</v>
      </c>
      <c r="L505" s="5"/>
      <c r="M505" s="6" t="s">
        <v>43</v>
      </c>
      <c r="N505" s="191"/>
    </row>
    <row r="506" spans="1:14">
      <c r="B506" s="75"/>
      <c r="C506" s="7">
        <v>0.2</v>
      </c>
      <c r="D506" s="7">
        <v>0.8</v>
      </c>
      <c r="E506" s="7"/>
      <c r="F506" s="87" t="s">
        <v>154</v>
      </c>
      <c r="G506" s="8" t="s">
        <v>44</v>
      </c>
      <c r="H506" s="128"/>
      <c r="I506" s="5"/>
      <c r="J506" s="101" t="s">
        <v>45</v>
      </c>
      <c r="K506" s="8" t="s">
        <v>46</v>
      </c>
      <c r="L506" s="9"/>
      <c r="M506" s="8" t="s">
        <v>47</v>
      </c>
    </row>
    <row r="507" spans="1:14">
      <c r="B507" s="10"/>
      <c r="C507" s="68" t="s">
        <v>8</v>
      </c>
      <c r="D507" s="68" t="s">
        <v>9</v>
      </c>
      <c r="E507" s="68" t="s">
        <v>10</v>
      </c>
      <c r="F507" s="88" t="s">
        <v>7</v>
      </c>
      <c r="G507" s="11" t="s">
        <v>48</v>
      </c>
      <c r="H507" s="129" t="s">
        <v>49</v>
      </c>
      <c r="I507" s="12" t="s">
        <v>152</v>
      </c>
      <c r="J507" s="102" t="s">
        <v>48</v>
      </c>
      <c r="K507" s="12" t="s">
        <v>48</v>
      </c>
      <c r="L507" s="12" t="s">
        <v>50</v>
      </c>
      <c r="M507" s="12" t="s">
        <v>51</v>
      </c>
    </row>
    <row r="508" spans="1:14" ht="31.5">
      <c r="B508" s="13" t="s">
        <v>12</v>
      </c>
      <c r="C508" s="14" t="s">
        <v>13</v>
      </c>
      <c r="D508" s="14" t="s">
        <v>13</v>
      </c>
      <c r="E508" s="15" t="s">
        <v>13</v>
      </c>
      <c r="F508" s="89" t="s">
        <v>14</v>
      </c>
      <c r="G508" s="16" t="s">
        <v>52</v>
      </c>
      <c r="H508" s="130"/>
      <c r="I508" s="17"/>
      <c r="J508" s="103" t="s">
        <v>52</v>
      </c>
      <c r="K508" s="17"/>
      <c r="L508" s="17"/>
      <c r="M508" s="16" t="s">
        <v>52</v>
      </c>
    </row>
    <row r="509" spans="1:14" s="174" customFormat="1">
      <c r="B509" s="18" t="s">
        <v>15</v>
      </c>
      <c r="C509" s="211">
        <v>0</v>
      </c>
      <c r="D509" s="214">
        <v>0</v>
      </c>
      <c r="E509" s="212">
        <v>0</v>
      </c>
      <c r="F509" s="215">
        <f t="shared" ref="F509:F532" si="107">ROUND(+E509*F$535,2)</f>
        <v>0</v>
      </c>
      <c r="G509" s="170">
        <f>(F$535-F$536)*E509</f>
        <v>0</v>
      </c>
      <c r="H509" s="531">
        <f>ROUND(F509*'Actual Load'!$B$8/'Zonal Load'!$N$8,2)</f>
        <v>0</v>
      </c>
      <c r="I509" s="170">
        <f t="shared" ref="I509:I532" si="108">ROUND((H509*$H$912)/$H$910,2)</f>
        <v>0</v>
      </c>
      <c r="J509" s="170">
        <f t="shared" ref="J509:J532" si="109">I509-F509</f>
        <v>0</v>
      </c>
      <c r="K509" s="170">
        <f t="shared" ref="K509:K532" si="110">+G509+J509</f>
        <v>0</v>
      </c>
      <c r="L509" s="655">
        <f>E509*'Interest Over Collect'!$J$12</f>
        <v>0</v>
      </c>
      <c r="M509" s="170">
        <f t="shared" ref="M509:M516" si="111">+K509+L509</f>
        <v>0</v>
      </c>
      <c r="N509" s="82"/>
    </row>
    <row r="510" spans="1:14" s="174" customFormat="1">
      <c r="B510" s="23" t="s">
        <v>16</v>
      </c>
      <c r="C510" s="211">
        <v>0</v>
      </c>
      <c r="D510" s="214">
        <v>0</v>
      </c>
      <c r="E510" s="212">
        <v>0</v>
      </c>
      <c r="F510" s="213">
        <f t="shared" si="107"/>
        <v>0</v>
      </c>
      <c r="G510" s="170">
        <f t="shared" ref="G510:G532" si="112">(F$535-F$536)*E510</f>
        <v>0</v>
      </c>
      <c r="H510" s="531">
        <f>ROUND(F510*'Actual Load'!$B$14/'Zonal Load'!$N$14,2)</f>
        <v>0</v>
      </c>
      <c r="I510" s="170">
        <f t="shared" si="108"/>
        <v>0</v>
      </c>
      <c r="J510" s="170">
        <f t="shared" si="109"/>
        <v>0</v>
      </c>
      <c r="K510" s="170">
        <f t="shared" si="110"/>
        <v>0</v>
      </c>
      <c r="L510" s="655">
        <f>E510*'Interest Over Collect'!$J$12</f>
        <v>0</v>
      </c>
      <c r="M510" s="170">
        <f t="shared" si="111"/>
        <v>0</v>
      </c>
      <c r="N510" s="82"/>
    </row>
    <row r="511" spans="1:14" s="174" customFormat="1">
      <c r="B511" s="23" t="s">
        <v>190</v>
      </c>
      <c r="C511" s="211">
        <f>0%*0.421</f>
        <v>0</v>
      </c>
      <c r="D511" s="214">
        <f>0%*0.421</f>
        <v>0</v>
      </c>
      <c r="E511" s="212">
        <v>0</v>
      </c>
      <c r="F511" s="213">
        <f t="shared" si="107"/>
        <v>0</v>
      </c>
      <c r="G511" s="170">
        <f t="shared" si="112"/>
        <v>0</v>
      </c>
      <c r="H511" s="531">
        <f>ROUND(F511*'Actual Load'!$B$9/'Zonal Load'!$N$9,2)</f>
        <v>0</v>
      </c>
      <c r="I511" s="170">
        <f t="shared" si="108"/>
        <v>0</v>
      </c>
      <c r="J511" s="170">
        <f t="shared" si="109"/>
        <v>0</v>
      </c>
      <c r="K511" s="170">
        <f t="shared" si="110"/>
        <v>0</v>
      </c>
      <c r="L511" s="655">
        <f>E511*'Interest Over Collect'!$J$12</f>
        <v>0</v>
      </c>
      <c r="M511" s="170">
        <f t="shared" si="111"/>
        <v>0</v>
      </c>
      <c r="N511" s="82"/>
    </row>
    <row r="512" spans="1:14" s="174" customFormat="1">
      <c r="B512" s="125" t="s">
        <v>249</v>
      </c>
      <c r="C512" s="211">
        <f>0%*0.579</f>
        <v>0</v>
      </c>
      <c r="D512" s="214">
        <f>0%*0.579</f>
        <v>0</v>
      </c>
      <c r="E512" s="212">
        <v>0</v>
      </c>
      <c r="F512" s="213">
        <f t="shared" si="107"/>
        <v>0</v>
      </c>
      <c r="G512" s="170">
        <f>(F$535-F$536)*E512</f>
        <v>0</v>
      </c>
      <c r="H512" s="531">
        <f>ROUND(F512*'Actual Load'!$B$10/'Zonal Load'!$N$10,2)</f>
        <v>0</v>
      </c>
      <c r="I512" s="170">
        <f t="shared" si="108"/>
        <v>0</v>
      </c>
      <c r="J512" s="170">
        <f>I512-F512</f>
        <v>0</v>
      </c>
      <c r="K512" s="170">
        <f>+G512+J512</f>
        <v>0</v>
      </c>
      <c r="L512" s="655">
        <f>E512*'Interest Over Collect'!$J$12</f>
        <v>0</v>
      </c>
      <c r="M512" s="170">
        <f>+K512+L512</f>
        <v>0</v>
      </c>
      <c r="N512" s="82"/>
    </row>
    <row r="513" spans="1:14" s="174" customFormat="1">
      <c r="B513" s="23" t="s">
        <v>17</v>
      </c>
      <c r="C513" s="211">
        <v>0</v>
      </c>
      <c r="D513" s="214">
        <v>0</v>
      </c>
      <c r="E513" s="212">
        <v>0</v>
      </c>
      <c r="F513" s="213">
        <f t="shared" si="107"/>
        <v>0</v>
      </c>
      <c r="G513" s="170">
        <f t="shared" si="112"/>
        <v>0</v>
      </c>
      <c r="H513" s="531">
        <f>ROUND(F513*'Actual Load'!$B$26/'Zonal Load'!$N$26,2)</f>
        <v>0</v>
      </c>
      <c r="I513" s="170">
        <f t="shared" si="108"/>
        <v>0</v>
      </c>
      <c r="J513" s="170">
        <f t="shared" si="109"/>
        <v>0</v>
      </c>
      <c r="K513" s="170">
        <f t="shared" si="110"/>
        <v>0</v>
      </c>
      <c r="L513" s="655">
        <f>E513*'Interest Over Collect'!$J$12</f>
        <v>0</v>
      </c>
      <c r="M513" s="170">
        <f t="shared" si="111"/>
        <v>0</v>
      </c>
      <c r="N513" s="82"/>
    </row>
    <row r="514" spans="1:14" s="174" customFormat="1">
      <c r="B514" s="23" t="s">
        <v>18</v>
      </c>
      <c r="C514" s="211">
        <v>0</v>
      </c>
      <c r="D514" s="214">
        <v>0</v>
      </c>
      <c r="E514" s="212">
        <v>0</v>
      </c>
      <c r="F514" s="213">
        <f t="shared" si="107"/>
        <v>0</v>
      </c>
      <c r="G514" s="170">
        <f t="shared" si="112"/>
        <v>0</v>
      </c>
      <c r="H514" s="531">
        <f>ROUND(F514*'Actual Load'!$B$16/'Zonal Load'!$N$16,2)</f>
        <v>0</v>
      </c>
      <c r="I514" s="170">
        <f t="shared" si="108"/>
        <v>0</v>
      </c>
      <c r="J514" s="170">
        <f t="shared" si="109"/>
        <v>0</v>
      </c>
      <c r="K514" s="170">
        <f t="shared" si="110"/>
        <v>0</v>
      </c>
      <c r="L514" s="655">
        <f>E514*'Interest Over Collect'!$J$12</f>
        <v>0</v>
      </c>
      <c r="M514" s="170">
        <f t="shared" si="111"/>
        <v>0</v>
      </c>
      <c r="N514" s="82"/>
    </row>
    <row r="515" spans="1:14" s="174" customFormat="1">
      <c r="B515" s="23" t="s">
        <v>19</v>
      </c>
      <c r="C515" s="211">
        <v>0</v>
      </c>
      <c r="D515" s="214">
        <v>0</v>
      </c>
      <c r="E515" s="212">
        <v>0</v>
      </c>
      <c r="F515" s="213">
        <f t="shared" si="107"/>
        <v>0</v>
      </c>
      <c r="G515" s="170">
        <f t="shared" si="112"/>
        <v>0</v>
      </c>
      <c r="H515" s="531">
        <f>ROUND(F515*'Actual Load'!$B$22/'Zonal Load'!$N$22,2)</f>
        <v>0</v>
      </c>
      <c r="I515" s="170">
        <f t="shared" si="108"/>
        <v>0</v>
      </c>
      <c r="J515" s="170">
        <f t="shared" si="109"/>
        <v>0</v>
      </c>
      <c r="K515" s="170">
        <f t="shared" si="110"/>
        <v>0</v>
      </c>
      <c r="L515" s="655">
        <f>E515*'Interest Over Collect'!$J$12</f>
        <v>0</v>
      </c>
      <c r="M515" s="170">
        <f t="shared" si="111"/>
        <v>0</v>
      </c>
      <c r="N515" s="82"/>
    </row>
    <row r="516" spans="1:14" s="174" customFormat="1">
      <c r="B516" s="23" t="s">
        <v>20</v>
      </c>
      <c r="C516" s="211">
        <v>0</v>
      </c>
      <c r="D516" s="214">
        <v>0</v>
      </c>
      <c r="E516" s="212">
        <v>0</v>
      </c>
      <c r="F516" s="213">
        <f t="shared" si="107"/>
        <v>0</v>
      </c>
      <c r="G516" s="170">
        <f t="shared" si="112"/>
        <v>0</v>
      </c>
      <c r="H516" s="531">
        <f>ROUND(F516*'Actual Load'!$B$17/'Zonal Load'!$N$17,2)</f>
        <v>0</v>
      </c>
      <c r="I516" s="170">
        <f t="shared" si="108"/>
        <v>0</v>
      </c>
      <c r="J516" s="170">
        <f t="shared" si="109"/>
        <v>0</v>
      </c>
      <c r="K516" s="170">
        <f t="shared" si="110"/>
        <v>0</v>
      </c>
      <c r="L516" s="655">
        <f>E516*'Interest Over Collect'!$J$12</f>
        <v>0</v>
      </c>
      <c r="M516" s="170">
        <f t="shared" si="111"/>
        <v>0</v>
      </c>
      <c r="N516" s="82"/>
    </row>
    <row r="517" spans="1:14" s="174" customFormat="1">
      <c r="B517" s="23" t="s">
        <v>21</v>
      </c>
      <c r="C517" s="211">
        <v>0</v>
      </c>
      <c r="D517" s="214">
        <v>0</v>
      </c>
      <c r="E517" s="212">
        <v>0</v>
      </c>
      <c r="F517" s="213">
        <f t="shared" si="107"/>
        <v>0</v>
      </c>
      <c r="G517" s="170">
        <f t="shared" si="112"/>
        <v>0</v>
      </c>
      <c r="H517" s="531">
        <f>ROUND(F517*'Actual Load'!$B$15/'Zonal Load'!$N$15,2)</f>
        <v>0</v>
      </c>
      <c r="I517" s="170">
        <f t="shared" si="108"/>
        <v>0</v>
      </c>
      <c r="J517" s="170">
        <f t="shared" si="109"/>
        <v>0</v>
      </c>
      <c r="K517" s="170">
        <f t="shared" si="110"/>
        <v>0</v>
      </c>
      <c r="L517" s="655">
        <f>E517*'Interest Over Collect'!$J$12</f>
        <v>0</v>
      </c>
      <c r="M517" s="170">
        <f>+K517+L517</f>
        <v>0</v>
      </c>
      <c r="N517" s="82"/>
    </row>
    <row r="518" spans="1:14" s="174" customFormat="1">
      <c r="B518" s="23" t="s">
        <v>22</v>
      </c>
      <c r="C518" s="211">
        <v>0</v>
      </c>
      <c r="D518" s="214">
        <v>0</v>
      </c>
      <c r="E518" s="212">
        <v>0.27721319624647683</v>
      </c>
      <c r="F518" s="213">
        <f t="shared" si="107"/>
        <v>146786.32999999999</v>
      </c>
      <c r="G518" s="170">
        <f t="shared" si="112"/>
        <v>4066.4403757395685</v>
      </c>
      <c r="H518" s="531">
        <f>ROUND(F518*'Actual Load'!$B$4/'Zonal Load'!$N$4,2)</f>
        <v>144846.60999999999</v>
      </c>
      <c r="I518" s="170">
        <f t="shared" si="108"/>
        <v>146400.54999999999</v>
      </c>
      <c r="J518" s="170">
        <f t="shared" si="109"/>
        <v>-385.77999999999884</v>
      </c>
      <c r="K518" s="170">
        <f t="shared" si="110"/>
        <v>3680.6603757395696</v>
      </c>
      <c r="L518" s="655">
        <f>E518*'Interest Over Collect'!$J$12</f>
        <v>733.65304026218837</v>
      </c>
      <c r="M518" s="170">
        <f t="shared" ref="M518:M529" si="113">+K518+L518</f>
        <v>4414.313416001758</v>
      </c>
      <c r="N518" s="82"/>
    </row>
    <row r="519" spans="1:14" s="174" customFormat="1">
      <c r="B519" s="23" t="s">
        <v>23</v>
      </c>
      <c r="C519" s="211">
        <v>0</v>
      </c>
      <c r="D519" s="214">
        <v>0</v>
      </c>
      <c r="E519" s="212">
        <v>0</v>
      </c>
      <c r="F519" s="213">
        <f t="shared" si="107"/>
        <v>0</v>
      </c>
      <c r="G519" s="170">
        <f t="shared" si="112"/>
        <v>0</v>
      </c>
      <c r="H519" s="531">
        <f>ROUND(F519*'Actual Load'!$B$11/'Zonal Load'!$N$11,2)</f>
        <v>0</v>
      </c>
      <c r="I519" s="170">
        <f t="shared" si="108"/>
        <v>0</v>
      </c>
      <c r="J519" s="170">
        <f t="shared" si="109"/>
        <v>0</v>
      </c>
      <c r="K519" s="170">
        <f t="shared" si="110"/>
        <v>0</v>
      </c>
      <c r="L519" s="655">
        <f>E519*'Interest Over Collect'!$J$12</f>
        <v>0</v>
      </c>
      <c r="M519" s="170">
        <f t="shared" si="113"/>
        <v>0</v>
      </c>
      <c r="N519" s="82"/>
    </row>
    <row r="520" spans="1:14" s="174" customFormat="1">
      <c r="B520" s="23" t="s">
        <v>25</v>
      </c>
      <c r="C520" s="211">
        <v>0</v>
      </c>
      <c r="D520" s="214">
        <v>0</v>
      </c>
      <c r="E520" s="212">
        <v>0</v>
      </c>
      <c r="F520" s="213">
        <f t="shared" si="107"/>
        <v>0</v>
      </c>
      <c r="G520" s="170">
        <f t="shared" si="112"/>
        <v>0</v>
      </c>
      <c r="H520" s="531">
        <f>ROUND(F520*'Actual Load'!$B$7/'Zonal Load'!$N$7,2)</f>
        <v>0</v>
      </c>
      <c r="I520" s="170">
        <f t="shared" si="108"/>
        <v>0</v>
      </c>
      <c r="J520" s="170">
        <f t="shared" si="109"/>
        <v>0</v>
      </c>
      <c r="K520" s="170">
        <f t="shared" si="110"/>
        <v>0</v>
      </c>
      <c r="L520" s="655">
        <f>E520*'Interest Over Collect'!$J$12</f>
        <v>0</v>
      </c>
      <c r="M520" s="170">
        <f t="shared" si="113"/>
        <v>0</v>
      </c>
      <c r="N520" s="82"/>
    </row>
    <row r="521" spans="1:14" s="174" customFormat="1">
      <c r="B521" s="23" t="s">
        <v>24</v>
      </c>
      <c r="C521" s="211">
        <v>0</v>
      </c>
      <c r="D521" s="214">
        <v>0</v>
      </c>
      <c r="E521" s="212">
        <v>0</v>
      </c>
      <c r="F521" s="213">
        <f t="shared" si="107"/>
        <v>0</v>
      </c>
      <c r="G521" s="170">
        <f t="shared" si="112"/>
        <v>0</v>
      </c>
      <c r="H521" s="531">
        <f>ROUND(F521*'Actual Load'!$B$6/'Zonal Load'!$N$6,2)</f>
        <v>0</v>
      </c>
      <c r="I521" s="170">
        <f t="shared" si="108"/>
        <v>0</v>
      </c>
      <c r="J521" s="170">
        <f t="shared" si="109"/>
        <v>0</v>
      </c>
      <c r="K521" s="170">
        <f t="shared" si="110"/>
        <v>0</v>
      </c>
      <c r="L521" s="655">
        <f>E521*'Interest Over Collect'!$J$12</f>
        <v>0</v>
      </c>
      <c r="M521" s="170">
        <f t="shared" si="113"/>
        <v>0</v>
      </c>
      <c r="N521" s="82"/>
    </row>
    <row r="522" spans="1:14" s="174" customFormat="1">
      <c r="B522" s="23" t="s">
        <v>116</v>
      </c>
      <c r="C522" s="211">
        <v>0</v>
      </c>
      <c r="D522" s="214">
        <v>0</v>
      </c>
      <c r="E522" s="212">
        <v>0</v>
      </c>
      <c r="F522" s="213">
        <f t="shared" si="107"/>
        <v>0</v>
      </c>
      <c r="G522" s="170">
        <f t="shared" si="112"/>
        <v>0</v>
      </c>
      <c r="H522" s="531">
        <f>ROUND(F522*'Actual Load'!$B$18/'Zonal Load'!$N$18,2)</f>
        <v>0</v>
      </c>
      <c r="I522" s="170">
        <f t="shared" si="108"/>
        <v>0</v>
      </c>
      <c r="J522" s="170">
        <f t="shared" si="109"/>
        <v>0</v>
      </c>
      <c r="K522" s="170">
        <f t="shared" si="110"/>
        <v>0</v>
      </c>
      <c r="L522" s="655">
        <f>E522*'Interest Over Collect'!$J$12</f>
        <v>0</v>
      </c>
      <c r="M522" s="170">
        <f t="shared" si="113"/>
        <v>0</v>
      </c>
      <c r="N522" s="82"/>
    </row>
    <row r="523" spans="1:14" s="174" customFormat="1">
      <c r="B523" s="23" t="s">
        <v>117</v>
      </c>
      <c r="C523" s="211">
        <v>0</v>
      </c>
      <c r="D523" s="214">
        <v>0</v>
      </c>
      <c r="E523" s="212">
        <v>0</v>
      </c>
      <c r="F523" s="213">
        <f t="shared" si="107"/>
        <v>0</v>
      </c>
      <c r="G523" s="170">
        <f t="shared" si="112"/>
        <v>0</v>
      </c>
      <c r="H523" s="531">
        <f>ROUND(F523*'Actual Load'!$B$17/'Zonal Load'!$N$17,2)</f>
        <v>0</v>
      </c>
      <c r="I523" s="170">
        <f t="shared" si="108"/>
        <v>0</v>
      </c>
      <c r="J523" s="170">
        <f t="shared" si="109"/>
        <v>0</v>
      </c>
      <c r="K523" s="170">
        <f t="shared" si="110"/>
        <v>0</v>
      </c>
      <c r="L523" s="655">
        <f>E523*'Interest Over Collect'!$J$12</f>
        <v>0</v>
      </c>
      <c r="M523" s="170">
        <f t="shared" si="113"/>
        <v>0</v>
      </c>
      <c r="N523" s="82"/>
    </row>
    <row r="524" spans="1:14" s="174" customFormat="1">
      <c r="B524" s="23" t="s">
        <v>26</v>
      </c>
      <c r="C524" s="211">
        <v>0</v>
      </c>
      <c r="D524" s="214">
        <v>0</v>
      </c>
      <c r="E524" s="212">
        <v>0</v>
      </c>
      <c r="F524" s="213">
        <f t="shared" si="107"/>
        <v>0</v>
      </c>
      <c r="G524" s="170">
        <f t="shared" si="112"/>
        <v>0</v>
      </c>
      <c r="H524" s="531">
        <f>ROUND(F524*'Actual Load'!$B$12/'Zonal Load'!$N$12,2)</f>
        <v>0</v>
      </c>
      <c r="I524" s="170">
        <f t="shared" si="108"/>
        <v>0</v>
      </c>
      <c r="J524" s="170">
        <f t="shared" si="109"/>
        <v>0</v>
      </c>
      <c r="K524" s="170">
        <f t="shared" si="110"/>
        <v>0</v>
      </c>
      <c r="L524" s="655">
        <f>E524*'Interest Over Collect'!$J$12</f>
        <v>0</v>
      </c>
      <c r="M524" s="170">
        <f t="shared" si="113"/>
        <v>0</v>
      </c>
      <c r="N524" s="82"/>
    </row>
    <row r="525" spans="1:14" s="174" customFormat="1">
      <c r="B525" s="23" t="s">
        <v>27</v>
      </c>
      <c r="C525" s="211">
        <v>0</v>
      </c>
      <c r="D525" s="214">
        <v>0</v>
      </c>
      <c r="E525" s="212">
        <v>0</v>
      </c>
      <c r="F525" s="213">
        <f t="shared" si="107"/>
        <v>0</v>
      </c>
      <c r="G525" s="170">
        <f t="shared" si="112"/>
        <v>0</v>
      </c>
      <c r="H525" s="531">
        <f>ROUND(F525*'Actual Load'!$B$24/'Zonal Load'!$N$24,2)</f>
        <v>0</v>
      </c>
      <c r="I525" s="170">
        <f t="shared" si="108"/>
        <v>0</v>
      </c>
      <c r="J525" s="170">
        <f t="shared" si="109"/>
        <v>0</v>
      </c>
      <c r="K525" s="170">
        <f t="shared" si="110"/>
        <v>0</v>
      </c>
      <c r="L525" s="655">
        <f>E525*'Interest Over Collect'!$J$12</f>
        <v>0</v>
      </c>
      <c r="M525" s="170">
        <f t="shared" si="113"/>
        <v>0</v>
      </c>
      <c r="N525" s="82"/>
    </row>
    <row r="526" spans="1:14" s="174" customFormat="1">
      <c r="B526" s="23" t="s">
        <v>28</v>
      </c>
      <c r="C526" s="211">
        <v>0</v>
      </c>
      <c r="D526" s="214">
        <v>0</v>
      </c>
      <c r="E526" s="212">
        <v>8.4089508733094145E-3</v>
      </c>
      <c r="F526" s="213">
        <f t="shared" si="107"/>
        <v>4452.6000000000004</v>
      </c>
      <c r="G526" s="170">
        <f t="shared" si="112"/>
        <v>123.35090036057581</v>
      </c>
      <c r="H526" s="531">
        <f>ROUND(F526*'Actual Load'!$B$5/'Zonal Load'!$N$5,2)</f>
        <v>4565.1499999999996</v>
      </c>
      <c r="I526" s="170">
        <f t="shared" si="108"/>
        <v>4614.13</v>
      </c>
      <c r="J526" s="170">
        <f t="shared" si="109"/>
        <v>161.52999999999975</v>
      </c>
      <c r="K526" s="170">
        <f t="shared" si="110"/>
        <v>284.88090036057554</v>
      </c>
      <c r="L526" s="655">
        <f>E526*'Interest Over Collect'!$J$12</f>
        <v>22.254540754739566</v>
      </c>
      <c r="M526" s="170">
        <f t="shared" si="113"/>
        <v>307.13544111531507</v>
      </c>
      <c r="N526" s="82"/>
    </row>
    <row r="527" spans="1:14" s="174" customFormat="1">
      <c r="B527" s="23" t="s">
        <v>29</v>
      </c>
      <c r="C527" s="211">
        <v>0</v>
      </c>
      <c r="D527" s="214">
        <v>0</v>
      </c>
      <c r="E527" s="212">
        <v>0.56719385206301198</v>
      </c>
      <c r="F527" s="213">
        <f t="shared" si="107"/>
        <v>300333.12</v>
      </c>
      <c r="G527" s="170">
        <f t="shared" si="112"/>
        <v>8320.1666159123233</v>
      </c>
      <c r="H527" s="531">
        <f>ROUND(F527*'Actual Load'!$B$21/'Zonal Load'!$N$21,2)</f>
        <v>287802.12</v>
      </c>
      <c r="I527" s="170">
        <f t="shared" si="108"/>
        <v>290889.71999999997</v>
      </c>
      <c r="J527" s="170">
        <f t="shared" si="109"/>
        <v>-9443.4000000000233</v>
      </c>
      <c r="K527" s="170">
        <f t="shared" si="110"/>
        <v>-1123.2333840877</v>
      </c>
      <c r="L527" s="655">
        <f>E527*'Interest Over Collect'!$J$12</f>
        <v>1501.0955453003232</v>
      </c>
      <c r="M527" s="170">
        <f t="shared" si="113"/>
        <v>377.86216121262328</v>
      </c>
      <c r="N527" s="82"/>
    </row>
    <row r="528" spans="1:14" s="174" customFormat="1">
      <c r="B528" s="23" t="s">
        <v>30</v>
      </c>
      <c r="C528" s="211">
        <v>0</v>
      </c>
      <c r="D528" s="214">
        <v>0</v>
      </c>
      <c r="E528" s="212">
        <v>0</v>
      </c>
      <c r="F528" s="213">
        <f t="shared" si="107"/>
        <v>0</v>
      </c>
      <c r="G528" s="170">
        <f t="shared" si="112"/>
        <v>0</v>
      </c>
      <c r="H528" s="531">
        <f>ROUND(F528*'Actual Load'!$B$19/'Zonal Load'!$N$19,2)</f>
        <v>0</v>
      </c>
      <c r="I528" s="170">
        <f t="shared" si="108"/>
        <v>0</v>
      </c>
      <c r="J528" s="170">
        <f t="shared" si="109"/>
        <v>0</v>
      </c>
      <c r="K528" s="170">
        <f t="shared" si="110"/>
        <v>0</v>
      </c>
      <c r="L528" s="655">
        <f>E528*'Interest Over Collect'!$J$12</f>
        <v>0</v>
      </c>
      <c r="M528" s="170">
        <f t="shared" si="113"/>
        <v>0</v>
      </c>
      <c r="N528" s="82"/>
    </row>
    <row r="529" spans="2:14" s="174" customFormat="1">
      <c r="B529" s="23" t="s">
        <v>31</v>
      </c>
      <c r="C529" s="211">
        <v>0</v>
      </c>
      <c r="D529" s="214">
        <v>0</v>
      </c>
      <c r="E529" s="212">
        <v>6.3941395110162155E-2</v>
      </c>
      <c r="F529" s="213">
        <f t="shared" si="107"/>
        <v>33857.42</v>
      </c>
      <c r="G529" s="170">
        <f t="shared" si="112"/>
        <v>937.95632487096861</v>
      </c>
      <c r="H529" s="531">
        <f>ROUND(F529*'Actual Load'!$B$25/'Zonal Load'!$N$25,2)</f>
        <v>32875.129999999997</v>
      </c>
      <c r="I529" s="170">
        <f t="shared" si="108"/>
        <v>33227.82</v>
      </c>
      <c r="J529" s="170">
        <f t="shared" si="109"/>
        <v>-629.59999999999854</v>
      </c>
      <c r="K529" s="170">
        <f t="shared" si="110"/>
        <v>308.35632487097007</v>
      </c>
      <c r="L529" s="655">
        <f>E529*'Interest Over Collect'!$J$12</f>
        <v>169.22282040089746</v>
      </c>
      <c r="M529" s="170">
        <f t="shared" si="113"/>
        <v>477.57914527186756</v>
      </c>
      <c r="N529" s="82"/>
    </row>
    <row r="530" spans="2:14" s="174" customFormat="1">
      <c r="B530" s="23" t="s">
        <v>32</v>
      </c>
      <c r="C530" s="211">
        <v>0</v>
      </c>
      <c r="D530" s="214">
        <v>0</v>
      </c>
      <c r="E530" s="212">
        <v>8.3242605707039702E-2</v>
      </c>
      <c r="F530" s="213">
        <f t="shared" si="107"/>
        <v>44077.54</v>
      </c>
      <c r="G530" s="170">
        <f t="shared" si="112"/>
        <v>1221.0857831165654</v>
      </c>
      <c r="H530" s="531">
        <f>ROUND(F530*'Actual Load'!$B$13/'Zonal Load'!$N$13,2)</f>
        <v>42283.3</v>
      </c>
      <c r="I530" s="170">
        <f t="shared" si="108"/>
        <v>42736.92</v>
      </c>
      <c r="J530" s="170">
        <f t="shared" si="109"/>
        <v>-1340.6200000000026</v>
      </c>
      <c r="K530" s="170">
        <f t="shared" si="110"/>
        <v>-119.53421688343724</v>
      </c>
      <c r="L530" s="655">
        <f>E530*'Interest Over Collect'!$J$12</f>
        <v>220.30405328185179</v>
      </c>
      <c r="M530" s="170">
        <f>+K530+L530</f>
        <v>100.76983639841455</v>
      </c>
      <c r="N530" s="82"/>
    </row>
    <row r="531" spans="2:14" s="174" customFormat="1">
      <c r="B531" s="23" t="s">
        <v>33</v>
      </c>
      <c r="C531" s="211">
        <v>0</v>
      </c>
      <c r="D531" s="214">
        <v>0</v>
      </c>
      <c r="E531" s="212">
        <v>0</v>
      </c>
      <c r="F531" s="213">
        <f t="shared" si="107"/>
        <v>0</v>
      </c>
      <c r="G531" s="170">
        <f t="shared" si="112"/>
        <v>0</v>
      </c>
      <c r="H531" s="531">
        <f>ROUND(F531*'Actual Load'!$B$23/'Zonal Load'!$N$23,2)</f>
        <v>0</v>
      </c>
      <c r="I531" s="170">
        <f t="shared" si="108"/>
        <v>0</v>
      </c>
      <c r="J531" s="170">
        <f t="shared" si="109"/>
        <v>0</v>
      </c>
      <c r="K531" s="170">
        <f t="shared" si="110"/>
        <v>0</v>
      </c>
      <c r="L531" s="655">
        <f>E531*'Interest Over Collect'!$J$12</f>
        <v>0</v>
      </c>
      <c r="M531" s="170">
        <f>+K531+L531</f>
        <v>0</v>
      </c>
      <c r="N531" s="82"/>
    </row>
    <row r="532" spans="2:14" s="174" customFormat="1">
      <c r="B532" s="24" t="s">
        <v>34</v>
      </c>
      <c r="C532" s="211">
        <v>0</v>
      </c>
      <c r="D532" s="214">
        <v>0</v>
      </c>
      <c r="E532" s="212">
        <v>0</v>
      </c>
      <c r="F532" s="213">
        <f t="shared" si="107"/>
        <v>0</v>
      </c>
      <c r="G532" s="170">
        <f t="shared" si="112"/>
        <v>0</v>
      </c>
      <c r="H532" s="531">
        <f>ROUND(F532*'Actual Load'!$B$20/'Zonal Load'!$N$20,2)</f>
        <v>0</v>
      </c>
      <c r="I532" s="170">
        <f t="shared" si="108"/>
        <v>0</v>
      </c>
      <c r="J532" s="170">
        <f t="shared" si="109"/>
        <v>0</v>
      </c>
      <c r="K532" s="170">
        <f t="shared" si="110"/>
        <v>0</v>
      </c>
      <c r="L532" s="655">
        <f>E532*'Interest Over Collect'!$J$12</f>
        <v>0</v>
      </c>
      <c r="M532" s="170">
        <f>+K532+L532</f>
        <v>0</v>
      </c>
      <c r="N532" s="82"/>
    </row>
    <row r="533" spans="2:14">
      <c r="B533" s="25"/>
      <c r="C533" s="26">
        <f>SUM(C509:C532)</f>
        <v>0</v>
      </c>
      <c r="D533" s="27">
        <f>SUM(D509:D532)</f>
        <v>0</v>
      </c>
      <c r="E533" s="95">
        <f>SUM(E509:E532)</f>
        <v>1</v>
      </c>
      <c r="F533" s="90">
        <f>SUM(F509:F532)</f>
        <v>529507.01</v>
      </c>
      <c r="G533" s="76">
        <f t="shared" ref="G533:M533" si="114">SUM(G511:G532)</f>
        <v>14669.000000000002</v>
      </c>
      <c r="H533" s="131">
        <f t="shared" si="114"/>
        <v>512372.31</v>
      </c>
      <c r="I533" s="77">
        <f t="shared" si="114"/>
        <v>517869.13999999996</v>
      </c>
      <c r="J533" s="77">
        <f t="shared" si="114"/>
        <v>-11637.870000000024</v>
      </c>
      <c r="K533" s="563">
        <f t="shared" si="114"/>
        <v>3031.1299999999783</v>
      </c>
      <c r="L533" s="656">
        <f t="shared" si="114"/>
        <v>2646.5300000000007</v>
      </c>
      <c r="M533" s="77">
        <f t="shared" si="114"/>
        <v>5677.6599999999789</v>
      </c>
    </row>
    <row r="534" spans="2:14">
      <c r="F534" s="3" t="s">
        <v>623</v>
      </c>
      <c r="G534" s="21"/>
      <c r="I534" s="569" t="s">
        <v>621</v>
      </c>
      <c r="J534" s="570" t="s">
        <v>622</v>
      </c>
      <c r="N534" s="192"/>
    </row>
    <row r="535" spans="2:14">
      <c r="E535" s="479" t="s">
        <v>610</v>
      </c>
      <c r="F535" s="168">
        <f>ROUND((I535*M$884)+(J535*M$888),0)</f>
        <v>529507</v>
      </c>
      <c r="I535" s="571">
        <v>539608.8456238223</v>
      </c>
      <c r="J535" s="571">
        <v>495708.23997880914</v>
      </c>
      <c r="N535" s="192"/>
    </row>
    <row r="536" spans="2:14">
      <c r="E536" s="480" t="s">
        <v>611</v>
      </c>
      <c r="F536" s="169">
        <f>ROUND((I536*M$884)+(J536*M$888),0)</f>
        <v>514838</v>
      </c>
      <c r="G536" s="528">
        <f>F535-F536</f>
        <v>14669</v>
      </c>
      <c r="H536" s="529"/>
      <c r="I536" s="572">
        <f>'Att GG at 12.38 '!N84</f>
        <v>524716.48584440944</v>
      </c>
      <c r="J536" s="572">
        <f>'Att GG at 10.82'!N84</f>
        <v>481784.88947702711</v>
      </c>
      <c r="L536" s="81"/>
      <c r="N536" s="192"/>
    </row>
    <row r="537" spans="2:14">
      <c r="E537" s="91" t="s">
        <v>153</v>
      </c>
      <c r="F537" s="175">
        <f>I533</f>
        <v>517869.13999999996</v>
      </c>
      <c r="G537" s="528">
        <f>F537-F535</f>
        <v>-11637.860000000044</v>
      </c>
      <c r="H537" s="530"/>
      <c r="K537" s="86"/>
      <c r="L537" s="644"/>
      <c r="M537" s="86"/>
      <c r="N537" s="192"/>
    </row>
    <row r="538" spans="2:14">
      <c r="B538" s="139"/>
      <c r="C538" s="139"/>
      <c r="D538" s="139"/>
      <c r="E538" s="139"/>
      <c r="F538" s="139"/>
      <c r="G538" s="528">
        <f>G536+G537</f>
        <v>3031.1399999999558</v>
      </c>
      <c r="H538" s="529">
        <f>F537-F536</f>
        <v>3031.1399999999558</v>
      </c>
      <c r="I538" s="139"/>
      <c r="J538" s="139"/>
      <c r="K538" s="86"/>
      <c r="L538" s="86"/>
      <c r="M538" s="86"/>
      <c r="N538" s="192"/>
    </row>
    <row r="539" spans="2:14">
      <c r="B539" s="79"/>
      <c r="C539" s="79"/>
      <c r="D539" s="79"/>
      <c r="E539" s="79"/>
      <c r="F539" s="79"/>
      <c r="G539" s="79"/>
      <c r="H539" s="79"/>
      <c r="I539" s="79"/>
      <c r="J539" s="105"/>
      <c r="K539" s="79"/>
      <c r="L539" s="79"/>
      <c r="M539" s="79"/>
      <c r="N539" s="192"/>
    </row>
    <row r="540" spans="2:14">
      <c r="L540" s="174"/>
      <c r="N540" s="192"/>
    </row>
    <row r="541" spans="2:14">
      <c r="B541" s="678" t="s">
        <v>0</v>
      </c>
      <c r="C541" s="679"/>
      <c r="D541" s="680" t="s">
        <v>688</v>
      </c>
      <c r="E541" s="681"/>
      <c r="F541" s="681"/>
      <c r="G541" s="681"/>
      <c r="H541" s="682"/>
      <c r="I541" s="142"/>
      <c r="J541" s="1"/>
      <c r="N541" s="192"/>
    </row>
    <row r="542" spans="2:14" ht="15.75" customHeight="1">
      <c r="B542" s="665" t="s">
        <v>1</v>
      </c>
      <c r="C542" s="666"/>
      <c r="D542" s="667" t="s">
        <v>246</v>
      </c>
      <c r="E542" s="668"/>
      <c r="F542" s="668"/>
      <c r="G542" s="668"/>
      <c r="H542" s="669"/>
      <c r="I542" s="143"/>
      <c r="J542" s="1"/>
      <c r="N542" s="192"/>
    </row>
    <row r="543" spans="2:14">
      <c r="B543" s="665" t="s">
        <v>3</v>
      </c>
      <c r="C543" s="666"/>
      <c r="D543" s="670" t="s">
        <v>247</v>
      </c>
      <c r="E543" s="671"/>
      <c r="F543" s="671"/>
      <c r="G543" s="671"/>
      <c r="H543" s="672"/>
      <c r="I543" s="144"/>
      <c r="J543" s="1"/>
      <c r="N543" s="192"/>
    </row>
    <row r="544" spans="2:14">
      <c r="B544" s="673" t="s">
        <v>5</v>
      </c>
      <c r="C544" s="674"/>
      <c r="D544" s="675" t="s">
        <v>248</v>
      </c>
      <c r="E544" s="676"/>
      <c r="F544" s="676"/>
      <c r="G544" s="676"/>
      <c r="H544" s="677"/>
      <c r="I544" s="145"/>
      <c r="J544" s="1"/>
      <c r="N544" s="192"/>
    </row>
    <row r="545" spans="1:14">
      <c r="B545" s="74"/>
      <c r="C545" s="74"/>
      <c r="D545" s="74"/>
      <c r="E545" s="74"/>
      <c r="F545" s="74"/>
      <c r="J545" s="99" t="s">
        <v>155</v>
      </c>
      <c r="K545" s="3" t="s">
        <v>40</v>
      </c>
      <c r="M545" s="3" t="s">
        <v>54</v>
      </c>
      <c r="N545" s="192"/>
    </row>
    <row r="546" spans="1:14">
      <c r="B546" s="74"/>
      <c r="C546" s="74"/>
      <c r="D546" s="74"/>
      <c r="E546" s="74"/>
      <c r="F546" s="74"/>
      <c r="G546" s="3" t="s">
        <v>37</v>
      </c>
      <c r="H546" s="127" t="s">
        <v>38</v>
      </c>
      <c r="I546" s="92" t="s">
        <v>39</v>
      </c>
      <c r="J546" s="100" t="s">
        <v>156</v>
      </c>
      <c r="K546" s="4" t="s">
        <v>157</v>
      </c>
      <c r="L546" s="4" t="s">
        <v>53</v>
      </c>
      <c r="M546" s="4" t="s">
        <v>158</v>
      </c>
      <c r="N546" s="192"/>
    </row>
    <row r="547" spans="1:14">
      <c r="B547" s="74"/>
      <c r="C547" s="74"/>
      <c r="D547" s="74"/>
      <c r="E547" s="74"/>
      <c r="F547" s="74"/>
      <c r="G547" s="5"/>
      <c r="H547" s="662" t="s">
        <v>41</v>
      </c>
      <c r="I547" s="663"/>
      <c r="J547" s="664"/>
      <c r="K547" s="6" t="s">
        <v>42</v>
      </c>
      <c r="L547" s="5"/>
      <c r="M547" s="6" t="s">
        <v>43</v>
      </c>
      <c r="N547" s="192"/>
    </row>
    <row r="548" spans="1:14">
      <c r="B548" s="75"/>
      <c r="C548" s="7">
        <v>0.2</v>
      </c>
      <c r="D548" s="7">
        <v>0.8</v>
      </c>
      <c r="E548" s="7"/>
      <c r="F548" s="87" t="s">
        <v>154</v>
      </c>
      <c r="G548" s="8" t="s">
        <v>44</v>
      </c>
      <c r="H548" s="128"/>
      <c r="I548" s="5"/>
      <c r="J548" s="101" t="s">
        <v>45</v>
      </c>
      <c r="K548" s="8" t="s">
        <v>46</v>
      </c>
      <c r="L548" s="9"/>
      <c r="M548" s="8" t="s">
        <v>47</v>
      </c>
      <c r="N548" s="192"/>
    </row>
    <row r="549" spans="1:14">
      <c r="B549" s="10"/>
      <c r="C549" s="68" t="s">
        <v>8</v>
      </c>
      <c r="D549" s="68" t="s">
        <v>9</v>
      </c>
      <c r="E549" s="68" t="s">
        <v>10</v>
      </c>
      <c r="F549" s="88" t="s">
        <v>7</v>
      </c>
      <c r="G549" s="11" t="s">
        <v>48</v>
      </c>
      <c r="H549" s="129" t="s">
        <v>49</v>
      </c>
      <c r="I549" s="12" t="s">
        <v>152</v>
      </c>
      <c r="J549" s="102" t="s">
        <v>48</v>
      </c>
      <c r="K549" s="12" t="s">
        <v>48</v>
      </c>
      <c r="L549" s="12" t="s">
        <v>50</v>
      </c>
      <c r="M549" s="12" t="s">
        <v>51</v>
      </c>
      <c r="N549" s="192"/>
    </row>
    <row r="550" spans="1:14" ht="31.5">
      <c r="B550" s="13" t="s">
        <v>12</v>
      </c>
      <c r="C550" s="14" t="s">
        <v>13</v>
      </c>
      <c r="D550" s="14" t="s">
        <v>13</v>
      </c>
      <c r="E550" s="15" t="s">
        <v>13</v>
      </c>
      <c r="F550" s="89" t="s">
        <v>14</v>
      </c>
      <c r="G550" s="16" t="s">
        <v>52</v>
      </c>
      <c r="H550" s="130"/>
      <c r="I550" s="17"/>
      <c r="J550" s="103" t="s">
        <v>52</v>
      </c>
      <c r="K550" s="17"/>
      <c r="L550" s="17"/>
      <c r="M550" s="16" t="s">
        <v>52</v>
      </c>
      <c r="N550" s="192"/>
    </row>
    <row r="551" spans="1:14" s="174" customFormat="1">
      <c r="B551" s="18" t="s">
        <v>15</v>
      </c>
      <c r="C551" s="211">
        <v>0</v>
      </c>
      <c r="D551" s="214">
        <v>0</v>
      </c>
      <c r="E551" s="212">
        <v>0</v>
      </c>
      <c r="F551" s="215">
        <f t="shared" ref="F551:F574" si="115">ROUND(+E551*F$577,2)</f>
        <v>0</v>
      </c>
      <c r="G551" s="170">
        <f t="shared" ref="G551:G574" si="116">(F$577-F$578)*E551</f>
        <v>0</v>
      </c>
      <c r="H551" s="531">
        <f>ROUND(F551*'Actual Load'!$B$8/'Zonal Load'!$N$8,2)</f>
        <v>0</v>
      </c>
      <c r="I551" s="170">
        <f t="shared" ref="I551:I574" si="117">ROUND((H551*$H$912)/$H$910,2)</f>
        <v>0</v>
      </c>
      <c r="J551" s="170">
        <f t="shared" ref="J551:J574" si="118">I551-F551</f>
        <v>0</v>
      </c>
      <c r="K551" s="170">
        <f t="shared" ref="K551:K574" si="119">+G551+J551</f>
        <v>0</v>
      </c>
      <c r="L551" s="655">
        <f>E551*'Interest Over Collect'!$J$13</f>
        <v>0</v>
      </c>
      <c r="M551" s="170">
        <f t="shared" ref="M551:M558" si="120">+K551+L551</f>
        <v>0</v>
      </c>
      <c r="N551" s="192"/>
    </row>
    <row r="552" spans="1:14" s="174" customFormat="1">
      <c r="B552" s="23" t="s">
        <v>16</v>
      </c>
      <c r="C552" s="211">
        <v>0</v>
      </c>
      <c r="D552" s="214">
        <v>0</v>
      </c>
      <c r="E552" s="212">
        <v>0</v>
      </c>
      <c r="F552" s="213">
        <f t="shared" si="115"/>
        <v>0</v>
      </c>
      <c r="G552" s="170">
        <f t="shared" si="116"/>
        <v>0</v>
      </c>
      <c r="H552" s="531">
        <f>ROUND(F552*'Actual Load'!$B$14/'Zonal Load'!$N$14,2)</f>
        <v>0</v>
      </c>
      <c r="I552" s="170">
        <f t="shared" si="117"/>
        <v>0</v>
      </c>
      <c r="J552" s="170">
        <f t="shared" si="118"/>
        <v>0</v>
      </c>
      <c r="K552" s="170">
        <f t="shared" si="119"/>
        <v>0</v>
      </c>
      <c r="L552" s="655">
        <f>E552*'Interest Over Collect'!$J$13</f>
        <v>0</v>
      </c>
      <c r="M552" s="170">
        <f t="shared" si="120"/>
        <v>0</v>
      </c>
      <c r="N552" s="192"/>
    </row>
    <row r="553" spans="1:14" s="174" customFormat="1">
      <c r="B553" s="23" t="s">
        <v>190</v>
      </c>
      <c r="C553" s="211">
        <f>0%*0.421</f>
        <v>0</v>
      </c>
      <c r="D553" s="214">
        <f>0%*0.421</f>
        <v>0</v>
      </c>
      <c r="E553" s="212">
        <v>0</v>
      </c>
      <c r="F553" s="213">
        <f t="shared" si="115"/>
        <v>0</v>
      </c>
      <c r="G553" s="170">
        <f t="shared" si="116"/>
        <v>0</v>
      </c>
      <c r="H553" s="531">
        <f>ROUND(F553*'Actual Load'!$B$9/'Zonal Load'!$N$9,2)</f>
        <v>0</v>
      </c>
      <c r="I553" s="170">
        <f t="shared" si="117"/>
        <v>0</v>
      </c>
      <c r="J553" s="170">
        <f t="shared" si="118"/>
        <v>0</v>
      </c>
      <c r="K553" s="170">
        <f t="shared" si="119"/>
        <v>0</v>
      </c>
      <c r="L553" s="655">
        <f>E553*'Interest Over Collect'!$J$13</f>
        <v>0</v>
      </c>
      <c r="M553" s="170">
        <f t="shared" si="120"/>
        <v>0</v>
      </c>
      <c r="N553" s="192"/>
    </row>
    <row r="554" spans="1:14" s="174" customFormat="1">
      <c r="B554" s="23" t="s">
        <v>249</v>
      </c>
      <c r="C554" s="211">
        <f>0%*0.579</f>
        <v>0</v>
      </c>
      <c r="D554" s="214">
        <f>0%*0.579</f>
        <v>0</v>
      </c>
      <c r="E554" s="212">
        <v>0</v>
      </c>
      <c r="F554" s="213">
        <f t="shared" si="115"/>
        <v>0</v>
      </c>
      <c r="G554" s="170">
        <f>(F$577-F$578)*E554</f>
        <v>0</v>
      </c>
      <c r="H554" s="531">
        <f>ROUND(F554*'Actual Load'!$B$10/'Zonal Load'!$N$10,2)</f>
        <v>0</v>
      </c>
      <c r="I554" s="170">
        <f t="shared" si="117"/>
        <v>0</v>
      </c>
      <c r="J554" s="170">
        <f>I554-F554</f>
        <v>0</v>
      </c>
      <c r="K554" s="170">
        <f>+G554+J554</f>
        <v>0</v>
      </c>
      <c r="L554" s="655">
        <f>E554*'Interest Over Collect'!$J$13</f>
        <v>0</v>
      </c>
      <c r="M554" s="170">
        <f>+K554+L554</f>
        <v>0</v>
      </c>
      <c r="N554" s="192"/>
    </row>
    <row r="555" spans="1:14" s="174" customFormat="1">
      <c r="B555" s="23" t="s">
        <v>17</v>
      </c>
      <c r="C555" s="211">
        <v>0</v>
      </c>
      <c r="D555" s="214">
        <v>0</v>
      </c>
      <c r="E555" s="212">
        <v>0</v>
      </c>
      <c r="F555" s="213">
        <f t="shared" si="115"/>
        <v>0</v>
      </c>
      <c r="G555" s="170">
        <f t="shared" si="116"/>
        <v>0</v>
      </c>
      <c r="H555" s="531">
        <f>ROUND(F555*'Actual Load'!$B$26/'Zonal Load'!$N$26,2)</f>
        <v>0</v>
      </c>
      <c r="I555" s="170">
        <f t="shared" si="117"/>
        <v>0</v>
      </c>
      <c r="J555" s="170">
        <f t="shared" si="118"/>
        <v>0</v>
      </c>
      <c r="K555" s="170">
        <f t="shared" si="119"/>
        <v>0</v>
      </c>
      <c r="L555" s="655">
        <f>E555*'Interest Over Collect'!$J$13</f>
        <v>0</v>
      </c>
      <c r="M555" s="170">
        <f t="shared" si="120"/>
        <v>0</v>
      </c>
      <c r="N555" s="192"/>
    </row>
    <row r="556" spans="1:14" s="174" customFormat="1">
      <c r="B556" s="23" t="s">
        <v>18</v>
      </c>
      <c r="C556" s="211">
        <v>0</v>
      </c>
      <c r="D556" s="214">
        <v>0</v>
      </c>
      <c r="E556" s="212">
        <v>0</v>
      </c>
      <c r="F556" s="213">
        <f t="shared" si="115"/>
        <v>0</v>
      </c>
      <c r="G556" s="170">
        <f t="shared" si="116"/>
        <v>0</v>
      </c>
      <c r="H556" s="531">
        <f>ROUND(F556*'Actual Load'!$B$16/'Zonal Load'!$N$16,2)</f>
        <v>0</v>
      </c>
      <c r="I556" s="170">
        <f t="shared" si="117"/>
        <v>0</v>
      </c>
      <c r="J556" s="170">
        <f t="shared" si="118"/>
        <v>0</v>
      </c>
      <c r="K556" s="170">
        <f t="shared" si="119"/>
        <v>0</v>
      </c>
      <c r="L556" s="655">
        <f>E556*'Interest Over Collect'!$J$13</f>
        <v>0</v>
      </c>
      <c r="M556" s="170">
        <f t="shared" si="120"/>
        <v>0</v>
      </c>
      <c r="N556" s="192"/>
    </row>
    <row r="557" spans="1:14" s="174" customFormat="1">
      <c r="B557" s="23" t="s">
        <v>19</v>
      </c>
      <c r="C557" s="211">
        <v>0</v>
      </c>
      <c r="D557" s="214">
        <v>0</v>
      </c>
      <c r="E557" s="212">
        <v>0</v>
      </c>
      <c r="F557" s="213">
        <f t="shared" si="115"/>
        <v>0</v>
      </c>
      <c r="G557" s="170">
        <f t="shared" si="116"/>
        <v>0</v>
      </c>
      <c r="H557" s="531">
        <f>ROUND(F557*'Actual Load'!$B$22/'Zonal Load'!$N$22,2)</f>
        <v>0</v>
      </c>
      <c r="I557" s="170">
        <f t="shared" si="117"/>
        <v>0</v>
      </c>
      <c r="J557" s="170">
        <f t="shared" si="118"/>
        <v>0</v>
      </c>
      <c r="K557" s="170">
        <f t="shared" si="119"/>
        <v>0</v>
      </c>
      <c r="L557" s="655">
        <f>E557*'Interest Over Collect'!$J$13</f>
        <v>0</v>
      </c>
      <c r="M557" s="170">
        <f t="shared" si="120"/>
        <v>0</v>
      </c>
      <c r="N557" s="192"/>
    </row>
    <row r="558" spans="1:14" s="174" customFormat="1">
      <c r="B558" s="23" t="s">
        <v>20</v>
      </c>
      <c r="C558" s="211">
        <v>0</v>
      </c>
      <c r="D558" s="214">
        <v>0</v>
      </c>
      <c r="E558" s="212">
        <v>0</v>
      </c>
      <c r="F558" s="213">
        <f t="shared" si="115"/>
        <v>0</v>
      </c>
      <c r="G558" s="170">
        <f t="shared" si="116"/>
        <v>0</v>
      </c>
      <c r="H558" s="531">
        <f>ROUND(F558*'Actual Load'!$B$17/'Zonal Load'!$N$17,2)</f>
        <v>0</v>
      </c>
      <c r="I558" s="170">
        <f t="shared" si="117"/>
        <v>0</v>
      </c>
      <c r="J558" s="170">
        <f t="shared" si="118"/>
        <v>0</v>
      </c>
      <c r="K558" s="170">
        <f t="shared" si="119"/>
        <v>0</v>
      </c>
      <c r="L558" s="655">
        <f>E558*'Interest Over Collect'!$J$13</f>
        <v>0</v>
      </c>
      <c r="M558" s="170">
        <f t="shared" si="120"/>
        <v>0</v>
      </c>
      <c r="N558" s="192"/>
    </row>
    <row r="559" spans="1:14" s="174" customFormat="1">
      <c r="B559" s="23" t="s">
        <v>21</v>
      </c>
      <c r="C559" s="211">
        <v>0</v>
      </c>
      <c r="D559" s="214">
        <v>0</v>
      </c>
      <c r="E559" s="212">
        <v>0</v>
      </c>
      <c r="F559" s="213">
        <f t="shared" si="115"/>
        <v>0</v>
      </c>
      <c r="G559" s="170">
        <f t="shared" si="116"/>
        <v>0</v>
      </c>
      <c r="H559" s="531">
        <f>ROUND(F559*'Actual Load'!$B$15/'Zonal Load'!$N$15,2)</f>
        <v>0</v>
      </c>
      <c r="I559" s="170">
        <f t="shared" si="117"/>
        <v>0</v>
      </c>
      <c r="J559" s="170">
        <f t="shared" si="118"/>
        <v>0</v>
      </c>
      <c r="K559" s="170">
        <f t="shared" si="119"/>
        <v>0</v>
      </c>
      <c r="L559" s="655">
        <f>E559*'Interest Over Collect'!$J$13</f>
        <v>0</v>
      </c>
      <c r="M559" s="170">
        <f>+K559+L559</f>
        <v>0</v>
      </c>
      <c r="N559" s="192"/>
    </row>
    <row r="560" spans="1:14" s="174" customFormat="1">
      <c r="B560" s="23" t="s">
        <v>22</v>
      </c>
      <c r="C560" s="211">
        <v>0</v>
      </c>
      <c r="D560" s="214">
        <v>5.1257152533573554E-3</v>
      </c>
      <c r="E560" s="212">
        <v>5.1257152533573554E-3</v>
      </c>
      <c r="F560" s="213">
        <f t="shared" si="115"/>
        <v>14498.96</v>
      </c>
      <c r="G560" s="170">
        <f t="shared" si="116"/>
        <v>466.55285379109318</v>
      </c>
      <c r="H560" s="531">
        <f>ROUND(F560*'Actual Load'!$B$4/'Zonal Load'!$N$4,2)</f>
        <v>14307.36</v>
      </c>
      <c r="I560" s="170">
        <f t="shared" si="117"/>
        <v>14460.85</v>
      </c>
      <c r="J560" s="170">
        <f t="shared" si="118"/>
        <v>-38.109999999998763</v>
      </c>
      <c r="K560" s="170">
        <f t="shared" si="119"/>
        <v>428.44285379109442</v>
      </c>
      <c r="L560" s="655">
        <f>E560*'Interest Over Collect'!$J$13</f>
        <v>72.467362251966293</v>
      </c>
      <c r="M560" s="170">
        <f t="shared" ref="M560:M571" si="121">+K560+L560</f>
        <v>500.9102160430607</v>
      </c>
      <c r="N560" s="192"/>
    </row>
    <row r="561" spans="2:14" s="174" customFormat="1">
      <c r="B561" s="23" t="s">
        <v>23</v>
      </c>
      <c r="C561" s="211">
        <v>0</v>
      </c>
      <c r="D561" s="214">
        <v>0</v>
      </c>
      <c r="E561" s="212">
        <v>0</v>
      </c>
      <c r="F561" s="213">
        <f t="shared" si="115"/>
        <v>0</v>
      </c>
      <c r="G561" s="170">
        <f t="shared" si="116"/>
        <v>0</v>
      </c>
      <c r="H561" s="531">
        <f>ROUND(F561*'Actual Load'!$B$11/'Zonal Load'!$N$11,2)</f>
        <v>0</v>
      </c>
      <c r="I561" s="170">
        <f t="shared" si="117"/>
        <v>0</v>
      </c>
      <c r="J561" s="170">
        <f t="shared" si="118"/>
        <v>0</v>
      </c>
      <c r="K561" s="170">
        <f t="shared" si="119"/>
        <v>0</v>
      </c>
      <c r="L561" s="655">
        <f>E561*'Interest Over Collect'!$J$13</f>
        <v>0</v>
      </c>
      <c r="M561" s="170">
        <f t="shared" si="121"/>
        <v>0</v>
      </c>
      <c r="N561" s="192"/>
    </row>
    <row r="562" spans="2:14" s="174" customFormat="1">
      <c r="B562" s="23" t="s">
        <v>25</v>
      </c>
      <c r="C562" s="211">
        <v>0</v>
      </c>
      <c r="D562" s="214">
        <v>0</v>
      </c>
      <c r="E562" s="212">
        <v>0</v>
      </c>
      <c r="F562" s="213">
        <f t="shared" si="115"/>
        <v>0</v>
      </c>
      <c r="G562" s="170">
        <f t="shared" si="116"/>
        <v>0</v>
      </c>
      <c r="H562" s="531">
        <f>ROUND(F562*'Actual Load'!$B$7/'Zonal Load'!$N$7,2)</f>
        <v>0</v>
      </c>
      <c r="I562" s="170">
        <f t="shared" si="117"/>
        <v>0</v>
      </c>
      <c r="J562" s="170">
        <f t="shared" si="118"/>
        <v>0</v>
      </c>
      <c r="K562" s="170">
        <f t="shared" si="119"/>
        <v>0</v>
      </c>
      <c r="L562" s="655">
        <f>E562*'Interest Over Collect'!$J$13</f>
        <v>0</v>
      </c>
      <c r="M562" s="170">
        <f t="shared" si="121"/>
        <v>0</v>
      </c>
      <c r="N562" s="192"/>
    </row>
    <row r="563" spans="2:14" s="174" customFormat="1">
      <c r="B563" s="23" t="s">
        <v>24</v>
      </c>
      <c r="C563" s="211">
        <v>0</v>
      </c>
      <c r="D563" s="214">
        <v>0</v>
      </c>
      <c r="E563" s="212">
        <v>0</v>
      </c>
      <c r="F563" s="213">
        <f t="shared" si="115"/>
        <v>0</v>
      </c>
      <c r="G563" s="170">
        <f t="shared" si="116"/>
        <v>0</v>
      </c>
      <c r="H563" s="531">
        <f>ROUND(F563*'Actual Load'!$B$6/'Zonal Load'!$N$6,2)</f>
        <v>0</v>
      </c>
      <c r="I563" s="170">
        <f t="shared" si="117"/>
        <v>0</v>
      </c>
      <c r="J563" s="170">
        <f t="shared" si="118"/>
        <v>0</v>
      </c>
      <c r="K563" s="170">
        <f t="shared" si="119"/>
        <v>0</v>
      </c>
      <c r="L563" s="655">
        <f>E563*'Interest Over Collect'!$J$13</f>
        <v>0</v>
      </c>
      <c r="M563" s="170">
        <f t="shared" si="121"/>
        <v>0</v>
      </c>
      <c r="N563" s="192"/>
    </row>
    <row r="564" spans="2:14" s="174" customFormat="1">
      <c r="B564" s="23" t="s">
        <v>116</v>
      </c>
      <c r="C564" s="211">
        <v>0</v>
      </c>
      <c r="D564" s="214">
        <v>0</v>
      </c>
      <c r="E564" s="212">
        <v>0</v>
      </c>
      <c r="F564" s="213">
        <f t="shared" si="115"/>
        <v>0</v>
      </c>
      <c r="G564" s="170">
        <f t="shared" si="116"/>
        <v>0</v>
      </c>
      <c r="H564" s="531">
        <f>ROUND(F564*'Actual Load'!$B$18/'Zonal Load'!$N$18,2)</f>
        <v>0</v>
      </c>
      <c r="I564" s="170">
        <f t="shared" si="117"/>
        <v>0</v>
      </c>
      <c r="J564" s="170">
        <f t="shared" si="118"/>
        <v>0</v>
      </c>
      <c r="K564" s="170">
        <f t="shared" si="119"/>
        <v>0</v>
      </c>
      <c r="L564" s="655">
        <f>E564*'Interest Over Collect'!$J$13</f>
        <v>0</v>
      </c>
      <c r="M564" s="170">
        <f t="shared" si="121"/>
        <v>0</v>
      </c>
      <c r="N564" s="192"/>
    </row>
    <row r="565" spans="2:14" s="174" customFormat="1">
      <c r="B565" s="23" t="s">
        <v>117</v>
      </c>
      <c r="C565" s="211">
        <v>0</v>
      </c>
      <c r="D565" s="214">
        <v>0</v>
      </c>
      <c r="E565" s="212">
        <v>0</v>
      </c>
      <c r="F565" s="213">
        <f t="shared" si="115"/>
        <v>0</v>
      </c>
      <c r="G565" s="170">
        <f t="shared" si="116"/>
        <v>0</v>
      </c>
      <c r="H565" s="531">
        <f>ROUND(F565*'Actual Load'!$B$17/'Zonal Load'!$N$17,2)</f>
        <v>0</v>
      </c>
      <c r="I565" s="170">
        <f t="shared" si="117"/>
        <v>0</v>
      </c>
      <c r="J565" s="170">
        <f t="shared" si="118"/>
        <v>0</v>
      </c>
      <c r="K565" s="170">
        <f t="shared" si="119"/>
        <v>0</v>
      </c>
      <c r="L565" s="655">
        <f>E565*'Interest Over Collect'!$J$13</f>
        <v>0</v>
      </c>
      <c r="M565" s="170">
        <f t="shared" si="121"/>
        <v>0</v>
      </c>
      <c r="N565" s="192"/>
    </row>
    <row r="566" spans="2:14" s="174" customFormat="1">
      <c r="B566" s="23" t="s">
        <v>26</v>
      </c>
      <c r="C566" s="211">
        <v>0</v>
      </c>
      <c r="D566" s="214">
        <v>0</v>
      </c>
      <c r="E566" s="212">
        <v>0</v>
      </c>
      <c r="F566" s="213">
        <f t="shared" si="115"/>
        <v>0</v>
      </c>
      <c r="G566" s="170">
        <f t="shared" si="116"/>
        <v>0</v>
      </c>
      <c r="H566" s="531">
        <f>ROUND(F566*'Actual Load'!$B$12/'Zonal Load'!$N$12,2)</f>
        <v>0</v>
      </c>
      <c r="I566" s="170">
        <f t="shared" si="117"/>
        <v>0</v>
      </c>
      <c r="J566" s="170">
        <f t="shared" si="118"/>
        <v>0</v>
      </c>
      <c r="K566" s="170">
        <f t="shared" si="119"/>
        <v>0</v>
      </c>
      <c r="L566" s="655">
        <f>E566*'Interest Over Collect'!$J$13</f>
        <v>0</v>
      </c>
      <c r="M566" s="170">
        <f t="shared" si="121"/>
        <v>0</v>
      </c>
      <c r="N566" s="192"/>
    </row>
    <row r="567" spans="2:14" s="174" customFormat="1">
      <c r="B567" s="23" t="s">
        <v>27</v>
      </c>
      <c r="C567" s="211">
        <v>0</v>
      </c>
      <c r="D567" s="214">
        <v>0</v>
      </c>
      <c r="E567" s="212">
        <v>0</v>
      </c>
      <c r="F567" s="213">
        <f t="shared" si="115"/>
        <v>0</v>
      </c>
      <c r="G567" s="170">
        <f t="shared" si="116"/>
        <v>0</v>
      </c>
      <c r="H567" s="531">
        <f>ROUND(F567*'Actual Load'!$B$24/'Zonal Load'!$N$24,2)</f>
        <v>0</v>
      </c>
      <c r="I567" s="170">
        <f t="shared" si="117"/>
        <v>0</v>
      </c>
      <c r="J567" s="170">
        <f t="shared" si="118"/>
        <v>0</v>
      </c>
      <c r="K567" s="170">
        <f t="shared" si="119"/>
        <v>0</v>
      </c>
      <c r="L567" s="655">
        <f>E567*'Interest Over Collect'!$J$13</f>
        <v>0</v>
      </c>
      <c r="M567" s="170">
        <f t="shared" si="121"/>
        <v>0</v>
      </c>
      <c r="N567" s="192"/>
    </row>
    <row r="568" spans="2:14" s="174" customFormat="1">
      <c r="B568" s="23" t="s">
        <v>28</v>
      </c>
      <c r="C568" s="211">
        <v>0</v>
      </c>
      <c r="D568" s="214">
        <v>0</v>
      </c>
      <c r="E568" s="212">
        <v>0</v>
      </c>
      <c r="F568" s="213">
        <f t="shared" si="115"/>
        <v>0</v>
      </c>
      <c r="G568" s="170">
        <f t="shared" si="116"/>
        <v>0</v>
      </c>
      <c r="H568" s="531">
        <f>ROUND(F568*'Actual Load'!$B$5/'Zonal Load'!$N$5,2)</f>
        <v>0</v>
      </c>
      <c r="I568" s="170">
        <f t="shared" si="117"/>
        <v>0</v>
      </c>
      <c r="J568" s="170">
        <f t="shared" si="118"/>
        <v>0</v>
      </c>
      <c r="K568" s="170">
        <f t="shared" si="119"/>
        <v>0</v>
      </c>
      <c r="L568" s="655">
        <f>E568*'Interest Over Collect'!$J$13</f>
        <v>0</v>
      </c>
      <c r="M568" s="170">
        <f t="shared" si="121"/>
        <v>0</v>
      </c>
      <c r="N568" s="192"/>
    </row>
    <row r="569" spans="2:14" s="174" customFormat="1">
      <c r="B569" s="23" t="s">
        <v>29</v>
      </c>
      <c r="C569" s="211">
        <v>0</v>
      </c>
      <c r="D569" s="214">
        <v>0.83820266476707495</v>
      </c>
      <c r="E569" s="212">
        <v>0.83820266476707495</v>
      </c>
      <c r="F569" s="213">
        <f t="shared" si="115"/>
        <v>2370999.5699999998</v>
      </c>
      <c r="G569" s="170">
        <f t="shared" si="116"/>
        <v>76294.882952428699</v>
      </c>
      <c r="H569" s="531">
        <f>ROUND(F569*'Actual Load'!$B$21/'Zonal Load'!$N$21,2)</f>
        <v>2272072.7400000002</v>
      </c>
      <c r="I569" s="170">
        <f t="shared" si="117"/>
        <v>2296447.9700000002</v>
      </c>
      <c r="J569" s="170">
        <f t="shared" si="118"/>
        <v>-74551.599999999627</v>
      </c>
      <c r="K569" s="170">
        <f t="shared" si="119"/>
        <v>1743.2829524290719</v>
      </c>
      <c r="L569" s="655">
        <f>E569*'Interest Over Collect'!$J$13</f>
        <v>11850.509274476906</v>
      </c>
      <c r="M569" s="170">
        <f t="shared" si="121"/>
        <v>13593.792226905978</v>
      </c>
      <c r="N569" s="192"/>
    </row>
    <row r="570" spans="2:14" s="174" customFormat="1">
      <c r="B570" s="23" t="s">
        <v>30</v>
      </c>
      <c r="C570" s="211">
        <v>0</v>
      </c>
      <c r="D570" s="214">
        <v>6.0848919729758425E-3</v>
      </c>
      <c r="E570" s="212">
        <v>6.0848919729758425E-3</v>
      </c>
      <c r="F570" s="213">
        <f t="shared" si="115"/>
        <v>17212.16</v>
      </c>
      <c r="G570" s="170">
        <f t="shared" si="116"/>
        <v>553.85903716420717</v>
      </c>
      <c r="H570" s="531">
        <f>ROUND(F570*'Actual Load'!$B$19/'Zonal Load'!$N$19,2)</f>
        <v>16736.8</v>
      </c>
      <c r="I570" s="170">
        <f t="shared" si="117"/>
        <v>16916.36</v>
      </c>
      <c r="J570" s="170">
        <f t="shared" si="118"/>
        <v>-295.79999999999927</v>
      </c>
      <c r="K570" s="170">
        <f t="shared" si="119"/>
        <v>258.05903716420789</v>
      </c>
      <c r="L570" s="655">
        <f>E570*'Interest Over Collect'!$J$13</f>
        <v>86.028202713932458</v>
      </c>
      <c r="M570" s="170">
        <f t="shared" si="121"/>
        <v>344.08723987814034</v>
      </c>
      <c r="N570" s="192"/>
    </row>
    <row r="571" spans="2:14" s="174" customFormat="1">
      <c r="B571" s="23" t="s">
        <v>31</v>
      </c>
      <c r="C571" s="211">
        <v>0</v>
      </c>
      <c r="D571" s="214">
        <v>0</v>
      </c>
      <c r="E571" s="212">
        <v>0</v>
      </c>
      <c r="F571" s="213">
        <f t="shared" si="115"/>
        <v>0</v>
      </c>
      <c r="G571" s="170">
        <f t="shared" si="116"/>
        <v>0</v>
      </c>
      <c r="H571" s="531">
        <f>ROUND(F571*'Actual Load'!$B$25/'Zonal Load'!$N$25,2)</f>
        <v>0</v>
      </c>
      <c r="I571" s="170">
        <f t="shared" si="117"/>
        <v>0</v>
      </c>
      <c r="J571" s="170">
        <f t="shared" si="118"/>
        <v>0</v>
      </c>
      <c r="K571" s="170">
        <f t="shared" si="119"/>
        <v>0</v>
      </c>
      <c r="L571" s="655">
        <f>E571*'Interest Over Collect'!$J$13</f>
        <v>0</v>
      </c>
      <c r="M571" s="170">
        <f t="shared" si="121"/>
        <v>0</v>
      </c>
      <c r="N571" s="192"/>
    </row>
    <row r="572" spans="2:14" s="174" customFormat="1">
      <c r="B572" s="23" t="s">
        <v>32</v>
      </c>
      <c r="C572" s="211">
        <v>0</v>
      </c>
      <c r="D572" s="214">
        <v>0.1349215200531258</v>
      </c>
      <c r="E572" s="212">
        <v>0.1349215200531258</v>
      </c>
      <c r="F572" s="213">
        <f t="shared" si="115"/>
        <v>381648.59</v>
      </c>
      <c r="G572" s="170">
        <f t="shared" si="116"/>
        <v>12280.826598275617</v>
      </c>
      <c r="H572" s="531">
        <f>ROUND(F572*'Actual Load'!$B$13/'Zonal Load'!$N$13,2)</f>
        <v>366113.03</v>
      </c>
      <c r="I572" s="170">
        <f t="shared" si="117"/>
        <v>370040.76</v>
      </c>
      <c r="J572" s="170">
        <f t="shared" si="118"/>
        <v>-11607.830000000016</v>
      </c>
      <c r="K572" s="170">
        <f t="shared" si="119"/>
        <v>672.99659827560026</v>
      </c>
      <c r="L572" s="655">
        <f>E572*'Interest Over Collect'!$J$13</f>
        <v>1907.5204505110926</v>
      </c>
      <c r="M572" s="170">
        <f>+K572+L572</f>
        <v>2580.5170487866926</v>
      </c>
      <c r="N572" s="192"/>
    </row>
    <row r="573" spans="2:14" s="174" customFormat="1">
      <c r="B573" s="23" t="s">
        <v>33</v>
      </c>
      <c r="C573" s="211">
        <v>0</v>
      </c>
      <c r="D573" s="214">
        <v>1.5665207953466251E-2</v>
      </c>
      <c r="E573" s="212">
        <v>1.5665207953466251E-2</v>
      </c>
      <c r="F573" s="213">
        <f t="shared" si="115"/>
        <v>44311.72</v>
      </c>
      <c r="G573" s="170">
        <f t="shared" si="116"/>
        <v>1425.8785583404051</v>
      </c>
      <c r="H573" s="531">
        <f>ROUND(F573*'Actual Load'!$B$23/'Zonal Load'!$N$23,2)</f>
        <v>60294.33</v>
      </c>
      <c r="I573" s="170">
        <f t="shared" si="117"/>
        <v>60941.18</v>
      </c>
      <c r="J573" s="170">
        <f t="shared" si="118"/>
        <v>16629.46</v>
      </c>
      <c r="K573" s="170">
        <f t="shared" si="119"/>
        <v>18055.338558340405</v>
      </c>
      <c r="L573" s="655">
        <f>E573*'Interest Over Collect'!$J$13</f>
        <v>221.47471004610586</v>
      </c>
      <c r="M573" s="170">
        <f>+K573+L573</f>
        <v>18276.813268386511</v>
      </c>
      <c r="N573" s="192"/>
    </row>
    <row r="574" spans="2:14" s="174" customFormat="1">
      <c r="B574" s="24" t="s">
        <v>34</v>
      </c>
      <c r="C574" s="211">
        <v>0</v>
      </c>
      <c r="D574" s="214">
        <v>0</v>
      </c>
      <c r="E574" s="212">
        <v>0</v>
      </c>
      <c r="F574" s="213">
        <f t="shared" si="115"/>
        <v>0</v>
      </c>
      <c r="G574" s="170">
        <f t="shared" si="116"/>
        <v>0</v>
      </c>
      <c r="H574" s="531">
        <f>ROUND(F574*'Actual Load'!$B$20/'Zonal Load'!$N$20,2)</f>
        <v>0</v>
      </c>
      <c r="I574" s="170">
        <f t="shared" si="117"/>
        <v>0</v>
      </c>
      <c r="J574" s="170">
        <f t="shared" si="118"/>
        <v>0</v>
      </c>
      <c r="K574" s="170">
        <f t="shared" si="119"/>
        <v>0</v>
      </c>
      <c r="L574" s="655">
        <f>E574*'Interest Over Collect'!$J$13</f>
        <v>0</v>
      </c>
      <c r="M574" s="170">
        <f>+K574+L574</f>
        <v>0</v>
      </c>
      <c r="N574" s="192"/>
    </row>
    <row r="575" spans="2:14">
      <c r="B575" s="25"/>
      <c r="C575" s="26">
        <f>SUM(C551:C574)</f>
        <v>0</v>
      </c>
      <c r="D575" s="27">
        <f>SUM(D551:D574)</f>
        <v>1.0000000000000002</v>
      </c>
      <c r="E575" s="95">
        <f>SUM(E551:E574)</f>
        <v>1.0000000000000002</v>
      </c>
      <c r="F575" s="90">
        <f>SUM(F551:F574)</f>
        <v>2828671</v>
      </c>
      <c r="G575" s="76">
        <f t="shared" ref="G575:M575" si="122">SUM(G553:G574)</f>
        <v>91022.000000000015</v>
      </c>
      <c r="H575" s="131">
        <f t="shared" si="122"/>
        <v>2729524.26</v>
      </c>
      <c r="I575" s="77">
        <f t="shared" si="122"/>
        <v>2758807.1200000006</v>
      </c>
      <c r="J575" s="77">
        <f t="shared" si="122"/>
        <v>-69863.879999999655</v>
      </c>
      <c r="K575" s="563">
        <f t="shared" si="122"/>
        <v>21158.120000000381</v>
      </c>
      <c r="L575" s="656">
        <f t="shared" si="122"/>
        <v>14138.000000000004</v>
      </c>
      <c r="M575" s="77">
        <f t="shared" si="122"/>
        <v>35296.120000000388</v>
      </c>
      <c r="N575" s="192"/>
    </row>
    <row r="576" spans="2:14">
      <c r="F576" s="3" t="s">
        <v>623</v>
      </c>
      <c r="G576" s="21"/>
      <c r="I576" s="569" t="s">
        <v>621</v>
      </c>
      <c r="J576" s="570" t="s">
        <v>622</v>
      </c>
      <c r="N576" s="192"/>
    </row>
    <row r="577" spans="2:14">
      <c r="E577" s="479" t="s">
        <v>610</v>
      </c>
      <c r="F577" s="168">
        <f>ROUND((I577*M$884)+(J577*M$888),0)</f>
        <v>2828671</v>
      </c>
      <c r="I577" s="571">
        <v>2882825.0268481802</v>
      </c>
      <c r="J577" s="571">
        <v>2647473.4796920242</v>
      </c>
      <c r="N577" s="192"/>
    </row>
    <row r="578" spans="2:14">
      <c r="E578" s="480" t="s">
        <v>611</v>
      </c>
      <c r="F578" s="169">
        <f>ROUND((I578*M$884)+(J578*M$888),0)</f>
        <v>2737649</v>
      </c>
      <c r="G578" s="528">
        <f>F577-F578</f>
        <v>91022</v>
      </c>
      <c r="H578" s="529"/>
      <c r="I578" s="572">
        <f>'Att GG at 12.38 '!N85</f>
        <v>2790358.965180092</v>
      </c>
      <c r="J578" s="572">
        <f>'Att GG at 10.82'!N85</f>
        <v>2561285.2034184625</v>
      </c>
      <c r="L578" s="81"/>
      <c r="N578" s="192"/>
    </row>
    <row r="579" spans="2:14">
      <c r="E579" s="91" t="s">
        <v>153</v>
      </c>
      <c r="F579" s="175">
        <f>I575</f>
        <v>2758807.1200000006</v>
      </c>
      <c r="G579" s="528">
        <f>F579-F577</f>
        <v>-69863.879999999423</v>
      </c>
      <c r="H579" s="530"/>
      <c r="K579" s="86"/>
      <c r="L579" s="644"/>
      <c r="M579" s="86"/>
      <c r="N579" s="192"/>
    </row>
    <row r="580" spans="2:14">
      <c r="E580" s="91"/>
      <c r="F580" s="91"/>
      <c r="G580" s="528">
        <f>G578+G579</f>
        <v>21158.120000000577</v>
      </c>
      <c r="H580" s="529">
        <f>F579-F578</f>
        <v>21158.120000000577</v>
      </c>
      <c r="K580" s="86"/>
      <c r="L580" s="86"/>
      <c r="M580" s="86"/>
      <c r="N580" s="192"/>
    </row>
    <row r="581" spans="2:14">
      <c r="B581" s="79"/>
      <c r="C581" s="79"/>
      <c r="D581" s="79"/>
      <c r="E581" s="79"/>
      <c r="F581" s="79"/>
      <c r="G581" s="79"/>
      <c r="H581" s="79"/>
      <c r="I581" s="79"/>
      <c r="J581" s="105"/>
      <c r="K581" s="79"/>
      <c r="L581" s="79"/>
      <c r="M581" s="79"/>
      <c r="N581" s="192"/>
    </row>
    <row r="582" spans="2:14">
      <c r="L582" s="174"/>
      <c r="N582" s="192"/>
    </row>
    <row r="583" spans="2:14">
      <c r="B583" s="678" t="s">
        <v>0</v>
      </c>
      <c r="C583" s="679"/>
      <c r="D583" s="680" t="s">
        <v>689</v>
      </c>
      <c r="E583" s="681"/>
      <c r="F583" s="681"/>
      <c r="G583" s="681"/>
      <c r="H583" s="682"/>
      <c r="I583" s="142"/>
      <c r="J583" s="1"/>
      <c r="N583" s="192"/>
    </row>
    <row r="584" spans="2:14" ht="15.75" customHeight="1">
      <c r="B584" s="665" t="s">
        <v>1</v>
      </c>
      <c r="C584" s="666"/>
      <c r="D584" s="667" t="s">
        <v>251</v>
      </c>
      <c r="E584" s="668"/>
      <c r="F584" s="668"/>
      <c r="G584" s="668"/>
      <c r="H584" s="669"/>
      <c r="I584" s="143"/>
      <c r="J584" s="1"/>
      <c r="N584" s="192"/>
    </row>
    <row r="585" spans="2:14">
      <c r="B585" s="665" t="s">
        <v>3</v>
      </c>
      <c r="C585" s="666"/>
      <c r="D585" s="670" t="s">
        <v>252</v>
      </c>
      <c r="E585" s="671"/>
      <c r="F585" s="671"/>
      <c r="G585" s="671"/>
      <c r="H585" s="672"/>
      <c r="I585" s="144"/>
      <c r="J585" s="1"/>
      <c r="N585" s="192"/>
    </row>
    <row r="586" spans="2:14">
      <c r="B586" s="673" t="s">
        <v>5</v>
      </c>
      <c r="C586" s="674"/>
      <c r="D586" s="675" t="s">
        <v>29</v>
      </c>
      <c r="E586" s="676"/>
      <c r="F586" s="676"/>
      <c r="G586" s="676"/>
      <c r="H586" s="677"/>
      <c r="I586" s="145"/>
      <c r="J586" s="1"/>
      <c r="N586" s="192"/>
    </row>
    <row r="587" spans="2:14">
      <c r="B587" s="74"/>
      <c r="C587" s="74"/>
      <c r="D587" s="74"/>
      <c r="E587" s="74"/>
      <c r="F587" s="74"/>
      <c r="J587" s="99" t="s">
        <v>155</v>
      </c>
      <c r="K587" s="3" t="s">
        <v>40</v>
      </c>
      <c r="M587" s="3" t="s">
        <v>54</v>
      </c>
      <c r="N587" s="192"/>
    </row>
    <row r="588" spans="2:14">
      <c r="B588" s="74"/>
      <c r="C588" s="74"/>
      <c r="D588" s="74"/>
      <c r="E588" s="74"/>
      <c r="F588" s="74"/>
      <c r="G588" s="3" t="s">
        <v>37</v>
      </c>
      <c r="H588" s="127" t="s">
        <v>38</v>
      </c>
      <c r="I588" s="92" t="s">
        <v>39</v>
      </c>
      <c r="J588" s="100" t="s">
        <v>156</v>
      </c>
      <c r="K588" s="4" t="s">
        <v>157</v>
      </c>
      <c r="L588" s="4" t="s">
        <v>53</v>
      </c>
      <c r="M588" s="4" t="s">
        <v>158</v>
      </c>
      <c r="N588" s="192"/>
    </row>
    <row r="589" spans="2:14">
      <c r="B589" s="74"/>
      <c r="C589" s="74"/>
      <c r="D589" s="74"/>
      <c r="E589" s="74"/>
      <c r="F589" s="74"/>
      <c r="G589" s="5"/>
      <c r="H589" s="662" t="s">
        <v>41</v>
      </c>
      <c r="I589" s="663"/>
      <c r="J589" s="664"/>
      <c r="K589" s="6" t="s">
        <v>42</v>
      </c>
      <c r="L589" s="5"/>
      <c r="M589" s="6" t="s">
        <v>43</v>
      </c>
      <c r="N589" s="192"/>
    </row>
    <row r="590" spans="2:14">
      <c r="B590" s="75"/>
      <c r="C590" s="7">
        <v>0.2</v>
      </c>
      <c r="D590" s="7">
        <v>0.8</v>
      </c>
      <c r="E590" s="7"/>
      <c r="F590" s="87" t="s">
        <v>154</v>
      </c>
      <c r="G590" s="8" t="s">
        <v>44</v>
      </c>
      <c r="H590" s="128"/>
      <c r="I590" s="5"/>
      <c r="J590" s="101" t="s">
        <v>45</v>
      </c>
      <c r="K590" s="8" t="s">
        <v>46</v>
      </c>
      <c r="L590" s="9"/>
      <c r="M590" s="8" t="s">
        <v>47</v>
      </c>
      <c r="N590" s="192"/>
    </row>
    <row r="591" spans="2:14">
      <c r="B591" s="10"/>
      <c r="C591" s="68" t="s">
        <v>8</v>
      </c>
      <c r="D591" s="68" t="s">
        <v>9</v>
      </c>
      <c r="E591" s="68" t="s">
        <v>10</v>
      </c>
      <c r="F591" s="88" t="s">
        <v>7</v>
      </c>
      <c r="G591" s="11" t="s">
        <v>48</v>
      </c>
      <c r="H591" s="129" t="s">
        <v>49</v>
      </c>
      <c r="I591" s="12" t="s">
        <v>152</v>
      </c>
      <c r="J591" s="102" t="s">
        <v>48</v>
      </c>
      <c r="K591" s="12" t="s">
        <v>48</v>
      </c>
      <c r="L591" s="12" t="s">
        <v>50</v>
      </c>
      <c r="M591" s="12" t="s">
        <v>51</v>
      </c>
      <c r="N591" s="192"/>
    </row>
    <row r="592" spans="2:14" ht="31.5">
      <c r="B592" s="13" t="s">
        <v>12</v>
      </c>
      <c r="C592" s="14" t="s">
        <v>13</v>
      </c>
      <c r="D592" s="14" t="s">
        <v>13</v>
      </c>
      <c r="E592" s="15" t="s">
        <v>13</v>
      </c>
      <c r="F592" s="89" t="s">
        <v>14</v>
      </c>
      <c r="G592" s="16" t="s">
        <v>52</v>
      </c>
      <c r="H592" s="130"/>
      <c r="I592" s="17"/>
      <c r="J592" s="103" t="s">
        <v>52</v>
      </c>
      <c r="K592" s="17"/>
      <c r="L592" s="17"/>
      <c r="M592" s="16" t="s">
        <v>52</v>
      </c>
      <c r="N592" s="192"/>
    </row>
    <row r="593" spans="1:14" s="174" customFormat="1">
      <c r="B593" s="18" t="s">
        <v>15</v>
      </c>
      <c r="C593" s="211">
        <v>0</v>
      </c>
      <c r="D593" s="214">
        <v>0</v>
      </c>
      <c r="E593" s="212">
        <v>0</v>
      </c>
      <c r="F593" s="215">
        <f>ROUND(+E593*F$619,2)</f>
        <v>0</v>
      </c>
      <c r="G593" s="170">
        <f>(F$619-F$620)*E593</f>
        <v>0</v>
      </c>
      <c r="H593" s="531">
        <f>ROUND(F593*'Actual Load'!$B$8/'Zonal Load'!$N$8,2)</f>
        <v>0</v>
      </c>
      <c r="I593" s="170">
        <f t="shared" ref="I593:I616" si="123">ROUND((H593*$H$912)/$H$910,2)</f>
        <v>0</v>
      </c>
      <c r="J593" s="170">
        <f>I593-F593</f>
        <v>0</v>
      </c>
      <c r="K593" s="170">
        <f>+G593+J593</f>
        <v>0</v>
      </c>
      <c r="L593" s="655">
        <f>E593*0</f>
        <v>0</v>
      </c>
      <c r="M593" s="170">
        <f t="shared" ref="M593:M613" si="124">+K593+L593</f>
        <v>0</v>
      </c>
      <c r="N593" s="192"/>
    </row>
    <row r="594" spans="1:14" s="174" customFormat="1">
      <c r="B594" s="23" t="s">
        <v>16</v>
      </c>
      <c r="C594" s="211">
        <v>0</v>
      </c>
      <c r="D594" s="214">
        <v>0</v>
      </c>
      <c r="E594" s="212">
        <v>0</v>
      </c>
      <c r="F594" s="213">
        <f>ROUND(+E594*F$619,2)</f>
        <v>0</v>
      </c>
      <c r="G594" s="170">
        <f t="shared" ref="G594:G615" si="125">(F$619-F$620)*E594</f>
        <v>0</v>
      </c>
      <c r="H594" s="531">
        <f>ROUND(F594*'Actual Load'!$B$14/'Zonal Load'!$N$14,2)</f>
        <v>0</v>
      </c>
      <c r="I594" s="170">
        <f t="shared" si="123"/>
        <v>0</v>
      </c>
      <c r="J594" s="170">
        <f>I594-F594</f>
        <v>0</v>
      </c>
      <c r="K594" s="170">
        <f>+G594+J594</f>
        <v>0</v>
      </c>
      <c r="L594" s="655">
        <f t="shared" ref="L594:L616" si="126">E594*0</f>
        <v>0</v>
      </c>
      <c r="M594" s="170">
        <f t="shared" si="124"/>
        <v>0</v>
      </c>
      <c r="N594" s="192"/>
    </row>
    <row r="595" spans="1:14" s="174" customFormat="1">
      <c r="B595" s="23" t="s">
        <v>190</v>
      </c>
      <c r="C595" s="211">
        <f>0%*0.421</f>
        <v>0</v>
      </c>
      <c r="D595" s="214">
        <f>0%*0.421</f>
        <v>0</v>
      </c>
      <c r="E595" s="212">
        <v>0</v>
      </c>
      <c r="F595" s="213">
        <f>ROUND(+E595*F$619,2)</f>
        <v>0</v>
      </c>
      <c r="G595" s="170">
        <f t="shared" si="125"/>
        <v>0</v>
      </c>
      <c r="H595" s="531">
        <f>ROUND(F595*'Actual Load'!$B$9/'Zonal Load'!$N$9,2)</f>
        <v>0</v>
      </c>
      <c r="I595" s="170">
        <f t="shared" si="123"/>
        <v>0</v>
      </c>
      <c r="J595" s="170">
        <f>I595-F595</f>
        <v>0</v>
      </c>
      <c r="K595" s="170">
        <f>+G595+J595</f>
        <v>0</v>
      </c>
      <c r="L595" s="655">
        <f t="shared" si="126"/>
        <v>0</v>
      </c>
      <c r="M595" s="170">
        <f t="shared" si="124"/>
        <v>0</v>
      </c>
      <c r="N595" s="192"/>
    </row>
    <row r="596" spans="1:14" s="174" customFormat="1">
      <c r="B596" s="125" t="s">
        <v>249</v>
      </c>
      <c r="C596" s="211">
        <f>0%*0.579</f>
        <v>0</v>
      </c>
      <c r="D596" s="214">
        <f>0%*0.579</f>
        <v>0</v>
      </c>
      <c r="E596" s="212">
        <v>0</v>
      </c>
      <c r="F596" s="213">
        <f>ROUND(+E596*F$619,2)</f>
        <v>0</v>
      </c>
      <c r="G596" s="170">
        <f t="shared" si="125"/>
        <v>0</v>
      </c>
      <c r="H596" s="531">
        <f>ROUND(F596*'Actual Load'!$B$10/'Zonal Load'!$N$10,2)</f>
        <v>0</v>
      </c>
      <c r="I596" s="170">
        <f t="shared" si="123"/>
        <v>0</v>
      </c>
      <c r="J596" s="170">
        <f>I596-F596</f>
        <v>0</v>
      </c>
      <c r="K596" s="170">
        <f>+G596+J596</f>
        <v>0</v>
      </c>
      <c r="L596" s="655">
        <f t="shared" si="126"/>
        <v>0</v>
      </c>
      <c r="M596" s="170">
        <f t="shared" si="124"/>
        <v>0</v>
      </c>
      <c r="N596" s="192"/>
    </row>
    <row r="597" spans="1:14" s="174" customFormat="1">
      <c r="B597" s="23" t="s">
        <v>17</v>
      </c>
      <c r="C597" s="211">
        <v>0</v>
      </c>
      <c r="D597" s="214">
        <v>0</v>
      </c>
      <c r="E597" s="212">
        <v>0</v>
      </c>
      <c r="F597" s="213">
        <f>ROUND(+E597*F$619,2)</f>
        <v>0</v>
      </c>
      <c r="G597" s="170">
        <f t="shared" si="125"/>
        <v>0</v>
      </c>
      <c r="H597" s="531">
        <f>ROUND(F597*'Actual Load'!$B$26/'Zonal Load'!$N$26,2)</f>
        <v>0</v>
      </c>
      <c r="I597" s="170">
        <f t="shared" si="123"/>
        <v>0</v>
      </c>
      <c r="J597" s="170">
        <f t="shared" ref="J597:J616" si="127">I597-F597</f>
        <v>0</v>
      </c>
      <c r="K597" s="170">
        <f t="shared" ref="K597:K616" si="128">+G597+J597</f>
        <v>0</v>
      </c>
      <c r="L597" s="655">
        <f t="shared" si="126"/>
        <v>0</v>
      </c>
      <c r="M597" s="170">
        <f t="shared" si="124"/>
        <v>0</v>
      </c>
      <c r="N597" s="192"/>
    </row>
    <row r="598" spans="1:14" s="174" customFormat="1">
      <c r="B598" s="23" t="s">
        <v>18</v>
      </c>
      <c r="C598" s="211">
        <v>0</v>
      </c>
      <c r="D598" s="214">
        <v>0</v>
      </c>
      <c r="E598" s="212">
        <v>0</v>
      </c>
      <c r="F598" s="213">
        <f t="shared" ref="F598:F615" si="129">ROUND(+E598*F$619,2)</f>
        <v>0</v>
      </c>
      <c r="G598" s="170">
        <f t="shared" si="125"/>
        <v>0</v>
      </c>
      <c r="H598" s="531">
        <f>ROUND(F598*'Actual Load'!$B$16/'Zonal Load'!$N$16,2)</f>
        <v>0</v>
      </c>
      <c r="I598" s="170">
        <f t="shared" si="123"/>
        <v>0</v>
      </c>
      <c r="J598" s="170">
        <f t="shared" si="127"/>
        <v>0</v>
      </c>
      <c r="K598" s="170">
        <f t="shared" si="128"/>
        <v>0</v>
      </c>
      <c r="L598" s="655">
        <f t="shared" si="126"/>
        <v>0</v>
      </c>
      <c r="M598" s="170">
        <f t="shared" si="124"/>
        <v>0</v>
      </c>
      <c r="N598" s="192"/>
    </row>
    <row r="599" spans="1:14" s="174" customFormat="1">
      <c r="B599" s="23" t="s">
        <v>19</v>
      </c>
      <c r="C599" s="211">
        <v>0</v>
      </c>
      <c r="D599" s="214">
        <v>0</v>
      </c>
      <c r="E599" s="212">
        <v>0</v>
      </c>
      <c r="F599" s="213">
        <f t="shared" si="129"/>
        <v>0</v>
      </c>
      <c r="G599" s="170">
        <f t="shared" si="125"/>
        <v>0</v>
      </c>
      <c r="H599" s="531">
        <f>ROUND(F599*'Actual Load'!$B$22/'Zonal Load'!$N$22,2)</f>
        <v>0</v>
      </c>
      <c r="I599" s="170">
        <f t="shared" si="123"/>
        <v>0</v>
      </c>
      <c r="J599" s="170">
        <f t="shared" si="127"/>
        <v>0</v>
      </c>
      <c r="K599" s="170">
        <f t="shared" si="128"/>
        <v>0</v>
      </c>
      <c r="L599" s="655">
        <f t="shared" si="126"/>
        <v>0</v>
      </c>
      <c r="M599" s="170">
        <f t="shared" si="124"/>
        <v>0</v>
      </c>
      <c r="N599" s="192"/>
    </row>
    <row r="600" spans="1:14" s="174" customFormat="1">
      <c r="B600" s="23" t="s">
        <v>20</v>
      </c>
      <c r="C600" s="211">
        <v>0</v>
      </c>
      <c r="D600" s="214">
        <v>0</v>
      </c>
      <c r="E600" s="212">
        <v>0</v>
      </c>
      <c r="F600" s="213">
        <f t="shared" si="129"/>
        <v>0</v>
      </c>
      <c r="G600" s="170">
        <f t="shared" si="125"/>
        <v>0</v>
      </c>
      <c r="H600" s="531">
        <f>ROUND(F600*'Actual Load'!$B$17/'Zonal Load'!$N$17,2)</f>
        <v>0</v>
      </c>
      <c r="I600" s="170">
        <f t="shared" si="123"/>
        <v>0</v>
      </c>
      <c r="J600" s="170">
        <f t="shared" si="127"/>
        <v>0</v>
      </c>
      <c r="K600" s="170">
        <f t="shared" si="128"/>
        <v>0</v>
      </c>
      <c r="L600" s="655">
        <f t="shared" si="126"/>
        <v>0</v>
      </c>
      <c r="M600" s="170">
        <f t="shared" si="124"/>
        <v>0</v>
      </c>
      <c r="N600" s="192"/>
    </row>
    <row r="601" spans="1:14" s="174" customFormat="1">
      <c r="B601" s="23" t="s">
        <v>21</v>
      </c>
      <c r="C601" s="211">
        <v>0</v>
      </c>
      <c r="D601" s="214">
        <v>0</v>
      </c>
      <c r="E601" s="212">
        <v>0</v>
      </c>
      <c r="F601" s="213">
        <f t="shared" si="129"/>
        <v>0</v>
      </c>
      <c r="G601" s="170">
        <f t="shared" si="125"/>
        <v>0</v>
      </c>
      <c r="H601" s="531">
        <f>ROUND(F601*'Actual Load'!$B$15/'Zonal Load'!$N$15,2)</f>
        <v>0</v>
      </c>
      <c r="I601" s="170">
        <f t="shared" si="123"/>
        <v>0</v>
      </c>
      <c r="J601" s="170">
        <f t="shared" si="127"/>
        <v>0</v>
      </c>
      <c r="K601" s="170">
        <f t="shared" si="128"/>
        <v>0</v>
      </c>
      <c r="L601" s="655">
        <f t="shared" si="126"/>
        <v>0</v>
      </c>
      <c r="M601" s="170">
        <f t="shared" si="124"/>
        <v>0</v>
      </c>
      <c r="N601" s="192"/>
    </row>
    <row r="602" spans="1:14" s="174" customFormat="1">
      <c r="B602" s="23" t="s">
        <v>22</v>
      </c>
      <c r="C602" s="211">
        <v>0</v>
      </c>
      <c r="D602" s="214">
        <v>0</v>
      </c>
      <c r="E602" s="212">
        <v>1.75114914939136E-3</v>
      </c>
      <c r="F602" s="213">
        <f t="shared" si="129"/>
        <v>0</v>
      </c>
      <c r="G602" s="170">
        <f t="shared" si="125"/>
        <v>0</v>
      </c>
      <c r="H602" s="531">
        <f>ROUND(F602*'Actual Load'!$B$4/'Zonal Load'!$N$4,2)</f>
        <v>0</v>
      </c>
      <c r="I602" s="170">
        <f t="shared" si="123"/>
        <v>0</v>
      </c>
      <c r="J602" s="170">
        <f t="shared" si="127"/>
        <v>0</v>
      </c>
      <c r="K602" s="170">
        <f t="shared" si="128"/>
        <v>0</v>
      </c>
      <c r="L602" s="655">
        <f t="shared" si="126"/>
        <v>0</v>
      </c>
      <c r="M602" s="170">
        <f t="shared" si="124"/>
        <v>0</v>
      </c>
      <c r="N602" s="192"/>
    </row>
    <row r="603" spans="1:14" s="174" customFormat="1">
      <c r="B603" s="23" t="s">
        <v>23</v>
      </c>
      <c r="C603" s="211">
        <v>0</v>
      </c>
      <c r="D603" s="214">
        <v>0</v>
      </c>
      <c r="E603" s="212">
        <v>0</v>
      </c>
      <c r="F603" s="213">
        <f t="shared" si="129"/>
        <v>0</v>
      </c>
      <c r="G603" s="170">
        <f t="shared" si="125"/>
        <v>0</v>
      </c>
      <c r="H603" s="531">
        <f>ROUND(F603*'Actual Load'!$B$11/'Zonal Load'!$N$11,2)</f>
        <v>0</v>
      </c>
      <c r="I603" s="170">
        <f t="shared" si="123"/>
        <v>0</v>
      </c>
      <c r="J603" s="170">
        <f t="shared" si="127"/>
        <v>0</v>
      </c>
      <c r="K603" s="170">
        <f t="shared" si="128"/>
        <v>0</v>
      </c>
      <c r="L603" s="655">
        <f t="shared" si="126"/>
        <v>0</v>
      </c>
      <c r="M603" s="170">
        <f t="shared" si="124"/>
        <v>0</v>
      </c>
      <c r="N603" s="192"/>
    </row>
    <row r="604" spans="1:14" s="174" customFormat="1">
      <c r="B604" s="23" t="s">
        <v>25</v>
      </c>
      <c r="C604" s="211">
        <v>0</v>
      </c>
      <c r="D604" s="214">
        <v>0</v>
      </c>
      <c r="E604" s="212">
        <v>0</v>
      </c>
      <c r="F604" s="213">
        <f t="shared" si="129"/>
        <v>0</v>
      </c>
      <c r="G604" s="170">
        <f t="shared" si="125"/>
        <v>0</v>
      </c>
      <c r="H604" s="531">
        <f>ROUND(F604*'Actual Load'!$B$7/'Zonal Load'!$N$7,2)</f>
        <v>0</v>
      </c>
      <c r="I604" s="170">
        <f t="shared" si="123"/>
        <v>0</v>
      </c>
      <c r="J604" s="170">
        <f t="shared" si="127"/>
        <v>0</v>
      </c>
      <c r="K604" s="170">
        <f t="shared" si="128"/>
        <v>0</v>
      </c>
      <c r="L604" s="655">
        <f t="shared" si="126"/>
        <v>0</v>
      </c>
      <c r="M604" s="170">
        <f t="shared" si="124"/>
        <v>0</v>
      </c>
      <c r="N604" s="192"/>
    </row>
    <row r="605" spans="1:14" s="174" customFormat="1">
      <c r="B605" s="23" t="s">
        <v>24</v>
      </c>
      <c r="C605" s="211">
        <v>0</v>
      </c>
      <c r="D605" s="214">
        <v>0</v>
      </c>
      <c r="E605" s="212">
        <v>0</v>
      </c>
      <c r="F605" s="213">
        <f t="shared" si="129"/>
        <v>0</v>
      </c>
      <c r="G605" s="170">
        <f t="shared" si="125"/>
        <v>0</v>
      </c>
      <c r="H605" s="531">
        <f>ROUND(F605*'Actual Load'!$B$6/'Zonal Load'!$N$6,2)</f>
        <v>0</v>
      </c>
      <c r="I605" s="170">
        <f t="shared" si="123"/>
        <v>0</v>
      </c>
      <c r="J605" s="170">
        <f t="shared" si="127"/>
        <v>0</v>
      </c>
      <c r="K605" s="170">
        <f t="shared" si="128"/>
        <v>0</v>
      </c>
      <c r="L605" s="655">
        <f t="shared" si="126"/>
        <v>0</v>
      </c>
      <c r="M605" s="170">
        <f t="shared" si="124"/>
        <v>0</v>
      </c>
      <c r="N605" s="192"/>
    </row>
    <row r="606" spans="1:14" s="174" customFormat="1">
      <c r="B606" s="23" t="s">
        <v>116</v>
      </c>
      <c r="C606" s="211">
        <v>0</v>
      </c>
      <c r="D606" s="214">
        <v>0</v>
      </c>
      <c r="E606" s="212">
        <v>0</v>
      </c>
      <c r="F606" s="213">
        <f t="shared" si="129"/>
        <v>0</v>
      </c>
      <c r="G606" s="170">
        <f t="shared" si="125"/>
        <v>0</v>
      </c>
      <c r="H606" s="531">
        <f>ROUND(F606*'Actual Load'!$B$18/'Zonal Load'!$N$18,2)</f>
        <v>0</v>
      </c>
      <c r="I606" s="170">
        <f t="shared" si="123"/>
        <v>0</v>
      </c>
      <c r="J606" s="170">
        <f t="shared" si="127"/>
        <v>0</v>
      </c>
      <c r="K606" s="170">
        <f t="shared" si="128"/>
        <v>0</v>
      </c>
      <c r="L606" s="655">
        <f t="shared" si="126"/>
        <v>0</v>
      </c>
      <c r="M606" s="170">
        <f t="shared" si="124"/>
        <v>0</v>
      </c>
      <c r="N606" s="192"/>
    </row>
    <row r="607" spans="1:14" s="174" customFormat="1">
      <c r="B607" s="23" t="s">
        <v>117</v>
      </c>
      <c r="C607" s="211">
        <v>0</v>
      </c>
      <c r="D607" s="214">
        <v>0</v>
      </c>
      <c r="E607" s="212">
        <v>0</v>
      </c>
      <c r="F607" s="213">
        <f t="shared" si="129"/>
        <v>0</v>
      </c>
      <c r="G607" s="170">
        <f t="shared" si="125"/>
        <v>0</v>
      </c>
      <c r="H607" s="531">
        <f>ROUND(F607*'Actual Load'!$B$17/'Zonal Load'!$N$17,2)</f>
        <v>0</v>
      </c>
      <c r="I607" s="170">
        <f t="shared" si="123"/>
        <v>0</v>
      </c>
      <c r="J607" s="170">
        <f t="shared" si="127"/>
        <v>0</v>
      </c>
      <c r="K607" s="170">
        <f t="shared" si="128"/>
        <v>0</v>
      </c>
      <c r="L607" s="655">
        <f t="shared" si="126"/>
        <v>0</v>
      </c>
      <c r="M607" s="170">
        <f t="shared" si="124"/>
        <v>0</v>
      </c>
      <c r="N607" s="192"/>
    </row>
    <row r="608" spans="1:14" s="174" customFormat="1">
      <c r="B608" s="23" t="s">
        <v>26</v>
      </c>
      <c r="C608" s="211">
        <v>0</v>
      </c>
      <c r="D608" s="214">
        <v>0</v>
      </c>
      <c r="E608" s="212">
        <v>0</v>
      </c>
      <c r="F608" s="213">
        <f t="shared" si="129"/>
        <v>0</v>
      </c>
      <c r="G608" s="170">
        <f t="shared" si="125"/>
        <v>0</v>
      </c>
      <c r="H608" s="531">
        <f>ROUND(F608*'Actual Load'!$B$12/'Zonal Load'!$N$12,2)</f>
        <v>0</v>
      </c>
      <c r="I608" s="170">
        <f t="shared" si="123"/>
        <v>0</v>
      </c>
      <c r="J608" s="170">
        <f t="shared" si="127"/>
        <v>0</v>
      </c>
      <c r="K608" s="170">
        <f t="shared" si="128"/>
        <v>0</v>
      </c>
      <c r="L608" s="655">
        <f t="shared" si="126"/>
        <v>0</v>
      </c>
      <c r="M608" s="170">
        <f t="shared" si="124"/>
        <v>0</v>
      </c>
      <c r="N608" s="192"/>
    </row>
    <row r="609" spans="2:14" s="174" customFormat="1">
      <c r="B609" s="23" t="s">
        <v>27</v>
      </c>
      <c r="C609" s="211">
        <v>0</v>
      </c>
      <c r="D609" s="214">
        <v>0</v>
      </c>
      <c r="E609" s="212">
        <v>0</v>
      </c>
      <c r="F609" s="213">
        <f t="shared" si="129"/>
        <v>0</v>
      </c>
      <c r="G609" s="170">
        <f t="shared" si="125"/>
        <v>0</v>
      </c>
      <c r="H609" s="531">
        <f>ROUND(F609*'Actual Load'!$B$24/'Zonal Load'!$N$24,2)</f>
        <v>0</v>
      </c>
      <c r="I609" s="170">
        <f t="shared" si="123"/>
        <v>0</v>
      </c>
      <c r="J609" s="170">
        <f t="shared" si="127"/>
        <v>0</v>
      </c>
      <c r="K609" s="170">
        <f t="shared" si="128"/>
        <v>0</v>
      </c>
      <c r="L609" s="655">
        <f t="shared" si="126"/>
        <v>0</v>
      </c>
      <c r="M609" s="170">
        <f t="shared" si="124"/>
        <v>0</v>
      </c>
      <c r="N609" s="192"/>
    </row>
    <row r="610" spans="2:14" s="174" customFormat="1">
      <c r="B610" s="23" t="s">
        <v>28</v>
      </c>
      <c r="C610" s="211">
        <v>0</v>
      </c>
      <c r="D610" s="214">
        <v>0</v>
      </c>
      <c r="E610" s="212">
        <v>0</v>
      </c>
      <c r="F610" s="213">
        <f t="shared" si="129"/>
        <v>0</v>
      </c>
      <c r="G610" s="170">
        <f t="shared" si="125"/>
        <v>0</v>
      </c>
      <c r="H610" s="531">
        <f>ROUND(F610*'Actual Load'!$B$5/'Zonal Load'!$N$5,2)</f>
        <v>0</v>
      </c>
      <c r="I610" s="170">
        <f t="shared" si="123"/>
        <v>0</v>
      </c>
      <c r="J610" s="170">
        <f t="shared" si="127"/>
        <v>0</v>
      </c>
      <c r="K610" s="170">
        <f t="shared" si="128"/>
        <v>0</v>
      </c>
      <c r="L610" s="655">
        <f t="shared" si="126"/>
        <v>0</v>
      </c>
      <c r="M610" s="170">
        <f t="shared" si="124"/>
        <v>0</v>
      </c>
      <c r="N610" s="192"/>
    </row>
    <row r="611" spans="2:14" s="174" customFormat="1">
      <c r="B611" s="23" t="s">
        <v>29</v>
      </c>
      <c r="C611" s="211">
        <v>0</v>
      </c>
      <c r="D611" s="214">
        <v>0</v>
      </c>
      <c r="E611" s="212">
        <v>0.68200430584373495</v>
      </c>
      <c r="F611" s="213">
        <f t="shared" si="129"/>
        <v>0</v>
      </c>
      <c r="G611" s="170">
        <f t="shared" si="125"/>
        <v>0</v>
      </c>
      <c r="H611" s="531">
        <f>ROUND(F611*'Actual Load'!$B$21/'Zonal Load'!$N$21,2)</f>
        <v>0</v>
      </c>
      <c r="I611" s="170">
        <f t="shared" si="123"/>
        <v>0</v>
      </c>
      <c r="J611" s="170">
        <f t="shared" si="127"/>
        <v>0</v>
      </c>
      <c r="K611" s="170">
        <f t="shared" si="128"/>
        <v>0</v>
      </c>
      <c r="L611" s="655">
        <f t="shared" si="126"/>
        <v>0</v>
      </c>
      <c r="M611" s="170">
        <f t="shared" si="124"/>
        <v>0</v>
      </c>
      <c r="N611" s="192"/>
    </row>
    <row r="612" spans="2:14" s="174" customFormat="1">
      <c r="B612" s="23" t="s">
        <v>30</v>
      </c>
      <c r="C612" s="211">
        <v>0</v>
      </c>
      <c r="D612" s="214">
        <v>0</v>
      </c>
      <c r="E612" s="212">
        <v>8.8180891160389685E-2</v>
      </c>
      <c r="F612" s="213">
        <f t="shared" si="129"/>
        <v>0</v>
      </c>
      <c r="G612" s="170">
        <f t="shared" si="125"/>
        <v>0</v>
      </c>
      <c r="H612" s="531">
        <f>ROUND(F612*'Actual Load'!$B$19/'Zonal Load'!$N$19,2)</f>
        <v>0</v>
      </c>
      <c r="I612" s="170">
        <f t="shared" si="123"/>
        <v>0</v>
      </c>
      <c r="J612" s="170">
        <f t="shared" si="127"/>
        <v>0</v>
      </c>
      <c r="K612" s="170">
        <f t="shared" si="128"/>
        <v>0</v>
      </c>
      <c r="L612" s="655">
        <f t="shared" si="126"/>
        <v>0</v>
      </c>
      <c r="M612" s="170">
        <f t="shared" si="124"/>
        <v>0</v>
      </c>
      <c r="N612" s="192"/>
    </row>
    <row r="613" spans="2:14" s="174" customFormat="1">
      <c r="B613" s="23" t="s">
        <v>31</v>
      </c>
      <c r="C613" s="211">
        <v>0</v>
      </c>
      <c r="D613" s="214">
        <v>0</v>
      </c>
      <c r="E613" s="212">
        <v>0</v>
      </c>
      <c r="F613" s="213">
        <f t="shared" si="129"/>
        <v>0</v>
      </c>
      <c r="G613" s="170">
        <f t="shared" si="125"/>
        <v>0</v>
      </c>
      <c r="H613" s="531">
        <f>ROUND(F613*'Actual Load'!$B$25/'Zonal Load'!$N$25,2)</f>
        <v>0</v>
      </c>
      <c r="I613" s="170">
        <f t="shared" si="123"/>
        <v>0</v>
      </c>
      <c r="J613" s="170">
        <f t="shared" si="127"/>
        <v>0</v>
      </c>
      <c r="K613" s="170">
        <f t="shared" si="128"/>
        <v>0</v>
      </c>
      <c r="L613" s="655">
        <f t="shared" si="126"/>
        <v>0</v>
      </c>
      <c r="M613" s="170">
        <f t="shared" si="124"/>
        <v>0</v>
      </c>
      <c r="N613" s="192"/>
    </row>
    <row r="614" spans="2:14" s="174" customFormat="1">
      <c r="B614" s="23" t="s">
        <v>32</v>
      </c>
      <c r="C614" s="211">
        <v>0</v>
      </c>
      <c r="D614" s="214">
        <v>0</v>
      </c>
      <c r="E614" s="212">
        <v>0.20261761168929929</v>
      </c>
      <c r="F614" s="213">
        <f t="shared" si="129"/>
        <v>0</v>
      </c>
      <c r="G614" s="170">
        <f t="shared" si="125"/>
        <v>0</v>
      </c>
      <c r="H614" s="531">
        <f>ROUND(F614*'Actual Load'!$B$13/'Zonal Load'!$N$13,2)</f>
        <v>0</v>
      </c>
      <c r="I614" s="170">
        <f t="shared" si="123"/>
        <v>0</v>
      </c>
      <c r="J614" s="170">
        <f t="shared" si="127"/>
        <v>0</v>
      </c>
      <c r="K614" s="170">
        <f t="shared" si="128"/>
        <v>0</v>
      </c>
      <c r="L614" s="655">
        <f t="shared" si="126"/>
        <v>0</v>
      </c>
      <c r="M614" s="170">
        <f>+K614+L614</f>
        <v>0</v>
      </c>
      <c r="N614" s="192"/>
    </row>
    <row r="615" spans="2:14" s="174" customFormat="1">
      <c r="B615" s="23" t="s">
        <v>33</v>
      </c>
      <c r="C615" s="211">
        <v>0</v>
      </c>
      <c r="D615" s="214">
        <v>0</v>
      </c>
      <c r="E615" s="212">
        <v>2.5446042157184746E-2</v>
      </c>
      <c r="F615" s="213">
        <f t="shared" si="129"/>
        <v>0</v>
      </c>
      <c r="G615" s="170">
        <f t="shared" si="125"/>
        <v>0</v>
      </c>
      <c r="H615" s="531">
        <f>ROUND(F615*'Actual Load'!$B$23/'Zonal Load'!$N$23,2)</f>
        <v>0</v>
      </c>
      <c r="I615" s="170">
        <f t="shared" si="123"/>
        <v>0</v>
      </c>
      <c r="J615" s="170">
        <f t="shared" si="127"/>
        <v>0</v>
      </c>
      <c r="K615" s="170">
        <f t="shared" si="128"/>
        <v>0</v>
      </c>
      <c r="L615" s="655">
        <f t="shared" si="126"/>
        <v>0</v>
      </c>
      <c r="M615" s="170">
        <f>+K615+L615</f>
        <v>0</v>
      </c>
      <c r="N615" s="192"/>
    </row>
    <row r="616" spans="2:14" s="174" customFormat="1">
      <c r="B616" s="24" t="s">
        <v>34</v>
      </c>
      <c r="C616" s="211">
        <v>0</v>
      </c>
      <c r="D616" s="214">
        <v>0</v>
      </c>
      <c r="E616" s="212">
        <v>0</v>
      </c>
      <c r="F616" s="213">
        <f>ROUND(+E616*F$619,2)</f>
        <v>0</v>
      </c>
      <c r="G616" s="170">
        <f>(F$619-F$620)*E616</f>
        <v>0</v>
      </c>
      <c r="H616" s="531">
        <f>ROUND(F616*'Actual Load'!$B$20/'Zonal Load'!$N$20,2)</f>
        <v>0</v>
      </c>
      <c r="I616" s="170">
        <f t="shared" si="123"/>
        <v>0</v>
      </c>
      <c r="J616" s="170">
        <f t="shared" si="127"/>
        <v>0</v>
      </c>
      <c r="K616" s="170">
        <f t="shared" si="128"/>
        <v>0</v>
      </c>
      <c r="L616" s="655">
        <f t="shared" si="126"/>
        <v>0</v>
      </c>
      <c r="M616" s="170">
        <f>+K616+L616</f>
        <v>0</v>
      </c>
      <c r="N616" s="192"/>
    </row>
    <row r="617" spans="2:14">
      <c r="B617" s="25"/>
      <c r="C617" s="26">
        <f>SUM(C593:C616)</f>
        <v>0</v>
      </c>
      <c r="D617" s="27">
        <f>SUM(D593:D616)</f>
        <v>0</v>
      </c>
      <c r="E617" s="95">
        <f>SUM(E593:E616)</f>
        <v>1</v>
      </c>
      <c r="F617" s="90">
        <f>SUM(F593:F616)</f>
        <v>0</v>
      </c>
      <c r="G617" s="76">
        <f t="shared" ref="G617:M617" si="130">SUM(G595:G616)</f>
        <v>0</v>
      </c>
      <c r="H617" s="131">
        <f t="shared" si="130"/>
        <v>0</v>
      </c>
      <c r="I617" s="77">
        <f t="shared" si="130"/>
        <v>0</v>
      </c>
      <c r="J617" s="77">
        <f t="shared" si="130"/>
        <v>0</v>
      </c>
      <c r="K617" s="77">
        <f t="shared" si="130"/>
        <v>0</v>
      </c>
      <c r="L617" s="656">
        <f t="shared" si="130"/>
        <v>0</v>
      </c>
      <c r="M617" s="77">
        <f t="shared" si="130"/>
        <v>0</v>
      </c>
      <c r="N617" s="192"/>
    </row>
    <row r="618" spans="2:14">
      <c r="F618" s="3" t="s">
        <v>623</v>
      </c>
      <c r="G618" s="21"/>
      <c r="I618" s="569" t="s">
        <v>621</v>
      </c>
      <c r="J618" s="570" t="s">
        <v>622</v>
      </c>
      <c r="N618" s="192"/>
    </row>
    <row r="619" spans="2:14">
      <c r="E619" s="479" t="s">
        <v>610</v>
      </c>
      <c r="F619" s="168">
        <f>ROUND((I619*M$884)+(J619*M$888),0)</f>
        <v>0</v>
      </c>
      <c r="I619" s="571">
        <v>0</v>
      </c>
      <c r="J619" s="571">
        <v>0</v>
      </c>
      <c r="N619" s="192"/>
    </row>
    <row r="620" spans="2:14">
      <c r="E620" s="480" t="s">
        <v>611</v>
      </c>
      <c r="F620" s="169">
        <f>ROUND((I620*M$884)+(J620*M$888),0)</f>
        <v>0</v>
      </c>
      <c r="G620" s="528">
        <f>F619-F620</f>
        <v>0</v>
      </c>
      <c r="H620" s="529"/>
      <c r="I620" s="572">
        <v>0</v>
      </c>
      <c r="J620" s="572">
        <v>0</v>
      </c>
      <c r="L620" s="81"/>
      <c r="N620" s="192"/>
    </row>
    <row r="621" spans="2:14">
      <c r="E621" s="91" t="s">
        <v>153</v>
      </c>
      <c r="F621" s="175">
        <f>I617</f>
        <v>0</v>
      </c>
      <c r="G621" s="528">
        <f>F621-F619</f>
        <v>0</v>
      </c>
      <c r="H621" s="530"/>
      <c r="K621" s="86"/>
      <c r="L621" s="644"/>
      <c r="M621" s="86"/>
      <c r="N621" s="192"/>
    </row>
    <row r="622" spans="2:14">
      <c r="E622" s="91"/>
      <c r="F622" s="91"/>
      <c r="G622" s="528">
        <f>G620+G621</f>
        <v>0</v>
      </c>
      <c r="H622" s="529">
        <f>F621-F620</f>
        <v>0</v>
      </c>
      <c r="K622" s="86"/>
      <c r="L622" s="86"/>
      <c r="M622" s="86"/>
      <c r="N622" s="192"/>
    </row>
    <row r="623" spans="2:14">
      <c r="B623" s="79"/>
      <c r="C623" s="79"/>
      <c r="D623" s="79"/>
      <c r="E623" s="79"/>
      <c r="F623" s="79"/>
      <c r="G623" s="79"/>
      <c r="H623" s="79"/>
      <c r="I623" s="79"/>
      <c r="J623" s="105"/>
      <c r="K623" s="79"/>
      <c r="L623" s="79"/>
      <c r="M623" s="79"/>
      <c r="N623" s="192"/>
    </row>
    <row r="624" spans="2:14">
      <c r="L624" s="174"/>
      <c r="N624" s="192"/>
    </row>
    <row r="625" spans="1:14">
      <c r="B625" s="678" t="s">
        <v>0</v>
      </c>
      <c r="C625" s="679"/>
      <c r="D625" s="680" t="s">
        <v>690</v>
      </c>
      <c r="E625" s="681"/>
      <c r="F625" s="681"/>
      <c r="G625" s="681"/>
      <c r="H625" s="682"/>
      <c r="I625" s="142"/>
      <c r="J625" s="1"/>
      <c r="N625" s="192"/>
    </row>
    <row r="626" spans="1:14" ht="15.75" customHeight="1">
      <c r="B626" s="665" t="s">
        <v>1</v>
      </c>
      <c r="C626" s="666"/>
      <c r="D626" s="667" t="s">
        <v>253</v>
      </c>
      <c r="E626" s="668"/>
      <c r="F626" s="668"/>
      <c r="G626" s="668"/>
      <c r="H626" s="669"/>
      <c r="I626" s="143"/>
      <c r="J626" s="1"/>
      <c r="N626" s="192"/>
    </row>
    <row r="627" spans="1:14">
      <c r="B627" s="665" t="s">
        <v>3</v>
      </c>
      <c r="C627" s="666"/>
      <c r="D627" s="670"/>
      <c r="E627" s="671"/>
      <c r="F627" s="671"/>
      <c r="G627" s="671"/>
      <c r="H627" s="672"/>
      <c r="I627" s="144"/>
      <c r="J627" s="1"/>
      <c r="N627" s="192"/>
    </row>
    <row r="628" spans="1:14">
      <c r="B628" s="673" t="s">
        <v>5</v>
      </c>
      <c r="C628" s="674"/>
      <c r="D628" s="675" t="s">
        <v>32</v>
      </c>
      <c r="E628" s="676"/>
      <c r="F628" s="676"/>
      <c r="G628" s="676"/>
      <c r="H628" s="677"/>
      <c r="I628" s="145"/>
      <c r="J628" s="1"/>
      <c r="N628" s="192"/>
    </row>
    <row r="629" spans="1:14">
      <c r="B629" s="74"/>
      <c r="C629" s="74"/>
      <c r="D629" s="74"/>
      <c r="E629" s="74"/>
      <c r="F629" s="74"/>
      <c r="J629" s="99" t="s">
        <v>155</v>
      </c>
      <c r="K629" s="3" t="s">
        <v>40</v>
      </c>
      <c r="M629" s="3" t="s">
        <v>54</v>
      </c>
      <c r="N629" s="192"/>
    </row>
    <row r="630" spans="1:14">
      <c r="B630" s="74"/>
      <c r="C630" s="74"/>
      <c r="D630" s="74"/>
      <c r="E630" s="74"/>
      <c r="F630" s="74"/>
      <c r="G630" s="3" t="s">
        <v>37</v>
      </c>
      <c r="H630" s="127" t="s">
        <v>38</v>
      </c>
      <c r="I630" s="92" t="s">
        <v>39</v>
      </c>
      <c r="J630" s="100" t="s">
        <v>156</v>
      </c>
      <c r="K630" s="4" t="s">
        <v>157</v>
      </c>
      <c r="L630" s="4" t="s">
        <v>53</v>
      </c>
      <c r="M630" s="4" t="s">
        <v>158</v>
      </c>
      <c r="N630" s="192"/>
    </row>
    <row r="631" spans="1:14">
      <c r="B631" s="74"/>
      <c r="C631" s="74"/>
      <c r="D631" s="74"/>
      <c r="E631" s="74"/>
      <c r="F631" s="74"/>
      <c r="G631" s="5"/>
      <c r="H631" s="662" t="s">
        <v>41</v>
      </c>
      <c r="I631" s="663"/>
      <c r="J631" s="664"/>
      <c r="K631" s="6" t="s">
        <v>42</v>
      </c>
      <c r="L631" s="5"/>
      <c r="M631" s="6" t="s">
        <v>43</v>
      </c>
      <c r="N631" s="192"/>
    </row>
    <row r="632" spans="1:14">
      <c r="B632" s="75"/>
      <c r="C632" s="7">
        <v>0.2</v>
      </c>
      <c r="D632" s="7">
        <v>0.8</v>
      </c>
      <c r="E632" s="7"/>
      <c r="F632" s="87" t="s">
        <v>154</v>
      </c>
      <c r="G632" s="8" t="s">
        <v>44</v>
      </c>
      <c r="H632" s="128"/>
      <c r="I632" s="5"/>
      <c r="J632" s="101" t="s">
        <v>45</v>
      </c>
      <c r="K632" s="8" t="s">
        <v>46</v>
      </c>
      <c r="L632" s="9"/>
      <c r="M632" s="8" t="s">
        <v>47</v>
      </c>
      <c r="N632" s="192"/>
    </row>
    <row r="633" spans="1:14">
      <c r="B633" s="10"/>
      <c r="C633" s="68" t="s">
        <v>8</v>
      </c>
      <c r="D633" s="68" t="s">
        <v>9</v>
      </c>
      <c r="E633" s="68" t="s">
        <v>10</v>
      </c>
      <c r="F633" s="88" t="s">
        <v>7</v>
      </c>
      <c r="G633" s="11" t="s">
        <v>48</v>
      </c>
      <c r="H633" s="129" t="s">
        <v>49</v>
      </c>
      <c r="I633" s="12" t="s">
        <v>152</v>
      </c>
      <c r="J633" s="102" t="s">
        <v>48</v>
      </c>
      <c r="K633" s="12" t="s">
        <v>48</v>
      </c>
      <c r="L633" s="12" t="s">
        <v>50</v>
      </c>
      <c r="M633" s="12" t="s">
        <v>51</v>
      </c>
      <c r="N633" s="192"/>
    </row>
    <row r="634" spans="1:14" ht="31.5">
      <c r="B634" s="13" t="s">
        <v>12</v>
      </c>
      <c r="C634" s="14" t="s">
        <v>13</v>
      </c>
      <c r="D634" s="14" t="s">
        <v>13</v>
      </c>
      <c r="E634" s="15" t="s">
        <v>13</v>
      </c>
      <c r="F634" s="89" t="s">
        <v>14</v>
      </c>
      <c r="G634" s="16" t="s">
        <v>52</v>
      </c>
      <c r="H634" s="130"/>
      <c r="I634" s="17"/>
      <c r="J634" s="103" t="s">
        <v>52</v>
      </c>
      <c r="K634" s="17"/>
      <c r="L634" s="17"/>
      <c r="M634" s="16" t="s">
        <v>52</v>
      </c>
      <c r="N634" s="192"/>
    </row>
    <row r="635" spans="1:14" s="174" customFormat="1">
      <c r="B635" s="18" t="s">
        <v>15</v>
      </c>
      <c r="C635" s="211">
        <v>0</v>
      </c>
      <c r="D635" s="214">
        <v>0</v>
      </c>
      <c r="E635" s="212">
        <v>2.417634894230071E-2</v>
      </c>
      <c r="F635" s="215">
        <f>ROUND(+E635*F$664,2)</f>
        <v>884.08</v>
      </c>
      <c r="G635" s="170">
        <f>(F$664-F$665)*E635</f>
        <v>24.321407035954515</v>
      </c>
      <c r="H635" s="531">
        <f>ROUND(F635*'Actual Load'!$B$8/'Zonal Load'!$N$8,2)</f>
        <v>884.08</v>
      </c>
      <c r="I635" s="170">
        <f t="shared" ref="I635:I661" si="131">ROUND((H635*$H$912)/$H$910,2)</f>
        <v>893.56</v>
      </c>
      <c r="J635" s="170">
        <f>I635-F635</f>
        <v>9.4799999999999045</v>
      </c>
      <c r="K635" s="170">
        <f>+G635+J635</f>
        <v>33.801407035954419</v>
      </c>
      <c r="L635" s="655">
        <f>E635*'Interest Over Collect'!$J$14</f>
        <v>4.4187112961843011</v>
      </c>
      <c r="M635" s="170">
        <f t="shared" ref="M635:M661" si="132">+K635+L635</f>
        <v>38.220118332138718</v>
      </c>
      <c r="N635" s="192"/>
    </row>
    <row r="636" spans="1:14" s="174" customFormat="1">
      <c r="B636" s="23" t="s">
        <v>16</v>
      </c>
      <c r="C636" s="211">
        <v>0</v>
      </c>
      <c r="D636" s="214">
        <v>0</v>
      </c>
      <c r="E636" s="212">
        <v>1.2876944585364467E-3</v>
      </c>
      <c r="F636" s="213">
        <f>ROUND(+E636*F$664,2)</f>
        <v>47.09</v>
      </c>
      <c r="G636" s="170">
        <f t="shared" ref="G636:G661" si="133">(F$664-F$665)*E636</f>
        <v>1.2954206252876654</v>
      </c>
      <c r="H636" s="531">
        <f>ROUND(F636*'Actual Load'!$B$14/'Zonal Load'!$N$14,2)</f>
        <v>45.33</v>
      </c>
      <c r="I636" s="170">
        <f t="shared" si="131"/>
        <v>45.82</v>
      </c>
      <c r="J636" s="170">
        <f>I636-F636</f>
        <v>-1.2700000000000031</v>
      </c>
      <c r="K636" s="170">
        <f>+G636+J636</f>
        <v>2.5420625287662313E-2</v>
      </c>
      <c r="L636" s="655">
        <f>E636*'Interest Over Collect'!$J$14</f>
        <v>0.23535191618670637</v>
      </c>
      <c r="M636" s="170">
        <f t="shared" si="132"/>
        <v>0.26077254147436868</v>
      </c>
      <c r="N636" s="192"/>
    </row>
    <row r="637" spans="1:14" s="174" customFormat="1">
      <c r="B637" s="23" t="s">
        <v>190</v>
      </c>
      <c r="C637" s="211">
        <f>0%*0.421</f>
        <v>0</v>
      </c>
      <c r="D637" s="214">
        <f>0%*0.421</f>
        <v>0</v>
      </c>
      <c r="E637" s="212">
        <f>2.25942878761273%*0.421</f>
        <v>9.5121951958495928E-3</v>
      </c>
      <c r="F637" s="213">
        <f>ROUND(+E637*F$664,2)</f>
        <v>347.84</v>
      </c>
      <c r="G637" s="170">
        <f t="shared" si="133"/>
        <v>9.5692683670246907</v>
      </c>
      <c r="H637" s="531">
        <f>ROUND(F637*'Actual Load'!$B$9/'Zonal Load'!$N$9,2)</f>
        <v>347.84</v>
      </c>
      <c r="I637" s="170">
        <f t="shared" si="131"/>
        <v>351.57</v>
      </c>
      <c r="J637" s="170">
        <f>I637-F637</f>
        <v>3.7300000000000182</v>
      </c>
      <c r="K637" s="170">
        <f>+G637+J637</f>
        <v>13.299268367024709</v>
      </c>
      <c r="L637" s="655">
        <f>E637*'Interest Over Collect'!$J$14</f>
        <v>1.7385439159454301</v>
      </c>
      <c r="M637" s="170">
        <f t="shared" si="132"/>
        <v>15.037812282970139</v>
      </c>
      <c r="N637" s="192"/>
    </row>
    <row r="638" spans="1:14" s="174" customFormat="1">
      <c r="B638" s="125" t="s">
        <v>249</v>
      </c>
      <c r="C638" s="211">
        <f>0%*0.579</f>
        <v>0</v>
      </c>
      <c r="D638" s="214">
        <f>0%*0.579</f>
        <v>0</v>
      </c>
      <c r="E638" s="212">
        <f>2.25942878761273%*0.579</f>
        <v>1.3082092680277706E-2</v>
      </c>
      <c r="F638" s="213">
        <f>ROUND(+E638*F$664,2)</f>
        <v>478.39</v>
      </c>
      <c r="G638" s="170">
        <f t="shared" si="133"/>
        <v>13.160585236359372</v>
      </c>
      <c r="H638" s="531">
        <f>ROUND(F638*'Actual Load'!$B$10/'Zonal Load'!$N$10,2)</f>
        <v>486.01</v>
      </c>
      <c r="I638" s="170">
        <f t="shared" si="131"/>
        <v>491.22</v>
      </c>
      <c r="J638" s="170">
        <f>I638-F638</f>
        <v>12.830000000000041</v>
      </c>
      <c r="K638" s="170">
        <f>+G638+J638</f>
        <v>25.990585236359415</v>
      </c>
      <c r="L638" s="655">
        <f>E638*'Interest Over Collect'!$J$14</f>
        <v>2.3910140791743566</v>
      </c>
      <c r="M638" s="170">
        <f t="shared" si="132"/>
        <v>28.381599315533773</v>
      </c>
      <c r="N638" s="192"/>
    </row>
    <row r="639" spans="1:14" s="174" customFormat="1">
      <c r="B639" s="23" t="s">
        <v>17</v>
      </c>
      <c r="C639" s="211">
        <v>0</v>
      </c>
      <c r="D639" s="214">
        <v>0</v>
      </c>
      <c r="E639" s="212">
        <v>2.2749769753202301E-3</v>
      </c>
      <c r="F639" s="213">
        <f t="shared" ref="F639:F661" si="134">ROUND(+E639*F$664,2)</f>
        <v>83.19</v>
      </c>
      <c r="G639" s="170">
        <f t="shared" si="133"/>
        <v>2.2886268371721514</v>
      </c>
      <c r="H639" s="531">
        <f>ROUND(F639*'Actual Load'!$B$26/'Zonal Load'!$N$26,2)</f>
        <v>82.87</v>
      </c>
      <c r="I639" s="170">
        <f t="shared" si="131"/>
        <v>83.76</v>
      </c>
      <c r="J639" s="170">
        <f t="shared" ref="J639:J657" si="135">I639-F639</f>
        <v>0.57000000000000739</v>
      </c>
      <c r="K639" s="170">
        <f t="shared" ref="K639:K657" si="136">+G639+J639</f>
        <v>2.8586268371721588</v>
      </c>
      <c r="L639" s="655">
        <f>E639*'Interest Over Collect'!$J$14</f>
        <v>0.41579754177927847</v>
      </c>
      <c r="M639" s="170">
        <f t="shared" si="132"/>
        <v>3.2744243789514371</v>
      </c>
      <c r="N639" s="192"/>
    </row>
    <row r="640" spans="1:14" s="174" customFormat="1">
      <c r="B640" s="23" t="s">
        <v>18</v>
      </c>
      <c r="C640" s="211">
        <v>0</v>
      </c>
      <c r="D640" s="214">
        <v>0</v>
      </c>
      <c r="E640" s="212">
        <v>5.8193712054392839E-3</v>
      </c>
      <c r="F640" s="213">
        <f t="shared" si="134"/>
        <v>212.8</v>
      </c>
      <c r="G640" s="170">
        <f t="shared" si="133"/>
        <v>5.8542874326719199</v>
      </c>
      <c r="H640" s="531">
        <f>ROUND(F640*'Actual Load'!$B$16/'Zonal Load'!$N$16,2)</f>
        <v>211.87</v>
      </c>
      <c r="I640" s="170">
        <f t="shared" si="131"/>
        <v>214.14</v>
      </c>
      <c r="J640" s="170">
        <f t="shared" si="135"/>
        <v>1.339999999999975</v>
      </c>
      <c r="K640" s="170">
        <f t="shared" si="136"/>
        <v>7.1942874326718949</v>
      </c>
      <c r="L640" s="655">
        <f>E640*'Interest Over Collect'!$J$14</f>
        <v>1.063606475218138</v>
      </c>
      <c r="M640" s="170">
        <f t="shared" si="132"/>
        <v>8.2578939078900326</v>
      </c>
      <c r="N640" s="192"/>
    </row>
    <row r="641" spans="2:14" s="174" customFormat="1">
      <c r="B641" s="23" t="s">
        <v>19</v>
      </c>
      <c r="C641" s="211">
        <v>0</v>
      </c>
      <c r="D641" s="214">
        <v>0</v>
      </c>
      <c r="E641" s="212">
        <v>6.204484835640546E-3</v>
      </c>
      <c r="F641" s="213">
        <f t="shared" si="134"/>
        <v>226.89</v>
      </c>
      <c r="G641" s="170">
        <f t="shared" si="133"/>
        <v>6.2417117446543893</v>
      </c>
      <c r="H641" s="531">
        <f>ROUND(F641*'Actual Load'!$B$22/'Zonal Load'!$N$22,2)</f>
        <v>221.15</v>
      </c>
      <c r="I641" s="170">
        <f t="shared" si="131"/>
        <v>223.52</v>
      </c>
      <c r="J641" s="170">
        <f t="shared" si="135"/>
        <v>-3.3699999999999761</v>
      </c>
      <c r="K641" s="170">
        <f t="shared" si="136"/>
        <v>2.8717117446544131</v>
      </c>
      <c r="L641" s="655">
        <f>E641*'Interest Over Collect'!$J$14</f>
        <v>1.1339936934100228</v>
      </c>
      <c r="M641" s="170">
        <f t="shared" si="132"/>
        <v>4.0057054380644361</v>
      </c>
      <c r="N641" s="192"/>
    </row>
    <row r="642" spans="2:14" s="174" customFormat="1">
      <c r="B642" s="23" t="s">
        <v>20</v>
      </c>
      <c r="C642" s="211">
        <v>0</v>
      </c>
      <c r="D642" s="214">
        <v>0</v>
      </c>
      <c r="E642" s="212">
        <v>1.5156413679503017E-2</v>
      </c>
      <c r="F642" s="213">
        <f t="shared" si="134"/>
        <v>554.24</v>
      </c>
      <c r="G642" s="170">
        <f t="shared" si="133"/>
        <v>15.247352161580036</v>
      </c>
      <c r="H642" s="531">
        <f>ROUND(F642*'Actual Load'!$B$17/'Zonal Load'!$N$17,2)</f>
        <v>551.82000000000005</v>
      </c>
      <c r="I642" s="170">
        <f t="shared" si="131"/>
        <v>557.74</v>
      </c>
      <c r="J642" s="170">
        <f t="shared" si="135"/>
        <v>3.5</v>
      </c>
      <c r="K642" s="170">
        <f t="shared" si="136"/>
        <v>18.747352161580036</v>
      </c>
      <c r="L642" s="655">
        <f>E642*'Interest Over Collect'!$J$14</f>
        <v>2.7701377282027666</v>
      </c>
      <c r="M642" s="170">
        <f t="shared" si="132"/>
        <v>21.517489889782802</v>
      </c>
      <c r="N642" s="192"/>
    </row>
    <row r="643" spans="2:14" s="174" customFormat="1">
      <c r="B643" s="23" t="s">
        <v>21</v>
      </c>
      <c r="C643" s="211">
        <v>0</v>
      </c>
      <c r="D643" s="214">
        <v>0</v>
      </c>
      <c r="E643" s="212">
        <v>1.9023895837418203E-2</v>
      </c>
      <c r="F643" s="213">
        <f t="shared" si="134"/>
        <v>695.67</v>
      </c>
      <c r="G643" s="170">
        <f t="shared" si="133"/>
        <v>19.138039212442713</v>
      </c>
      <c r="H643" s="531">
        <f>ROUND(F643*'Actual Load'!$B$15/'Zonal Load'!$N$15,2)</f>
        <v>690.03</v>
      </c>
      <c r="I643" s="170">
        <f t="shared" si="131"/>
        <v>697.43</v>
      </c>
      <c r="J643" s="170">
        <f t="shared" si="135"/>
        <v>1.7599999999999909</v>
      </c>
      <c r="K643" s="170">
        <f t="shared" si="136"/>
        <v>20.898039212442704</v>
      </c>
      <c r="L643" s="655">
        <f>E643*'Interest Over Collect'!$J$14</f>
        <v>3.476997442204925</v>
      </c>
      <c r="M643" s="170">
        <f t="shared" si="132"/>
        <v>24.37503665464763</v>
      </c>
      <c r="N643" s="192"/>
    </row>
    <row r="644" spans="2:14" s="174" customFormat="1">
      <c r="B644" s="23" t="s">
        <v>22</v>
      </c>
      <c r="C644" s="211">
        <v>0</v>
      </c>
      <c r="D644" s="214">
        <v>0</v>
      </c>
      <c r="E644" s="212">
        <v>6.8877559718316262E-3</v>
      </c>
      <c r="F644" s="213">
        <f t="shared" si="134"/>
        <v>251.87</v>
      </c>
      <c r="G644" s="170">
        <f t="shared" si="133"/>
        <v>6.9290825076626161</v>
      </c>
      <c r="H644" s="531">
        <f>ROUND(F644*'Actual Load'!$B$4/'Zonal Load'!$N$4,2)</f>
        <v>248.54</v>
      </c>
      <c r="I644" s="170">
        <f t="shared" si="131"/>
        <v>251.21</v>
      </c>
      <c r="J644" s="170">
        <f t="shared" si="135"/>
        <v>-0.65999999999999659</v>
      </c>
      <c r="K644" s="170">
        <f t="shared" si="136"/>
        <v>6.2690825076626195</v>
      </c>
      <c r="L644" s="655">
        <f>E644*'Interest Over Collect'!$J$14</f>
        <v>1.2588751589716665</v>
      </c>
      <c r="M644" s="170">
        <f t="shared" si="132"/>
        <v>7.5279576666342862</v>
      </c>
      <c r="N644" s="192"/>
    </row>
    <row r="645" spans="2:14" s="174" customFormat="1">
      <c r="B645" s="23" t="s">
        <v>23</v>
      </c>
      <c r="C645" s="211">
        <v>0</v>
      </c>
      <c r="D645" s="214">
        <v>0</v>
      </c>
      <c r="E645" s="212">
        <v>5.3847987966022099E-4</v>
      </c>
      <c r="F645" s="213">
        <f t="shared" si="134"/>
        <v>19.690000000000001</v>
      </c>
      <c r="G645" s="170">
        <f t="shared" si="133"/>
        <v>0.54171075893818232</v>
      </c>
      <c r="H645" s="531">
        <f>ROUND(F645*'Actual Load'!$B$11/'Zonal Load'!$N$11,2)</f>
        <v>19.12</v>
      </c>
      <c r="I645" s="170">
        <f t="shared" si="131"/>
        <v>19.329999999999998</v>
      </c>
      <c r="J645" s="170">
        <f t="shared" si="135"/>
        <v>-0.36000000000000298</v>
      </c>
      <c r="K645" s="170">
        <f t="shared" si="136"/>
        <v>0.18171075893817934</v>
      </c>
      <c r="L645" s="655">
        <f>E645*'Interest Over Collect'!$J$14</f>
        <v>9.8417967605498591E-2</v>
      </c>
      <c r="M645" s="170">
        <f t="shared" si="132"/>
        <v>0.28012872654367793</v>
      </c>
      <c r="N645" s="192"/>
    </row>
    <row r="646" spans="2:14" s="174" customFormat="1">
      <c r="B646" s="23" t="s">
        <v>25</v>
      </c>
      <c r="C646" s="211">
        <v>0</v>
      </c>
      <c r="D646" s="214">
        <v>0</v>
      </c>
      <c r="E646" s="212">
        <v>1.5333516122057401E-2</v>
      </c>
      <c r="F646" s="213">
        <f t="shared" si="134"/>
        <v>560.72</v>
      </c>
      <c r="G646" s="170">
        <f t="shared" si="133"/>
        <v>15.425517218789745</v>
      </c>
      <c r="H646" s="531">
        <f>ROUND(F646*'Actual Load'!$B$7/'Zonal Load'!$N$7,2)</f>
        <v>528.91</v>
      </c>
      <c r="I646" s="170">
        <f t="shared" si="131"/>
        <v>534.58000000000004</v>
      </c>
      <c r="J646" s="170">
        <f t="shared" si="135"/>
        <v>-26.139999999999986</v>
      </c>
      <c r="K646" s="170">
        <f t="shared" si="136"/>
        <v>-10.714482781210242</v>
      </c>
      <c r="L646" s="655">
        <f>E646*'Interest Over Collect'!$J$14</f>
        <v>2.8025067416284313</v>
      </c>
      <c r="M646" s="170">
        <f t="shared" si="132"/>
        <v>-7.9119760395818108</v>
      </c>
      <c r="N646" s="192"/>
    </row>
    <row r="647" spans="2:14" s="174" customFormat="1">
      <c r="B647" s="23" t="s">
        <v>24</v>
      </c>
      <c r="C647" s="211">
        <v>0</v>
      </c>
      <c r="D647" s="214">
        <v>0</v>
      </c>
      <c r="E647" s="212">
        <v>1.5663582749093932E-2</v>
      </c>
      <c r="F647" s="213">
        <f t="shared" si="134"/>
        <v>572.79</v>
      </c>
      <c r="G647" s="170">
        <f t="shared" si="133"/>
        <v>15.757564245588496</v>
      </c>
      <c r="H647" s="531">
        <f>ROUND(F647*'Actual Load'!$B$6/'Zonal Load'!$N$6,2)</f>
        <v>562.91</v>
      </c>
      <c r="I647" s="170">
        <f t="shared" si="131"/>
        <v>568.95000000000005</v>
      </c>
      <c r="J647" s="170">
        <f t="shared" si="135"/>
        <v>-3.8399999999999181</v>
      </c>
      <c r="K647" s="170">
        <f t="shared" si="136"/>
        <v>11.917564245588578</v>
      </c>
      <c r="L647" s="655">
        <f>E647*'Interest Over Collect'!$J$14</f>
        <v>2.862833019051898</v>
      </c>
      <c r="M647" s="170">
        <f t="shared" si="132"/>
        <v>14.780397264640476</v>
      </c>
      <c r="N647" s="192"/>
    </row>
    <row r="648" spans="2:14" s="174" customFormat="1">
      <c r="B648" s="23" t="s">
        <v>116</v>
      </c>
      <c r="C648" s="211">
        <v>0</v>
      </c>
      <c r="D648" s="214">
        <v>0</v>
      </c>
      <c r="E648" s="212">
        <v>1.1552762730182244E-3</v>
      </c>
      <c r="F648" s="213">
        <f t="shared" si="134"/>
        <v>42.25</v>
      </c>
      <c r="G648" s="170">
        <f t="shared" si="133"/>
        <v>1.1622079306563338</v>
      </c>
      <c r="H648" s="531">
        <f>ROUND(F648*'Actual Load'!$B$18/'Zonal Load'!$N$18,2)</f>
        <v>41.77</v>
      </c>
      <c r="I648" s="170">
        <f t="shared" si="131"/>
        <v>42.22</v>
      </c>
      <c r="J648" s="170">
        <f t="shared" si="135"/>
        <v>-3.0000000000001137E-2</v>
      </c>
      <c r="K648" s="170">
        <f t="shared" si="136"/>
        <v>1.1322079306563326</v>
      </c>
      <c r="L648" s="655">
        <f>E648*'Interest Over Collect'!$J$14</f>
        <v>0.21114984441954088</v>
      </c>
      <c r="M648" s="170">
        <f t="shared" si="132"/>
        <v>1.3433577750758734</v>
      </c>
      <c r="N648" s="192"/>
    </row>
    <row r="649" spans="2:14" s="174" customFormat="1">
      <c r="B649" s="23" t="s">
        <v>117</v>
      </c>
      <c r="C649" s="211">
        <v>0</v>
      </c>
      <c r="D649" s="214">
        <v>0</v>
      </c>
      <c r="E649" s="212">
        <v>3.0274535456452421E-4</v>
      </c>
      <c r="F649" s="213">
        <f t="shared" si="134"/>
        <v>11.07</v>
      </c>
      <c r="G649" s="170">
        <f t="shared" si="133"/>
        <v>0.30456182669191134</v>
      </c>
      <c r="H649" s="531">
        <f>ROUND(F649*'Actual Load'!$B$17/'Zonal Load'!$N$17,2)</f>
        <v>11.02</v>
      </c>
      <c r="I649" s="170">
        <f t="shared" si="131"/>
        <v>11.14</v>
      </c>
      <c r="J649" s="170">
        <f t="shared" si="135"/>
        <v>7.0000000000000284E-2</v>
      </c>
      <c r="K649" s="170">
        <f t="shared" si="136"/>
        <v>0.37456182669191163</v>
      </c>
      <c r="L649" s="655">
        <f>E649*'Interest Over Collect'!$J$14</f>
        <v>5.5332768453758091E-2</v>
      </c>
      <c r="M649" s="170">
        <f t="shared" si="132"/>
        <v>0.42989459514566974</v>
      </c>
      <c r="N649" s="192"/>
    </row>
    <row r="650" spans="2:14" s="174" customFormat="1">
      <c r="B650" s="23" t="s">
        <v>26</v>
      </c>
      <c r="C650" s="211">
        <v>0</v>
      </c>
      <c r="D650" s="214">
        <v>0</v>
      </c>
      <c r="E650" s="212">
        <v>7.9455697798752601E-4</v>
      </c>
      <c r="F650" s="213">
        <f t="shared" si="134"/>
        <v>29.06</v>
      </c>
      <c r="G650" s="170">
        <f t="shared" si="133"/>
        <v>0.79932431985545116</v>
      </c>
      <c r="H650" s="531">
        <f>ROUND(F650*'Actual Load'!$B$12/'Zonal Load'!$N$12,2)</f>
        <v>26.7</v>
      </c>
      <c r="I650" s="170">
        <f t="shared" si="131"/>
        <v>26.99</v>
      </c>
      <c r="J650" s="170">
        <f t="shared" si="135"/>
        <v>-2.0700000000000003</v>
      </c>
      <c r="K650" s="170">
        <f t="shared" si="136"/>
        <v>-1.2706756801445491</v>
      </c>
      <c r="L650" s="655">
        <f>E650*'Interest Over Collect'!$J$14</f>
        <v>0.14522117886678013</v>
      </c>
      <c r="M650" s="170">
        <f t="shared" si="132"/>
        <v>-1.125454501277769</v>
      </c>
      <c r="N650" s="192"/>
    </row>
    <row r="651" spans="2:14" s="174" customFormat="1">
      <c r="B651" s="23" t="s">
        <v>27</v>
      </c>
      <c r="C651" s="211">
        <v>0</v>
      </c>
      <c r="D651" s="214">
        <v>0</v>
      </c>
      <c r="E651" s="212">
        <v>8.6615565603105854E-4</v>
      </c>
      <c r="F651" s="213">
        <f t="shared" si="134"/>
        <v>31.67</v>
      </c>
      <c r="G651" s="170">
        <f t="shared" si="133"/>
        <v>0.87135258996724485</v>
      </c>
      <c r="H651" s="531">
        <f>ROUND(F651*'Actual Load'!$B$24/'Zonal Load'!$N$24,2)</f>
        <v>31.26</v>
      </c>
      <c r="I651" s="170">
        <f t="shared" si="131"/>
        <v>31.6</v>
      </c>
      <c r="J651" s="170">
        <f t="shared" si="135"/>
        <v>-7.0000000000000284E-2</v>
      </c>
      <c r="K651" s="170">
        <f t="shared" si="136"/>
        <v>0.80135258996724457</v>
      </c>
      <c r="L651" s="655">
        <f>E651*'Interest Over Collect'!$J$14</f>
        <v>0.15830726925279659</v>
      </c>
      <c r="M651" s="170">
        <f t="shared" si="132"/>
        <v>0.95965985922004116</v>
      </c>
      <c r="N651" s="192"/>
    </row>
    <row r="652" spans="2:14" s="174" customFormat="1">
      <c r="B652" s="23" t="s">
        <v>28</v>
      </c>
      <c r="C652" s="211">
        <v>0</v>
      </c>
      <c r="D652" s="214">
        <v>0</v>
      </c>
      <c r="E652" s="212">
        <v>2.3414313850310516E-2</v>
      </c>
      <c r="F652" s="213">
        <f t="shared" si="134"/>
        <v>856.21</v>
      </c>
      <c r="G652" s="170">
        <f t="shared" si="133"/>
        <v>23.554799733412377</v>
      </c>
      <c r="H652" s="531">
        <f>ROUND(F652*'Actual Load'!$B$5/'Zonal Load'!$N$5,2)</f>
        <v>877.85</v>
      </c>
      <c r="I652" s="170">
        <f t="shared" si="131"/>
        <v>887.27</v>
      </c>
      <c r="J652" s="170">
        <f t="shared" si="135"/>
        <v>31.059999999999945</v>
      </c>
      <c r="K652" s="170">
        <f t="shared" si="136"/>
        <v>54.614799733412326</v>
      </c>
      <c r="L652" s="655">
        <f>E652*'Interest Over Collect'!$J$14</f>
        <v>4.2794341424212528</v>
      </c>
      <c r="M652" s="170">
        <f t="shared" si="132"/>
        <v>58.894233875833578</v>
      </c>
      <c r="N652" s="192"/>
    </row>
    <row r="653" spans="2:14" s="174" customFormat="1">
      <c r="B653" s="23" t="s">
        <v>29</v>
      </c>
      <c r="C653" s="211">
        <v>0</v>
      </c>
      <c r="D653" s="214">
        <v>0</v>
      </c>
      <c r="E653" s="539">
        <v>1.8775323951991409E-2</v>
      </c>
      <c r="F653" s="213">
        <f t="shared" si="134"/>
        <v>686.58</v>
      </c>
      <c r="G653" s="170">
        <f t="shared" si="133"/>
        <v>18.887975895703359</v>
      </c>
      <c r="H653" s="531">
        <f>ROUND(F653*'Actual Load'!$B$21/'Zonal Load'!$N$21,2)</f>
        <v>657.93</v>
      </c>
      <c r="I653" s="170">
        <f t="shared" si="131"/>
        <v>664.99</v>
      </c>
      <c r="J653" s="170">
        <f t="shared" si="135"/>
        <v>-21.590000000000032</v>
      </c>
      <c r="K653" s="170">
        <f t="shared" si="136"/>
        <v>-2.7020241042966724</v>
      </c>
      <c r="L653" s="655">
        <f>E653*'Interest Over Collect'!$J$14</f>
        <v>3.4315659587054701</v>
      </c>
      <c r="M653" s="170">
        <f t="shared" si="132"/>
        <v>0.72954185440879771</v>
      </c>
      <c r="N653" s="192"/>
    </row>
    <row r="654" spans="2:14" s="174" customFormat="1">
      <c r="B654" s="23" t="s">
        <v>30</v>
      </c>
      <c r="C654" s="211">
        <v>0</v>
      </c>
      <c r="D654" s="214">
        <v>0</v>
      </c>
      <c r="E654" s="212">
        <v>3.9201526698776851E-3</v>
      </c>
      <c r="F654" s="213">
        <f t="shared" si="134"/>
        <v>143.35</v>
      </c>
      <c r="G654" s="170">
        <f t="shared" si="133"/>
        <v>3.9436735858969514</v>
      </c>
      <c r="H654" s="531">
        <f>ROUND(F654*'Actual Load'!$B$19/'Zonal Load'!$N$19,2)</f>
        <v>139.38999999999999</v>
      </c>
      <c r="I654" s="170">
        <f t="shared" si="131"/>
        <v>140.88999999999999</v>
      </c>
      <c r="J654" s="170">
        <f t="shared" si="135"/>
        <v>-2.460000000000008</v>
      </c>
      <c r="K654" s="170">
        <f t="shared" si="136"/>
        <v>1.4836735858969434</v>
      </c>
      <c r="L654" s="655">
        <f>E654*'Interest Over Collect'!$J$14</f>
        <v>0.71648630347354458</v>
      </c>
      <c r="M654" s="170">
        <f t="shared" si="132"/>
        <v>2.2001598893704881</v>
      </c>
      <c r="N654" s="192"/>
    </row>
    <row r="655" spans="2:14" s="174" customFormat="1">
      <c r="B655" s="23" t="s">
        <v>31</v>
      </c>
      <c r="C655" s="211">
        <v>0</v>
      </c>
      <c r="D655" s="214">
        <v>0</v>
      </c>
      <c r="E655" s="212">
        <v>5.8079243198196626E-4</v>
      </c>
      <c r="F655" s="213">
        <f t="shared" si="134"/>
        <v>21.24</v>
      </c>
      <c r="G655" s="170">
        <f t="shared" si="133"/>
        <v>0.58427718657385808</v>
      </c>
      <c r="H655" s="531">
        <f>ROUND(F655*'Actual Load'!$B$25/'Zonal Load'!$N$25,2)</f>
        <v>20.62</v>
      </c>
      <c r="I655" s="170">
        <f t="shared" si="131"/>
        <v>20.84</v>
      </c>
      <c r="J655" s="170">
        <f t="shared" si="135"/>
        <v>-0.39999999999999858</v>
      </c>
      <c r="K655" s="170">
        <f t="shared" si="136"/>
        <v>0.1842771865738595</v>
      </c>
      <c r="L655" s="655">
        <f>E655*'Interest Over Collect'!$J$14</f>
        <v>0.10615143279334398</v>
      </c>
      <c r="M655" s="170">
        <f t="shared" si="132"/>
        <v>0.29042861936720349</v>
      </c>
      <c r="N655" s="192"/>
    </row>
    <row r="656" spans="2:14" s="174" customFormat="1">
      <c r="B656" s="23" t="s">
        <v>32</v>
      </c>
      <c r="C656" s="211">
        <v>0</v>
      </c>
      <c r="D656" s="214">
        <v>0</v>
      </c>
      <c r="E656" s="539">
        <v>0.80234267705903506</v>
      </c>
      <c r="F656" s="213">
        <f t="shared" si="134"/>
        <v>29340.07</v>
      </c>
      <c r="G656" s="170">
        <f t="shared" si="133"/>
        <v>807.15673312138927</v>
      </c>
      <c r="H656" s="531">
        <f>ROUND(F656*'Actual Load'!$B$13/'Zonal Load'!$N$13,2)</f>
        <v>28145.74</v>
      </c>
      <c r="I656" s="170">
        <f t="shared" si="131"/>
        <v>28447.69</v>
      </c>
      <c r="J656" s="170">
        <f t="shared" si="135"/>
        <v>-892.38000000000102</v>
      </c>
      <c r="K656" s="170">
        <f t="shared" si="136"/>
        <v>-85.223266878611753</v>
      </c>
      <c r="L656" s="655">
        <f>E656*'Interest Over Collect'!$J$14</f>
        <v>146.64417108607984</v>
      </c>
      <c r="M656" s="170">
        <f t="shared" si="132"/>
        <v>61.420904207468084</v>
      </c>
      <c r="N656" s="192"/>
    </row>
    <row r="657" spans="2:14" s="174" customFormat="1">
      <c r="B657" s="23" t="s">
        <v>33</v>
      </c>
      <c r="C657" s="211">
        <v>0</v>
      </c>
      <c r="D657" s="214">
        <v>0</v>
      </c>
      <c r="E657" s="212">
        <v>2.6058955971885768E-3</v>
      </c>
      <c r="F657" s="213">
        <f t="shared" si="134"/>
        <v>95.29</v>
      </c>
      <c r="G657" s="170">
        <f t="shared" si="133"/>
        <v>2.6215309707717083</v>
      </c>
      <c r="H657" s="531">
        <f>ROUND(F657*'Actual Load'!$B$23/'Zonal Load'!$N$23,2)</f>
        <v>129.66</v>
      </c>
      <c r="I657" s="170">
        <f t="shared" si="131"/>
        <v>131.05000000000001</v>
      </c>
      <c r="J657" s="170">
        <f t="shared" si="135"/>
        <v>35.760000000000005</v>
      </c>
      <c r="K657" s="170">
        <f t="shared" si="136"/>
        <v>38.381530970771713</v>
      </c>
      <c r="L657" s="655">
        <f>E657*'Interest Over Collect'!$J$14</f>
        <v>0.47627953829815622</v>
      </c>
      <c r="M657" s="170">
        <f t="shared" si="132"/>
        <v>38.857810509069871</v>
      </c>
      <c r="N657" s="192"/>
    </row>
    <row r="658" spans="2:14" s="174" customFormat="1">
      <c r="B658" s="194" t="s">
        <v>34</v>
      </c>
      <c r="C658" s="211">
        <v>0</v>
      </c>
      <c r="D658" s="214">
        <v>0</v>
      </c>
      <c r="E658" s="212">
        <v>1.4774069032505166E-3</v>
      </c>
      <c r="F658" s="213">
        <f t="shared" si="134"/>
        <v>54.03</v>
      </c>
      <c r="G658" s="170">
        <f t="shared" si="133"/>
        <v>1.4862713446700198</v>
      </c>
      <c r="H658" s="531">
        <f>ROUND(F658*'Actual Load'!$B$20/'Zonal Load'!$N$20,2)</f>
        <v>60.7</v>
      </c>
      <c r="I658" s="170">
        <f t="shared" si="131"/>
        <v>61.35</v>
      </c>
      <c r="J658" s="170">
        <f>I658-F658</f>
        <v>7.32</v>
      </c>
      <c r="K658" s="170">
        <f>+G658+J658</f>
        <v>8.8062713446700194</v>
      </c>
      <c r="L658" s="655">
        <f>E658*'Interest Over Collect'!$J$14</f>
        <v>0.27002565970709691</v>
      </c>
      <c r="M658" s="170">
        <f t="shared" si="132"/>
        <v>9.0762970043771158</v>
      </c>
      <c r="N658" s="192"/>
    </row>
    <row r="659" spans="2:14" s="174" customFormat="1">
      <c r="B659" s="194" t="s">
        <v>110</v>
      </c>
      <c r="C659" s="211">
        <v>0</v>
      </c>
      <c r="D659" s="214">
        <v>0</v>
      </c>
      <c r="E659" s="212">
        <v>8.5203551696441272E-3</v>
      </c>
      <c r="F659" s="213">
        <f t="shared" si="134"/>
        <v>311.57</v>
      </c>
      <c r="G659" s="170">
        <f t="shared" si="133"/>
        <v>8.5714773006619911</v>
      </c>
      <c r="H659" s="531">
        <f>ROUND(F659*'Actual Load'!$B$27/'Zonal Load'!$N$27,2)</f>
        <v>304.91000000000003</v>
      </c>
      <c r="I659" s="170">
        <f t="shared" si="131"/>
        <v>308.18</v>
      </c>
      <c r="J659" s="170">
        <f>I659-F659</f>
        <v>-3.3899999999999864</v>
      </c>
      <c r="K659" s="170">
        <f>+G659+J659</f>
        <v>5.1814773006620047</v>
      </c>
      <c r="L659" s="655">
        <f>E659*'Interest Over Collect'!$J$14</f>
        <v>1.5572653143558572</v>
      </c>
      <c r="M659" s="170">
        <f t="shared" si="132"/>
        <v>6.7387426150178618</v>
      </c>
      <c r="N659" s="192"/>
    </row>
    <row r="660" spans="2:14" s="174" customFormat="1" ht="16.5" customHeight="1">
      <c r="B660" s="194" t="s">
        <v>111</v>
      </c>
      <c r="C660" s="211">
        <v>0</v>
      </c>
      <c r="D660" s="214">
        <v>0</v>
      </c>
      <c r="E660" s="212">
        <v>2.8353957218997631E-4</v>
      </c>
      <c r="F660" s="213">
        <f t="shared" si="134"/>
        <v>10.37</v>
      </c>
      <c r="G660" s="170">
        <f t="shared" si="133"/>
        <v>0.28524080962311615</v>
      </c>
      <c r="H660" s="531">
        <f>ROUND(F660*'Actual Load'!$B$28/'Zonal Load'!$N$28,2)</f>
        <v>10.35</v>
      </c>
      <c r="I660" s="170">
        <f t="shared" si="131"/>
        <v>10.46</v>
      </c>
      <c r="J660" s="170">
        <f>I660-F660</f>
        <v>9.0000000000001634E-2</v>
      </c>
      <c r="K660" s="170">
        <f>+G660+J660</f>
        <v>0.37524080962311779</v>
      </c>
      <c r="L660" s="655">
        <f>E660*'Interest Over Collect'!$J$14</f>
        <v>5.1822527609161971E-2</v>
      </c>
      <c r="M660" s="170">
        <f t="shared" si="132"/>
        <v>0.42706333723227974</v>
      </c>
      <c r="N660" s="192"/>
    </row>
    <row r="661" spans="2:14" s="174" customFormat="1">
      <c r="B661" s="24" t="s">
        <v>118</v>
      </c>
      <c r="C661" s="211">
        <v>0</v>
      </c>
      <c r="D661" s="214">
        <v>0</v>
      </c>
      <c r="E661" s="515">
        <v>0</v>
      </c>
      <c r="F661" s="213">
        <f t="shared" si="134"/>
        <v>0</v>
      </c>
      <c r="G661" s="170">
        <f t="shared" si="133"/>
        <v>0</v>
      </c>
      <c r="H661" s="531">
        <f>ROUND(F661*'Actual Load'!$B$29/'Zonal Load'!$N$29,2)</f>
        <v>0</v>
      </c>
      <c r="I661" s="170">
        <f t="shared" si="131"/>
        <v>0</v>
      </c>
      <c r="J661" s="170">
        <f>I661-F661</f>
        <v>0</v>
      </c>
      <c r="K661" s="170">
        <f>+G661+J661</f>
        <v>0</v>
      </c>
      <c r="L661" s="655">
        <f>E661*'Interest Over Collect'!$J$14</f>
        <v>0</v>
      </c>
      <c r="M661" s="170">
        <f t="shared" si="132"/>
        <v>0</v>
      </c>
      <c r="N661" s="192"/>
    </row>
    <row r="662" spans="2:14">
      <c r="B662" s="25"/>
      <c r="C662" s="26">
        <f>SUM(C635:C661)</f>
        <v>0</v>
      </c>
      <c r="D662" s="27">
        <f>SUM(D635:D661)</f>
        <v>0</v>
      </c>
      <c r="E662" s="94">
        <f>SUM(E635:E661)</f>
        <v>1.0000000000000002</v>
      </c>
      <c r="F662" s="90">
        <f>SUM(F635:F661)</f>
        <v>36568.020000000004</v>
      </c>
      <c r="G662" s="131">
        <f>SUM(G635:G661)</f>
        <v>1006.0000000000001</v>
      </c>
      <c r="H662" s="131">
        <f t="shared" ref="H662:M662" si="137">SUM(H635:H661)</f>
        <v>35338.380000000005</v>
      </c>
      <c r="I662" s="131">
        <f t="shared" si="137"/>
        <v>35717.5</v>
      </c>
      <c r="J662" s="131">
        <f t="shared" si="137"/>
        <v>-850.520000000001</v>
      </c>
      <c r="K662" s="563">
        <f t="shared" si="137"/>
        <v>155.47999999999911</v>
      </c>
      <c r="L662" s="657">
        <f t="shared" si="137"/>
        <v>182.77</v>
      </c>
      <c r="M662" s="131">
        <f t="shared" si="137"/>
        <v>338.24999999999898</v>
      </c>
      <c r="N662" s="192"/>
    </row>
    <row r="663" spans="2:14">
      <c r="F663" s="3" t="s">
        <v>623</v>
      </c>
      <c r="G663" s="21"/>
      <c r="I663" s="569" t="s">
        <v>621</v>
      </c>
      <c r="J663" s="570" t="s">
        <v>622</v>
      </c>
      <c r="N663" s="192"/>
    </row>
    <row r="664" spans="2:14">
      <c r="E664" s="479" t="s">
        <v>610</v>
      </c>
      <c r="F664" s="168">
        <f>ROUND((I664*M$884)+(J664*M$888),0)</f>
        <v>36568</v>
      </c>
      <c r="G664" s="21"/>
      <c r="I664" s="168">
        <v>37247.643350633633</v>
      </c>
      <c r="J664" s="571">
        <v>34292.805512959967</v>
      </c>
      <c r="N664" s="192"/>
    </row>
    <row r="665" spans="2:14">
      <c r="E665" s="480" t="s">
        <v>611</v>
      </c>
      <c r="F665" s="169">
        <f>ROUND((I665*M$884)+(J665*M$888),0)</f>
        <v>35562</v>
      </c>
      <c r="G665" s="528">
        <f>F664-F665</f>
        <v>1006</v>
      </c>
      <c r="H665" s="529"/>
      <c r="I665" s="169">
        <f>'Att GG at 12.38 '!N86</f>
        <v>36226.518633635671</v>
      </c>
      <c r="J665" s="572">
        <f>'Att GG at 10.82'!N86</f>
        <v>33336.917672446238</v>
      </c>
      <c r="L665" s="81"/>
      <c r="N665" s="192"/>
    </row>
    <row r="666" spans="2:14">
      <c r="E666" s="91" t="s">
        <v>153</v>
      </c>
      <c r="F666" s="175">
        <f>I662</f>
        <v>35717.5</v>
      </c>
      <c r="G666" s="528">
        <f>F666-F664</f>
        <v>-850.5</v>
      </c>
      <c r="H666" s="530"/>
      <c r="I666" s="29"/>
      <c r="K666" s="86"/>
      <c r="L666" s="644"/>
      <c r="M666" s="86"/>
      <c r="N666" s="192"/>
    </row>
    <row r="667" spans="2:14">
      <c r="G667" s="528">
        <f>G665+G666</f>
        <v>155.5</v>
      </c>
      <c r="H667" s="529">
        <f>F666-F665</f>
        <v>155.5</v>
      </c>
      <c r="I667" s="29"/>
      <c r="K667" s="86"/>
      <c r="L667" s="86"/>
      <c r="M667" s="86"/>
      <c r="N667" s="192"/>
    </row>
    <row r="668" spans="2:14">
      <c r="B668" s="79"/>
      <c r="C668" s="79"/>
      <c r="D668" s="79"/>
      <c r="E668" s="79"/>
      <c r="F668" s="79"/>
      <c r="G668" s="79"/>
      <c r="H668" s="79"/>
      <c r="I668" s="79"/>
      <c r="J668" s="105"/>
      <c r="K668" s="79"/>
      <c r="L668" s="79"/>
      <c r="M668" s="79"/>
      <c r="N668" s="192"/>
    </row>
    <row r="669" spans="2:14">
      <c r="L669" s="174"/>
      <c r="N669" s="192"/>
    </row>
    <row r="670" spans="2:14">
      <c r="B670" s="678" t="s">
        <v>0</v>
      </c>
      <c r="C670" s="679"/>
      <c r="D670" s="680" t="s">
        <v>691</v>
      </c>
      <c r="E670" s="681"/>
      <c r="F670" s="681"/>
      <c r="G670" s="681"/>
      <c r="H670" s="682"/>
      <c r="I670" s="142"/>
      <c r="J670" s="1"/>
      <c r="N670" s="192"/>
    </row>
    <row r="671" spans="2:14">
      <c r="B671" s="665" t="s">
        <v>1</v>
      </c>
      <c r="C671" s="666"/>
      <c r="D671" s="667" t="s">
        <v>551</v>
      </c>
      <c r="E671" s="668"/>
      <c r="F671" s="668"/>
      <c r="G671" s="668"/>
      <c r="H671" s="669"/>
      <c r="I671" s="143"/>
      <c r="J671" s="1"/>
      <c r="N671" s="192"/>
    </row>
    <row r="672" spans="2:14">
      <c r="B672" s="665" t="s">
        <v>3</v>
      </c>
      <c r="C672" s="666"/>
      <c r="D672" s="670"/>
      <c r="E672" s="671"/>
      <c r="F672" s="671"/>
      <c r="G672" s="671"/>
      <c r="H672" s="672"/>
      <c r="I672" s="144"/>
      <c r="J672" s="1"/>
      <c r="N672" s="192"/>
    </row>
    <row r="673" spans="1:14">
      <c r="B673" s="673" t="s">
        <v>5</v>
      </c>
      <c r="C673" s="674"/>
      <c r="D673" s="675" t="s">
        <v>29</v>
      </c>
      <c r="E673" s="676"/>
      <c r="F673" s="676"/>
      <c r="G673" s="676"/>
      <c r="H673" s="677"/>
      <c r="I673" s="145"/>
      <c r="J673" s="1"/>
      <c r="N673" s="192"/>
    </row>
    <row r="674" spans="1:14">
      <c r="B674" s="74"/>
      <c r="C674" s="74"/>
      <c r="D674" s="74"/>
      <c r="E674" s="74"/>
      <c r="F674" s="74"/>
      <c r="J674" s="99" t="s">
        <v>155</v>
      </c>
      <c r="K674" s="3" t="s">
        <v>40</v>
      </c>
      <c r="M674" s="3" t="s">
        <v>54</v>
      </c>
      <c r="N674" s="192"/>
    </row>
    <row r="675" spans="1:14">
      <c r="B675" s="74"/>
      <c r="C675" s="74"/>
      <c r="D675" s="74"/>
      <c r="E675" s="74"/>
      <c r="F675" s="74"/>
      <c r="G675" s="3" t="s">
        <v>37</v>
      </c>
      <c r="H675" s="127" t="s">
        <v>38</v>
      </c>
      <c r="I675" s="92" t="s">
        <v>39</v>
      </c>
      <c r="J675" s="100" t="s">
        <v>156</v>
      </c>
      <c r="K675" s="4" t="s">
        <v>157</v>
      </c>
      <c r="L675" s="4" t="s">
        <v>53</v>
      </c>
      <c r="M675" s="4" t="s">
        <v>158</v>
      </c>
      <c r="N675" s="192"/>
    </row>
    <row r="676" spans="1:14">
      <c r="B676" s="74"/>
      <c r="C676" s="74"/>
      <c r="D676" s="74"/>
      <c r="E676" s="74"/>
      <c r="F676" s="74"/>
      <c r="G676" s="5"/>
      <c r="H676" s="662" t="s">
        <v>41</v>
      </c>
      <c r="I676" s="663"/>
      <c r="J676" s="664"/>
      <c r="K676" s="6" t="s">
        <v>42</v>
      </c>
      <c r="L676" s="5"/>
      <c r="M676" s="6" t="s">
        <v>43</v>
      </c>
      <c r="N676" s="192"/>
    </row>
    <row r="677" spans="1:14">
      <c r="B677" s="75"/>
      <c r="C677" s="7">
        <v>0.2</v>
      </c>
      <c r="D677" s="7">
        <v>0.8</v>
      </c>
      <c r="E677" s="7"/>
      <c r="F677" s="87" t="s">
        <v>154</v>
      </c>
      <c r="G677" s="8" t="s">
        <v>44</v>
      </c>
      <c r="H677" s="128"/>
      <c r="I677" s="5"/>
      <c r="J677" s="101" t="s">
        <v>45</v>
      </c>
      <c r="K677" s="8" t="s">
        <v>46</v>
      </c>
      <c r="L677" s="9"/>
      <c r="M677" s="8" t="s">
        <v>47</v>
      </c>
      <c r="N677" s="192"/>
    </row>
    <row r="678" spans="1:14">
      <c r="B678" s="10"/>
      <c r="C678" s="68" t="s">
        <v>8</v>
      </c>
      <c r="D678" s="68" t="s">
        <v>9</v>
      </c>
      <c r="E678" s="68" t="s">
        <v>10</v>
      </c>
      <c r="F678" s="88" t="s">
        <v>7</v>
      </c>
      <c r="G678" s="11" t="s">
        <v>48</v>
      </c>
      <c r="H678" s="129" t="s">
        <v>49</v>
      </c>
      <c r="I678" s="12" t="s">
        <v>152</v>
      </c>
      <c r="J678" s="102" t="s">
        <v>48</v>
      </c>
      <c r="K678" s="12" t="s">
        <v>48</v>
      </c>
      <c r="L678" s="12" t="s">
        <v>50</v>
      </c>
      <c r="M678" s="12" t="s">
        <v>51</v>
      </c>
      <c r="N678" s="192"/>
    </row>
    <row r="679" spans="1:14" ht="31.5">
      <c r="B679" s="13" t="s">
        <v>12</v>
      </c>
      <c r="C679" s="14" t="s">
        <v>13</v>
      </c>
      <c r="D679" s="14" t="s">
        <v>13</v>
      </c>
      <c r="E679" s="15" t="s">
        <v>13</v>
      </c>
      <c r="F679" s="89" t="s">
        <v>14</v>
      </c>
      <c r="G679" s="16" t="s">
        <v>52</v>
      </c>
      <c r="H679" s="130"/>
      <c r="I679" s="17"/>
      <c r="J679" s="103" t="s">
        <v>52</v>
      </c>
      <c r="K679" s="17"/>
      <c r="L679" s="17"/>
      <c r="M679" s="16" t="s">
        <v>52</v>
      </c>
      <c r="N679" s="192"/>
    </row>
    <row r="680" spans="1:14" s="174" customFormat="1">
      <c r="B680" s="18" t="s">
        <v>15</v>
      </c>
      <c r="C680" s="211">
        <v>0</v>
      </c>
      <c r="D680" s="214">
        <v>0</v>
      </c>
      <c r="E680" s="212">
        <v>0</v>
      </c>
      <c r="F680" s="215">
        <f t="shared" ref="F680:F707" si="138">ROUND(+E680*F$710,2)</f>
        <v>0</v>
      </c>
      <c r="G680" s="170">
        <f t="shared" ref="G680:G707" si="139">(F$710-F$711)*E680</f>
        <v>0</v>
      </c>
      <c r="H680" s="531">
        <f>ROUND(F680*'Actual Load'!$B$8/'Zonal Load'!$N$8,2)</f>
        <v>0</v>
      </c>
      <c r="I680" s="170">
        <f t="shared" ref="I680:I707" si="140">ROUND((H680*$H$912)/$H$910,2)</f>
        <v>0</v>
      </c>
      <c r="J680" s="170">
        <f>I680-F680</f>
        <v>0</v>
      </c>
      <c r="K680" s="170">
        <f>+G680+J680</f>
        <v>0</v>
      </c>
      <c r="L680" s="655">
        <f>E680*'Interest Over Collect'!J$9</f>
        <v>0</v>
      </c>
      <c r="M680" s="170">
        <f t="shared" ref="M680:M707" si="141">+K680+L680</f>
        <v>0</v>
      </c>
      <c r="N680" s="192"/>
    </row>
    <row r="681" spans="1:14" s="174" customFormat="1">
      <c r="B681" s="23" t="s">
        <v>16</v>
      </c>
      <c r="C681" s="211">
        <v>0</v>
      </c>
      <c r="D681" s="214">
        <v>0</v>
      </c>
      <c r="E681" s="212">
        <v>0</v>
      </c>
      <c r="F681" s="213">
        <f t="shared" si="138"/>
        <v>0</v>
      </c>
      <c r="G681" s="170">
        <f t="shared" si="139"/>
        <v>0</v>
      </c>
      <c r="H681" s="531">
        <f>ROUND(F681*'Actual Load'!$B$14/'Zonal Load'!$N$14,2)</f>
        <v>0</v>
      </c>
      <c r="I681" s="170">
        <f t="shared" si="140"/>
        <v>0</v>
      </c>
      <c r="J681" s="170">
        <f>I681-F681</f>
        <v>0</v>
      </c>
      <c r="K681" s="170">
        <f>+G681+J681</f>
        <v>0</v>
      </c>
      <c r="L681" s="655">
        <f>E681*'Interest Over Collect'!J$9</f>
        <v>0</v>
      </c>
      <c r="M681" s="170">
        <f t="shared" si="141"/>
        <v>0</v>
      </c>
      <c r="N681" s="192"/>
    </row>
    <row r="682" spans="1:14" s="174" customFormat="1">
      <c r="B682" s="23" t="s">
        <v>190</v>
      </c>
      <c r="C682" s="211">
        <f>0%*0.421</f>
        <v>0</v>
      </c>
      <c r="D682" s="214">
        <f>0%*0.421</f>
        <v>0</v>
      </c>
      <c r="E682" s="212">
        <v>0</v>
      </c>
      <c r="F682" s="213">
        <f t="shared" si="138"/>
        <v>0</v>
      </c>
      <c r="G682" s="170">
        <f t="shared" si="139"/>
        <v>0</v>
      </c>
      <c r="H682" s="531">
        <f>ROUND(F682*'Actual Load'!$B$9/'Zonal Load'!$N$9,2)</f>
        <v>0</v>
      </c>
      <c r="I682" s="170">
        <f t="shared" si="140"/>
        <v>0</v>
      </c>
      <c r="J682" s="170">
        <f>I682-F682</f>
        <v>0</v>
      </c>
      <c r="K682" s="170">
        <f>+G682+J682</f>
        <v>0</v>
      </c>
      <c r="L682" s="655">
        <f>E682*'Interest Over Collect'!J$9</f>
        <v>0</v>
      </c>
      <c r="M682" s="170">
        <f t="shared" si="141"/>
        <v>0</v>
      </c>
      <c r="N682" s="192"/>
    </row>
    <row r="683" spans="1:14" s="174" customFormat="1">
      <c r="B683" s="125" t="s">
        <v>249</v>
      </c>
      <c r="C683" s="211">
        <f>0%*0.579</f>
        <v>0</v>
      </c>
      <c r="D683" s="214">
        <f>0%*0.579</f>
        <v>0</v>
      </c>
      <c r="E683" s="212">
        <v>0</v>
      </c>
      <c r="F683" s="213">
        <f t="shared" si="138"/>
        <v>0</v>
      </c>
      <c r="G683" s="170">
        <f t="shared" si="139"/>
        <v>0</v>
      </c>
      <c r="H683" s="531">
        <f>ROUND(F683*'Actual Load'!$B$10/'Zonal Load'!$N$10,2)</f>
        <v>0</v>
      </c>
      <c r="I683" s="170">
        <f t="shared" si="140"/>
        <v>0</v>
      </c>
      <c r="J683" s="170">
        <f>I683-F683</f>
        <v>0</v>
      </c>
      <c r="K683" s="170">
        <f>+G683+J683</f>
        <v>0</v>
      </c>
      <c r="L683" s="655">
        <f>E683*'Interest Over Collect'!J$9</f>
        <v>0</v>
      </c>
      <c r="M683" s="170">
        <f t="shared" si="141"/>
        <v>0</v>
      </c>
      <c r="N683" s="192"/>
    </row>
    <row r="684" spans="1:14" s="174" customFormat="1">
      <c r="B684" s="23" t="s">
        <v>17</v>
      </c>
      <c r="C684" s="211">
        <v>0</v>
      </c>
      <c r="D684" s="214">
        <v>0</v>
      </c>
      <c r="E684" s="212">
        <v>0</v>
      </c>
      <c r="F684" s="213">
        <f t="shared" si="138"/>
        <v>0</v>
      </c>
      <c r="G684" s="170">
        <f t="shared" si="139"/>
        <v>0</v>
      </c>
      <c r="H684" s="531">
        <f>ROUND(F684*'Actual Load'!$B$26/'Zonal Load'!$N$26,2)</f>
        <v>0</v>
      </c>
      <c r="I684" s="170">
        <f t="shared" si="140"/>
        <v>0</v>
      </c>
      <c r="J684" s="170">
        <f t="shared" ref="J684:J702" si="142">I684-F684</f>
        <v>0</v>
      </c>
      <c r="K684" s="170">
        <f t="shared" ref="K684:K702" si="143">+G684+J684</f>
        <v>0</v>
      </c>
      <c r="L684" s="655">
        <f>E684*'Interest Over Collect'!J$9</f>
        <v>0</v>
      </c>
      <c r="M684" s="170">
        <f t="shared" si="141"/>
        <v>0</v>
      </c>
      <c r="N684" s="192"/>
    </row>
    <row r="685" spans="1:14" s="174" customFormat="1">
      <c r="B685" s="23" t="s">
        <v>18</v>
      </c>
      <c r="C685" s="211">
        <v>0</v>
      </c>
      <c r="D685" s="214">
        <v>0</v>
      </c>
      <c r="E685" s="212">
        <v>0</v>
      </c>
      <c r="F685" s="213">
        <f t="shared" si="138"/>
        <v>0</v>
      </c>
      <c r="G685" s="170">
        <f t="shared" si="139"/>
        <v>0</v>
      </c>
      <c r="H685" s="531">
        <f>ROUND(F685*'Actual Load'!$B$16/'Zonal Load'!$N$16,2)</f>
        <v>0</v>
      </c>
      <c r="I685" s="170">
        <f t="shared" si="140"/>
        <v>0</v>
      </c>
      <c r="J685" s="170">
        <f t="shared" si="142"/>
        <v>0</v>
      </c>
      <c r="K685" s="170">
        <f t="shared" si="143"/>
        <v>0</v>
      </c>
      <c r="L685" s="655">
        <f>E685*'Interest Over Collect'!J$9</f>
        <v>0</v>
      </c>
      <c r="M685" s="170">
        <f t="shared" si="141"/>
        <v>0</v>
      </c>
      <c r="N685" s="192"/>
    </row>
    <row r="686" spans="1:14" s="174" customFormat="1">
      <c r="B686" s="23" t="s">
        <v>19</v>
      </c>
      <c r="C686" s="211">
        <v>0</v>
      </c>
      <c r="D686" s="214">
        <v>0</v>
      </c>
      <c r="E686" s="212">
        <v>0</v>
      </c>
      <c r="F686" s="213">
        <f t="shared" si="138"/>
        <v>0</v>
      </c>
      <c r="G686" s="170">
        <f t="shared" si="139"/>
        <v>0</v>
      </c>
      <c r="H686" s="531">
        <f>ROUND(F686*'Actual Load'!$B$22/'Zonal Load'!$N$22,2)</f>
        <v>0</v>
      </c>
      <c r="I686" s="170">
        <f t="shared" si="140"/>
        <v>0</v>
      </c>
      <c r="J686" s="170">
        <f t="shared" si="142"/>
        <v>0</v>
      </c>
      <c r="K686" s="170">
        <f t="shared" si="143"/>
        <v>0</v>
      </c>
      <c r="L686" s="655">
        <f>E686*'Interest Over Collect'!J$9</f>
        <v>0</v>
      </c>
      <c r="M686" s="170">
        <f t="shared" si="141"/>
        <v>0</v>
      </c>
      <c r="N686" s="192"/>
    </row>
    <row r="687" spans="1:14" s="174" customFormat="1">
      <c r="B687" s="23" t="s">
        <v>20</v>
      </c>
      <c r="C687" s="211">
        <v>0</v>
      </c>
      <c r="D687" s="214">
        <v>0</v>
      </c>
      <c r="E687" s="212">
        <v>0</v>
      </c>
      <c r="F687" s="213">
        <f t="shared" si="138"/>
        <v>0</v>
      </c>
      <c r="G687" s="170">
        <f t="shared" si="139"/>
        <v>0</v>
      </c>
      <c r="H687" s="531">
        <f>ROUND(F687*'Actual Load'!$B$17/'Zonal Load'!$N$17,2)</f>
        <v>0</v>
      </c>
      <c r="I687" s="170">
        <f t="shared" si="140"/>
        <v>0</v>
      </c>
      <c r="J687" s="170">
        <f t="shared" si="142"/>
        <v>0</v>
      </c>
      <c r="K687" s="170">
        <f t="shared" si="143"/>
        <v>0</v>
      </c>
      <c r="L687" s="655">
        <f>E687*'Interest Over Collect'!J$9</f>
        <v>0</v>
      </c>
      <c r="M687" s="170">
        <f t="shared" si="141"/>
        <v>0</v>
      </c>
      <c r="N687" s="192"/>
    </row>
    <row r="688" spans="1:14" s="174" customFormat="1">
      <c r="B688" s="23" t="s">
        <v>21</v>
      </c>
      <c r="C688" s="211">
        <v>0</v>
      </c>
      <c r="D688" s="214">
        <v>0</v>
      </c>
      <c r="E688" s="212">
        <v>0</v>
      </c>
      <c r="F688" s="213">
        <f t="shared" si="138"/>
        <v>0</v>
      </c>
      <c r="G688" s="170">
        <f t="shared" si="139"/>
        <v>0</v>
      </c>
      <c r="H688" s="531">
        <f>ROUND(F688*'Actual Load'!$B$15/'Zonal Load'!$N$15,2)</f>
        <v>0</v>
      </c>
      <c r="I688" s="170">
        <f t="shared" si="140"/>
        <v>0</v>
      </c>
      <c r="J688" s="170">
        <f t="shared" si="142"/>
        <v>0</v>
      </c>
      <c r="K688" s="170">
        <f t="shared" si="143"/>
        <v>0</v>
      </c>
      <c r="L688" s="655">
        <f>E688*'Interest Over Collect'!J$9</f>
        <v>0</v>
      </c>
      <c r="M688" s="170">
        <f t="shared" si="141"/>
        <v>0</v>
      </c>
      <c r="N688" s="192"/>
    </row>
    <row r="689" spans="2:14" s="174" customFormat="1">
      <c r="B689" s="23" t="s">
        <v>22</v>
      </c>
      <c r="C689" s="211">
        <v>0</v>
      </c>
      <c r="D689" s="214">
        <v>0</v>
      </c>
      <c r="E689" s="212">
        <v>0</v>
      </c>
      <c r="F689" s="213">
        <f t="shared" si="138"/>
        <v>0</v>
      </c>
      <c r="G689" s="170">
        <f t="shared" si="139"/>
        <v>0</v>
      </c>
      <c r="H689" s="531">
        <f>ROUND(F689*'Actual Load'!$B$4/'Zonal Load'!$N$4,2)</f>
        <v>0</v>
      </c>
      <c r="I689" s="170">
        <f t="shared" si="140"/>
        <v>0</v>
      </c>
      <c r="J689" s="170">
        <f t="shared" si="142"/>
        <v>0</v>
      </c>
      <c r="K689" s="170">
        <f t="shared" si="143"/>
        <v>0</v>
      </c>
      <c r="L689" s="655">
        <f>E689*'Interest Over Collect'!J$9</f>
        <v>0</v>
      </c>
      <c r="M689" s="170">
        <f t="shared" si="141"/>
        <v>0</v>
      </c>
      <c r="N689" s="192"/>
    </row>
    <row r="690" spans="2:14" s="174" customFormat="1">
      <c r="B690" s="23" t="s">
        <v>23</v>
      </c>
      <c r="C690" s="211">
        <v>0</v>
      </c>
      <c r="D690" s="214">
        <v>0</v>
      </c>
      <c r="E690" s="212">
        <v>0</v>
      </c>
      <c r="F690" s="213">
        <f t="shared" si="138"/>
        <v>0</v>
      </c>
      <c r="G690" s="170">
        <f t="shared" si="139"/>
        <v>0</v>
      </c>
      <c r="H690" s="531">
        <f>ROUND(F690*'Actual Load'!$B$11/'Zonal Load'!$N$11,2)</f>
        <v>0</v>
      </c>
      <c r="I690" s="170">
        <f t="shared" si="140"/>
        <v>0</v>
      </c>
      <c r="J690" s="170">
        <f t="shared" si="142"/>
        <v>0</v>
      </c>
      <c r="K690" s="170">
        <f t="shared" si="143"/>
        <v>0</v>
      </c>
      <c r="L690" s="655">
        <f>E690*'Interest Over Collect'!J$9</f>
        <v>0</v>
      </c>
      <c r="M690" s="170">
        <f t="shared" si="141"/>
        <v>0</v>
      </c>
      <c r="N690" s="192"/>
    </row>
    <row r="691" spans="2:14" s="174" customFormat="1">
      <c r="B691" s="23" t="s">
        <v>25</v>
      </c>
      <c r="C691" s="211">
        <v>0</v>
      </c>
      <c r="D691" s="214">
        <v>0</v>
      </c>
      <c r="E691" s="212">
        <v>0</v>
      </c>
      <c r="F691" s="213">
        <f t="shared" si="138"/>
        <v>0</v>
      </c>
      <c r="G691" s="170">
        <f t="shared" si="139"/>
        <v>0</v>
      </c>
      <c r="H691" s="531">
        <f>ROUND(F691*'Actual Load'!$B$7/'Zonal Load'!$N$7,2)</f>
        <v>0</v>
      </c>
      <c r="I691" s="170">
        <f t="shared" si="140"/>
        <v>0</v>
      </c>
      <c r="J691" s="170">
        <f t="shared" si="142"/>
        <v>0</v>
      </c>
      <c r="K691" s="170">
        <f t="shared" si="143"/>
        <v>0</v>
      </c>
      <c r="L691" s="655">
        <f>E691*'Interest Over Collect'!J$9</f>
        <v>0</v>
      </c>
      <c r="M691" s="170">
        <f t="shared" si="141"/>
        <v>0</v>
      </c>
      <c r="N691" s="192"/>
    </row>
    <row r="692" spans="2:14" s="174" customFormat="1">
      <c r="B692" s="23" t="s">
        <v>24</v>
      </c>
      <c r="C692" s="211">
        <v>0</v>
      </c>
      <c r="D692" s="214">
        <v>0</v>
      </c>
      <c r="E692" s="212">
        <v>0</v>
      </c>
      <c r="F692" s="213">
        <f t="shared" si="138"/>
        <v>0</v>
      </c>
      <c r="G692" s="170">
        <f t="shared" si="139"/>
        <v>0</v>
      </c>
      <c r="H692" s="531">
        <f>ROUND(F692*'Actual Load'!$B$6/'Zonal Load'!$N$6,2)</f>
        <v>0</v>
      </c>
      <c r="I692" s="170">
        <f t="shared" si="140"/>
        <v>0</v>
      </c>
      <c r="J692" s="170">
        <f t="shared" si="142"/>
        <v>0</v>
      </c>
      <c r="K692" s="170">
        <f t="shared" si="143"/>
        <v>0</v>
      </c>
      <c r="L692" s="655">
        <f>E692*'Interest Over Collect'!J$9</f>
        <v>0</v>
      </c>
      <c r="M692" s="170">
        <f t="shared" si="141"/>
        <v>0</v>
      </c>
      <c r="N692" s="192"/>
    </row>
    <row r="693" spans="2:14" s="174" customFormat="1">
      <c r="B693" s="23" t="s">
        <v>116</v>
      </c>
      <c r="C693" s="211">
        <v>0</v>
      </c>
      <c r="D693" s="214">
        <v>0</v>
      </c>
      <c r="E693" s="212">
        <v>0</v>
      </c>
      <c r="F693" s="213">
        <f t="shared" si="138"/>
        <v>0</v>
      </c>
      <c r="G693" s="170">
        <f t="shared" si="139"/>
        <v>0</v>
      </c>
      <c r="H693" s="531">
        <f>ROUND(F693*'Actual Load'!$B$18/'Zonal Load'!$N$18,2)</f>
        <v>0</v>
      </c>
      <c r="I693" s="170">
        <f t="shared" si="140"/>
        <v>0</v>
      </c>
      <c r="J693" s="170">
        <f t="shared" si="142"/>
        <v>0</v>
      </c>
      <c r="K693" s="170">
        <f t="shared" si="143"/>
        <v>0</v>
      </c>
      <c r="L693" s="655">
        <f>E693*'Interest Over Collect'!J$9</f>
        <v>0</v>
      </c>
      <c r="M693" s="170">
        <f t="shared" si="141"/>
        <v>0</v>
      </c>
      <c r="N693" s="192"/>
    </row>
    <row r="694" spans="2:14" s="174" customFormat="1">
      <c r="B694" s="23" t="s">
        <v>117</v>
      </c>
      <c r="C694" s="211">
        <v>0</v>
      </c>
      <c r="D694" s="214">
        <v>0</v>
      </c>
      <c r="E694" s="212">
        <v>0</v>
      </c>
      <c r="F694" s="213">
        <f t="shared" si="138"/>
        <v>0</v>
      </c>
      <c r="G694" s="170">
        <f t="shared" si="139"/>
        <v>0</v>
      </c>
      <c r="H694" s="531">
        <f>ROUND(F694*'Actual Load'!$B$17/'Zonal Load'!$N$17,2)</f>
        <v>0</v>
      </c>
      <c r="I694" s="170">
        <f t="shared" si="140"/>
        <v>0</v>
      </c>
      <c r="J694" s="170">
        <f t="shared" si="142"/>
        <v>0</v>
      </c>
      <c r="K694" s="170">
        <f t="shared" si="143"/>
        <v>0</v>
      </c>
      <c r="L694" s="655">
        <f>E694*'Interest Over Collect'!J$9</f>
        <v>0</v>
      </c>
      <c r="M694" s="170">
        <f t="shared" si="141"/>
        <v>0</v>
      </c>
      <c r="N694" s="192"/>
    </row>
    <row r="695" spans="2:14" s="174" customFormat="1">
      <c r="B695" s="23" t="s">
        <v>26</v>
      </c>
      <c r="C695" s="211">
        <v>0</v>
      </c>
      <c r="D695" s="214">
        <v>0</v>
      </c>
      <c r="E695" s="212">
        <v>0</v>
      </c>
      <c r="F695" s="213">
        <f t="shared" si="138"/>
        <v>0</v>
      </c>
      <c r="G695" s="170">
        <f t="shared" si="139"/>
        <v>0</v>
      </c>
      <c r="H695" s="531">
        <f>ROUND(F695*'Actual Load'!$B$12/'Zonal Load'!$N$12,2)</f>
        <v>0</v>
      </c>
      <c r="I695" s="170">
        <f t="shared" si="140"/>
        <v>0</v>
      </c>
      <c r="J695" s="170">
        <f t="shared" si="142"/>
        <v>0</v>
      </c>
      <c r="K695" s="170">
        <f t="shared" si="143"/>
        <v>0</v>
      </c>
      <c r="L695" s="655">
        <f>E695*'Interest Over Collect'!J$9</f>
        <v>0</v>
      </c>
      <c r="M695" s="170">
        <f t="shared" si="141"/>
        <v>0</v>
      </c>
      <c r="N695" s="192"/>
    </row>
    <row r="696" spans="2:14" s="174" customFormat="1">
      <c r="B696" s="23" t="s">
        <v>27</v>
      </c>
      <c r="C696" s="211">
        <v>0</v>
      </c>
      <c r="D696" s="214">
        <v>0</v>
      </c>
      <c r="E696" s="212">
        <v>0</v>
      </c>
      <c r="F696" s="213">
        <f t="shared" si="138"/>
        <v>0</v>
      </c>
      <c r="G696" s="170">
        <f t="shared" si="139"/>
        <v>0</v>
      </c>
      <c r="H696" s="531">
        <f>ROUND(F696*'Actual Load'!$B$24/'Zonal Load'!$N$24,2)</f>
        <v>0</v>
      </c>
      <c r="I696" s="170">
        <f t="shared" si="140"/>
        <v>0</v>
      </c>
      <c r="J696" s="170">
        <f t="shared" si="142"/>
        <v>0</v>
      </c>
      <c r="K696" s="170">
        <f t="shared" si="143"/>
        <v>0</v>
      </c>
      <c r="L696" s="655">
        <f>E696*'Interest Over Collect'!J$9</f>
        <v>0</v>
      </c>
      <c r="M696" s="170">
        <f t="shared" si="141"/>
        <v>0</v>
      </c>
      <c r="N696" s="192"/>
    </row>
    <row r="697" spans="2:14" s="174" customFormat="1">
      <c r="B697" s="23" t="s">
        <v>28</v>
      </c>
      <c r="C697" s="211">
        <v>0</v>
      </c>
      <c r="D697" s="214">
        <v>0</v>
      </c>
      <c r="E697" s="212">
        <v>0</v>
      </c>
      <c r="F697" s="213">
        <f t="shared" si="138"/>
        <v>0</v>
      </c>
      <c r="G697" s="170">
        <f t="shared" si="139"/>
        <v>0</v>
      </c>
      <c r="H697" s="531">
        <f>ROUND(F697*'Actual Load'!$B$5/'Zonal Load'!$N$5,2)</f>
        <v>0</v>
      </c>
      <c r="I697" s="170">
        <f t="shared" si="140"/>
        <v>0</v>
      </c>
      <c r="J697" s="170">
        <f t="shared" si="142"/>
        <v>0</v>
      </c>
      <c r="K697" s="170">
        <f t="shared" si="143"/>
        <v>0</v>
      </c>
      <c r="L697" s="655">
        <f>E697*'Interest Over Collect'!J$9</f>
        <v>0</v>
      </c>
      <c r="M697" s="170">
        <f t="shared" si="141"/>
        <v>0</v>
      </c>
      <c r="N697" s="192"/>
    </row>
    <row r="698" spans="2:14" s="174" customFormat="1">
      <c r="B698" s="23" t="s">
        <v>29</v>
      </c>
      <c r="C698" s="211">
        <v>0</v>
      </c>
      <c r="D698" s="214">
        <v>0</v>
      </c>
      <c r="E698" s="212">
        <v>0.6608096815132255</v>
      </c>
      <c r="F698" s="213">
        <f t="shared" si="138"/>
        <v>1823024.57</v>
      </c>
      <c r="G698" s="170">
        <f t="shared" si="139"/>
        <v>36065.009987947305</v>
      </c>
      <c r="H698" s="531">
        <f>ROUND(F698*'Actual Load'!$B$21/'Zonal Load'!$N$21,2)</f>
        <v>1746961.27</v>
      </c>
      <c r="I698" s="170">
        <f t="shared" si="140"/>
        <v>1765703.01</v>
      </c>
      <c r="J698" s="170">
        <f t="shared" si="142"/>
        <v>-57321.560000000056</v>
      </c>
      <c r="K698" s="170">
        <f t="shared" si="143"/>
        <v>-21256.55001205275</v>
      </c>
      <c r="L698" s="655">
        <f>E698*'Interest Over Collect'!J$9</f>
        <v>9111.6734149973363</v>
      </c>
      <c r="M698" s="170">
        <f t="shared" si="141"/>
        <v>-12144.876597055414</v>
      </c>
      <c r="N698" s="192"/>
    </row>
    <row r="699" spans="2:14" s="174" customFormat="1">
      <c r="B699" s="23" t="s">
        <v>30</v>
      </c>
      <c r="C699" s="211">
        <v>0</v>
      </c>
      <c r="D699" s="214">
        <v>0</v>
      </c>
      <c r="E699" s="212">
        <v>0</v>
      </c>
      <c r="F699" s="213">
        <f t="shared" si="138"/>
        <v>0</v>
      </c>
      <c r="G699" s="170">
        <f t="shared" si="139"/>
        <v>0</v>
      </c>
      <c r="H699" s="531">
        <f>ROUND(F699*'Actual Load'!$B$19/'Zonal Load'!$N$19,2)</f>
        <v>0</v>
      </c>
      <c r="I699" s="170">
        <f t="shared" si="140"/>
        <v>0</v>
      </c>
      <c r="J699" s="170">
        <f t="shared" si="142"/>
        <v>0</v>
      </c>
      <c r="K699" s="170">
        <f t="shared" si="143"/>
        <v>0</v>
      </c>
      <c r="L699" s="655">
        <f>E699*'Interest Over Collect'!J$9</f>
        <v>0</v>
      </c>
      <c r="M699" s="170">
        <f t="shared" si="141"/>
        <v>0</v>
      </c>
      <c r="N699" s="192"/>
    </row>
    <row r="700" spans="2:14" s="174" customFormat="1">
      <c r="B700" s="23" t="s">
        <v>31</v>
      </c>
      <c r="C700" s="211">
        <v>0</v>
      </c>
      <c r="D700" s="214">
        <v>0</v>
      </c>
      <c r="E700" s="212">
        <v>0</v>
      </c>
      <c r="F700" s="213">
        <f t="shared" si="138"/>
        <v>0</v>
      </c>
      <c r="G700" s="170">
        <f t="shared" si="139"/>
        <v>0</v>
      </c>
      <c r="H700" s="531">
        <f>ROUND(F700*'Actual Load'!$B$25/'Zonal Load'!$N$25,2)</f>
        <v>0</v>
      </c>
      <c r="I700" s="170">
        <f t="shared" si="140"/>
        <v>0</v>
      </c>
      <c r="J700" s="170">
        <f t="shared" si="142"/>
        <v>0</v>
      </c>
      <c r="K700" s="170">
        <f t="shared" si="143"/>
        <v>0</v>
      </c>
      <c r="L700" s="655">
        <f>E700*'Interest Over Collect'!J$9</f>
        <v>0</v>
      </c>
      <c r="M700" s="170">
        <f t="shared" si="141"/>
        <v>0</v>
      </c>
      <c r="N700" s="192"/>
    </row>
    <row r="701" spans="2:14" s="174" customFormat="1">
      <c r="B701" s="23" t="s">
        <v>32</v>
      </c>
      <c r="C701" s="211">
        <v>0</v>
      </c>
      <c r="D701" s="214">
        <v>0</v>
      </c>
      <c r="E701" s="212">
        <v>0.11315289719688514</v>
      </c>
      <c r="F701" s="213">
        <f t="shared" si="138"/>
        <v>312163.27</v>
      </c>
      <c r="G701" s="170">
        <f t="shared" si="139"/>
        <v>6175.5456703144</v>
      </c>
      <c r="H701" s="531">
        <f>ROUND(F701*'Actual Load'!$B$13/'Zonal Load'!$N$13,2)</f>
        <v>299456.21000000002</v>
      </c>
      <c r="I701" s="170">
        <f t="shared" si="140"/>
        <v>302668.83</v>
      </c>
      <c r="J701" s="170">
        <f t="shared" si="142"/>
        <v>-9494.4400000000023</v>
      </c>
      <c r="K701" s="170">
        <f t="shared" si="143"/>
        <v>-3318.8943296856023</v>
      </c>
      <c r="L701" s="655">
        <f>E701*'Interest Over Collect'!J$9</f>
        <v>1560.2256959338301</v>
      </c>
      <c r="M701" s="170">
        <f t="shared" si="141"/>
        <v>-1758.6686337517722</v>
      </c>
      <c r="N701" s="192"/>
    </row>
    <row r="702" spans="2:14" s="174" customFormat="1">
      <c r="B702" s="23" t="s">
        <v>33</v>
      </c>
      <c r="C702" s="211">
        <v>0</v>
      </c>
      <c r="D702" s="214">
        <v>0</v>
      </c>
      <c r="E702" s="212">
        <v>0.2260374212898893</v>
      </c>
      <c r="F702" s="213">
        <f t="shared" si="138"/>
        <v>623586.16</v>
      </c>
      <c r="G702" s="170">
        <f t="shared" si="139"/>
        <v>12336.444341738288</v>
      </c>
      <c r="H702" s="531">
        <f>ROUND(F702*'Actual Load'!$B$23/'Zonal Load'!$N$23,2)</f>
        <v>848504.86</v>
      </c>
      <c r="I702" s="170">
        <f t="shared" si="140"/>
        <v>857607.78</v>
      </c>
      <c r="J702" s="170">
        <f t="shared" si="142"/>
        <v>234021.62</v>
      </c>
      <c r="K702" s="170">
        <f t="shared" si="143"/>
        <v>246358.0643417383</v>
      </c>
      <c r="L702" s="655">
        <f>E702*'Interest Over Collect'!J$9</f>
        <v>3116.7508890688318</v>
      </c>
      <c r="M702" s="170">
        <f t="shared" si="141"/>
        <v>249474.81523080711</v>
      </c>
      <c r="N702" s="192"/>
    </row>
    <row r="703" spans="2:14" s="174" customFormat="1">
      <c r="B703" s="194" t="s">
        <v>34</v>
      </c>
      <c r="C703" s="211">
        <v>0</v>
      </c>
      <c r="D703" s="214">
        <v>0</v>
      </c>
      <c r="E703" s="212">
        <v>0</v>
      </c>
      <c r="F703" s="213">
        <f t="shared" si="138"/>
        <v>0</v>
      </c>
      <c r="G703" s="170">
        <f t="shared" si="139"/>
        <v>0</v>
      </c>
      <c r="H703" s="531">
        <f>ROUND(F703*'Actual Load'!$B$20/'Zonal Load'!$N$20,2)</f>
        <v>0</v>
      </c>
      <c r="I703" s="170">
        <f t="shared" si="140"/>
        <v>0</v>
      </c>
      <c r="J703" s="170">
        <f>I703-F703</f>
        <v>0</v>
      </c>
      <c r="K703" s="170">
        <f>+G703+J703</f>
        <v>0</v>
      </c>
      <c r="L703" s="655">
        <f>E703*'Interest Over Collect'!J$9</f>
        <v>0</v>
      </c>
      <c r="M703" s="170">
        <f t="shared" si="141"/>
        <v>0</v>
      </c>
      <c r="N703" s="192"/>
    </row>
    <row r="704" spans="2:14" s="174" customFormat="1">
      <c r="B704" s="194" t="s">
        <v>110</v>
      </c>
      <c r="C704" s="211">
        <v>0</v>
      </c>
      <c r="D704" s="214">
        <v>0</v>
      </c>
      <c r="E704" s="212">
        <v>0</v>
      </c>
      <c r="F704" s="213">
        <f t="shared" si="138"/>
        <v>0</v>
      </c>
      <c r="G704" s="170">
        <f t="shared" si="139"/>
        <v>0</v>
      </c>
      <c r="H704" s="531">
        <f>ROUND(F704*'Actual Load'!$B$27/'Zonal Load'!$N$27,2)</f>
        <v>0</v>
      </c>
      <c r="I704" s="170">
        <f t="shared" si="140"/>
        <v>0</v>
      </c>
      <c r="J704" s="170">
        <f>I704-F704</f>
        <v>0</v>
      </c>
      <c r="K704" s="170">
        <f>+G704+J704</f>
        <v>0</v>
      </c>
      <c r="L704" s="655">
        <f>E704*'Interest Over Collect'!J$9</f>
        <v>0</v>
      </c>
      <c r="M704" s="170">
        <f t="shared" si="141"/>
        <v>0</v>
      </c>
      <c r="N704" s="192"/>
    </row>
    <row r="705" spans="2:14" s="174" customFormat="1">
      <c r="B705" s="194" t="s">
        <v>111</v>
      </c>
      <c r="C705" s="211">
        <v>0</v>
      </c>
      <c r="D705" s="214">
        <v>0</v>
      </c>
      <c r="E705" s="212">
        <v>0</v>
      </c>
      <c r="F705" s="213">
        <f t="shared" si="138"/>
        <v>0</v>
      </c>
      <c r="G705" s="170">
        <f t="shared" si="139"/>
        <v>0</v>
      </c>
      <c r="H705" s="531">
        <f>ROUND(F705*'Actual Load'!$B$28/'Zonal Load'!$N$28,2)</f>
        <v>0</v>
      </c>
      <c r="I705" s="170">
        <f t="shared" si="140"/>
        <v>0</v>
      </c>
      <c r="J705" s="170">
        <f>I705-F705</f>
        <v>0</v>
      </c>
      <c r="K705" s="170">
        <f>+G705+J705</f>
        <v>0</v>
      </c>
      <c r="L705" s="655">
        <f>E705*'Interest Over Collect'!J$9</f>
        <v>0</v>
      </c>
      <c r="M705" s="170">
        <f t="shared" si="141"/>
        <v>0</v>
      </c>
      <c r="N705" s="192"/>
    </row>
    <row r="706" spans="2:14" s="174" customFormat="1">
      <c r="B706" s="194" t="s">
        <v>118</v>
      </c>
      <c r="C706" s="211">
        <v>0</v>
      </c>
      <c r="D706" s="214">
        <v>0</v>
      </c>
      <c r="E706" s="515">
        <v>0</v>
      </c>
      <c r="F706" s="213">
        <f t="shared" si="138"/>
        <v>0</v>
      </c>
      <c r="G706" s="170">
        <f t="shared" si="139"/>
        <v>0</v>
      </c>
      <c r="H706" s="531">
        <f>ROUND(F706*'Actual Load'!$B$29/'Zonal Load'!$N$29,2)</f>
        <v>0</v>
      </c>
      <c r="I706" s="170">
        <f t="shared" si="140"/>
        <v>0</v>
      </c>
      <c r="J706" s="170">
        <f>I706-F706</f>
        <v>0</v>
      </c>
      <c r="K706" s="170">
        <f>+G706+J706</f>
        <v>0</v>
      </c>
      <c r="L706" s="655">
        <f>E706*'Interest Over Collect'!J$9</f>
        <v>0</v>
      </c>
      <c r="M706" s="170">
        <f t="shared" si="141"/>
        <v>0</v>
      </c>
      <c r="N706" s="192"/>
    </row>
    <row r="707" spans="2:14" s="174" customFormat="1">
      <c r="B707" s="194" t="s">
        <v>119</v>
      </c>
      <c r="C707" s="211">
        <v>0</v>
      </c>
      <c r="D707" s="214">
        <v>0</v>
      </c>
      <c r="E707" s="515">
        <v>0</v>
      </c>
      <c r="F707" s="213">
        <f t="shared" si="138"/>
        <v>0</v>
      </c>
      <c r="G707" s="170">
        <f t="shared" si="139"/>
        <v>0</v>
      </c>
      <c r="H707" s="531">
        <f>ROUND(F707*'Actual Load'!$B$30/'Zonal Load'!$N$30,2)</f>
        <v>0</v>
      </c>
      <c r="I707" s="170">
        <f t="shared" si="140"/>
        <v>0</v>
      </c>
      <c r="J707" s="170">
        <f>I707-F707</f>
        <v>0</v>
      </c>
      <c r="K707" s="170">
        <f>+G707+J707</f>
        <v>0</v>
      </c>
      <c r="L707" s="655">
        <f>E707*'Interest Over Collect'!J$9</f>
        <v>0</v>
      </c>
      <c r="M707" s="170">
        <f t="shared" si="141"/>
        <v>0</v>
      </c>
      <c r="N707" s="192"/>
    </row>
    <row r="708" spans="2:14">
      <c r="B708" s="483"/>
      <c r="C708" s="482">
        <f>SUM(C680:C706)</f>
        <v>0</v>
      </c>
      <c r="D708" s="27">
        <f>SUM(D680:D706)</f>
        <v>0</v>
      </c>
      <c r="E708" s="94">
        <f>SUM(E680:E706)</f>
        <v>1</v>
      </c>
      <c r="F708" s="90">
        <f>SUM(F680:F706)</f>
        <v>2758774</v>
      </c>
      <c r="G708" s="131">
        <f>SUM(G680:G706)</f>
        <v>54576.999999999993</v>
      </c>
      <c r="H708" s="131">
        <f t="shared" ref="H708:M708" si="144">SUM(H680:H706)</f>
        <v>2894922.34</v>
      </c>
      <c r="I708" s="131">
        <f t="shared" si="144"/>
        <v>2925979.62</v>
      </c>
      <c r="J708" s="131">
        <f t="shared" si="144"/>
        <v>167205.61999999994</v>
      </c>
      <c r="K708" s="510">
        <f t="shared" si="144"/>
        <v>221782.61999999994</v>
      </c>
      <c r="L708" s="657">
        <f>SUM(L680:L706)</f>
        <v>13788.649999999998</v>
      </c>
      <c r="M708" s="131">
        <f t="shared" si="144"/>
        <v>235571.26999999993</v>
      </c>
      <c r="N708" s="192"/>
    </row>
    <row r="709" spans="2:14">
      <c r="F709" s="3" t="s">
        <v>623</v>
      </c>
      <c r="G709" s="21"/>
      <c r="I709" s="569" t="s">
        <v>621</v>
      </c>
      <c r="J709" s="570" t="s">
        <v>622</v>
      </c>
      <c r="N709" s="192"/>
    </row>
    <row r="710" spans="2:14">
      <c r="E710" s="479" t="s">
        <v>610</v>
      </c>
      <c r="F710" s="168">
        <f>ROUND((I710*M$884)+(J710*M$888),0)</f>
        <v>2758774</v>
      </c>
      <c r="G710" s="21"/>
      <c r="I710" s="168">
        <v>2796793.4312206418</v>
      </c>
      <c r="J710" s="571">
        <v>2631562.7031533751</v>
      </c>
      <c r="N710" s="192"/>
    </row>
    <row r="711" spans="2:14">
      <c r="E711" s="480" t="s">
        <v>611</v>
      </c>
      <c r="F711" s="169">
        <f>ROUND((I711*M$884)+(J711*M$888),0)</f>
        <v>2704197</v>
      </c>
      <c r="G711" s="528">
        <f>F710-F711</f>
        <v>54577</v>
      </c>
      <c r="H711" s="529"/>
      <c r="I711" s="169">
        <f>'Att GG at 12.38 '!N87</f>
        <v>2741376.8834047145</v>
      </c>
      <c r="J711" s="572">
        <f>'Att GG at 10.82'!N87</f>
        <v>2579794.1174898515</v>
      </c>
      <c r="L711" s="81"/>
      <c r="N711" s="192"/>
    </row>
    <row r="712" spans="2:14">
      <c r="E712" s="91" t="s">
        <v>153</v>
      </c>
      <c r="F712" s="175">
        <f>I708</f>
        <v>2925979.62</v>
      </c>
      <c r="G712" s="528">
        <f>F712-F710</f>
        <v>167205.62000000011</v>
      </c>
      <c r="H712" s="530"/>
      <c r="I712" s="29"/>
      <c r="K712" s="86"/>
      <c r="L712" s="644"/>
      <c r="M712" s="86"/>
      <c r="N712" s="192"/>
    </row>
    <row r="713" spans="2:14">
      <c r="G713" s="528">
        <f>G711+G712</f>
        <v>221782.62000000011</v>
      </c>
      <c r="H713" s="529">
        <f>F712-F711</f>
        <v>221782.62000000011</v>
      </c>
      <c r="I713" s="29"/>
      <c r="K713" s="86"/>
      <c r="L713" s="86"/>
      <c r="M713" s="86"/>
      <c r="N713" s="192"/>
    </row>
    <row r="714" spans="2:14">
      <c r="B714" s="79"/>
      <c r="C714" s="79"/>
      <c r="D714" s="79"/>
      <c r="E714" s="79"/>
      <c r="F714" s="79"/>
      <c r="G714" s="79"/>
      <c r="H714" s="79"/>
      <c r="I714" s="79"/>
      <c r="J714" s="105"/>
      <c r="K714" s="79"/>
      <c r="L714" s="79"/>
      <c r="M714" s="79"/>
      <c r="N714" s="192"/>
    </row>
    <row r="715" spans="2:14">
      <c r="L715" s="174"/>
      <c r="N715" s="192"/>
    </row>
    <row r="716" spans="2:14">
      <c r="B716" s="678" t="s">
        <v>0</v>
      </c>
      <c r="C716" s="679"/>
      <c r="D716" s="680" t="s">
        <v>692</v>
      </c>
      <c r="E716" s="681"/>
      <c r="F716" s="681"/>
      <c r="G716" s="681"/>
      <c r="H716" s="682"/>
      <c r="I716" s="142"/>
      <c r="J716" s="1"/>
      <c r="N716" s="192"/>
    </row>
    <row r="717" spans="2:14">
      <c r="B717" s="665" t="s">
        <v>1</v>
      </c>
      <c r="C717" s="666"/>
      <c r="D717" s="667" t="s">
        <v>549</v>
      </c>
      <c r="E717" s="668"/>
      <c r="F717" s="668"/>
      <c r="G717" s="668"/>
      <c r="H717" s="669"/>
      <c r="I717" s="143"/>
      <c r="J717" s="1"/>
      <c r="N717" s="192"/>
    </row>
    <row r="718" spans="2:14">
      <c r="B718" s="665" t="s">
        <v>3</v>
      </c>
      <c r="C718" s="666"/>
      <c r="D718" s="670"/>
      <c r="E718" s="671"/>
      <c r="F718" s="671"/>
      <c r="G718" s="671"/>
      <c r="H718" s="672"/>
      <c r="I718" s="144"/>
      <c r="J718" s="1"/>
      <c r="N718" s="192"/>
    </row>
    <row r="719" spans="2:14">
      <c r="B719" s="673" t="s">
        <v>5</v>
      </c>
      <c r="C719" s="674"/>
      <c r="D719" s="675" t="s">
        <v>29</v>
      </c>
      <c r="E719" s="676"/>
      <c r="F719" s="676"/>
      <c r="G719" s="676"/>
      <c r="H719" s="677"/>
      <c r="I719" s="145"/>
      <c r="J719" s="1"/>
      <c r="N719" s="192"/>
    </row>
    <row r="720" spans="2:14">
      <c r="B720" s="74"/>
      <c r="C720" s="74"/>
      <c r="D720" s="74"/>
      <c r="E720" s="74"/>
      <c r="F720" s="74"/>
      <c r="H720" s="481"/>
      <c r="J720" s="99" t="s">
        <v>155</v>
      </c>
      <c r="K720" s="3" t="s">
        <v>40</v>
      </c>
      <c r="M720" s="3" t="s">
        <v>54</v>
      </c>
      <c r="N720" s="192"/>
    </row>
    <row r="721" spans="1:14">
      <c r="B721" s="74"/>
      <c r="C721" s="74"/>
      <c r="D721" s="74"/>
      <c r="E721" s="74"/>
      <c r="F721" s="74"/>
      <c r="G721" s="3" t="s">
        <v>37</v>
      </c>
      <c r="H721" s="127" t="s">
        <v>38</v>
      </c>
      <c r="I721" s="92" t="s">
        <v>39</v>
      </c>
      <c r="J721" s="100" t="s">
        <v>156</v>
      </c>
      <c r="K721" s="4" t="s">
        <v>157</v>
      </c>
      <c r="L721" s="4" t="s">
        <v>53</v>
      </c>
      <c r="M721" s="4" t="s">
        <v>158</v>
      </c>
      <c r="N721" s="192"/>
    </row>
    <row r="722" spans="1:14">
      <c r="B722" s="74"/>
      <c r="C722" s="74"/>
      <c r="D722" s="74"/>
      <c r="E722" s="74"/>
      <c r="F722" s="74"/>
      <c r="G722" s="5"/>
      <c r="H722" s="662" t="s">
        <v>41</v>
      </c>
      <c r="I722" s="663"/>
      <c r="J722" s="664"/>
      <c r="K722" s="6" t="s">
        <v>42</v>
      </c>
      <c r="L722" s="5"/>
      <c r="M722" s="6" t="s">
        <v>43</v>
      </c>
      <c r="N722" s="192"/>
    </row>
    <row r="723" spans="1:14">
      <c r="B723" s="75"/>
      <c r="C723" s="7">
        <v>0.2</v>
      </c>
      <c r="D723" s="7">
        <v>0.8</v>
      </c>
      <c r="E723" s="7"/>
      <c r="F723" s="87" t="s">
        <v>154</v>
      </c>
      <c r="G723" s="8" t="s">
        <v>44</v>
      </c>
      <c r="H723" s="128"/>
      <c r="I723" s="5"/>
      <c r="J723" s="101" t="s">
        <v>45</v>
      </c>
      <c r="K723" s="8" t="s">
        <v>46</v>
      </c>
      <c r="L723" s="9"/>
      <c r="M723" s="8" t="s">
        <v>47</v>
      </c>
      <c r="N723" s="192"/>
    </row>
    <row r="724" spans="1:14">
      <c r="B724" s="10"/>
      <c r="C724" s="68" t="s">
        <v>8</v>
      </c>
      <c r="D724" s="68" t="s">
        <v>9</v>
      </c>
      <c r="E724" s="68" t="s">
        <v>10</v>
      </c>
      <c r="F724" s="88" t="s">
        <v>7</v>
      </c>
      <c r="G724" s="11" t="s">
        <v>48</v>
      </c>
      <c r="H724" s="129" t="s">
        <v>49</v>
      </c>
      <c r="I724" s="12" t="s">
        <v>152</v>
      </c>
      <c r="J724" s="102" t="s">
        <v>48</v>
      </c>
      <c r="K724" s="12" t="s">
        <v>48</v>
      </c>
      <c r="L724" s="12" t="s">
        <v>50</v>
      </c>
      <c r="M724" s="12" t="s">
        <v>51</v>
      </c>
      <c r="N724" s="192"/>
    </row>
    <row r="725" spans="1:14" ht="31.5">
      <c r="B725" s="13" t="s">
        <v>12</v>
      </c>
      <c r="C725" s="14" t="s">
        <v>13</v>
      </c>
      <c r="D725" s="14" t="s">
        <v>13</v>
      </c>
      <c r="E725" s="15" t="s">
        <v>13</v>
      </c>
      <c r="F725" s="89" t="s">
        <v>14</v>
      </c>
      <c r="G725" s="16" t="s">
        <v>52</v>
      </c>
      <c r="H725" s="130"/>
      <c r="I725" s="17"/>
      <c r="J725" s="103" t="s">
        <v>52</v>
      </c>
      <c r="K725" s="17"/>
      <c r="L725" s="17"/>
      <c r="M725" s="16" t="s">
        <v>52</v>
      </c>
      <c r="N725" s="192"/>
    </row>
    <row r="726" spans="1:14" s="174" customFormat="1">
      <c r="B726" s="18" t="s">
        <v>15</v>
      </c>
      <c r="C726" s="211">
        <v>0</v>
      </c>
      <c r="D726" s="214">
        <v>0</v>
      </c>
      <c r="E726" s="212">
        <v>0</v>
      </c>
      <c r="F726" s="215">
        <f t="shared" ref="F726:F753" si="145">ROUND(+E726*F$756,2)</f>
        <v>0</v>
      </c>
      <c r="G726" s="170">
        <f t="shared" ref="G726:G753" si="146">(F$756-F$757)*E726</f>
        <v>0</v>
      </c>
      <c r="H726" s="531">
        <f>ROUND(F726*'Actual Load'!$B$8/'Zonal Load'!$N$8,2)</f>
        <v>0</v>
      </c>
      <c r="I726" s="170">
        <f t="shared" ref="I726:I753" si="147">ROUND((H726*$H$912)/$H$910,2)</f>
        <v>0</v>
      </c>
      <c r="J726" s="170">
        <f>I726-F726</f>
        <v>0</v>
      </c>
      <c r="K726" s="170">
        <f>+G726+J726</f>
        <v>0</v>
      </c>
      <c r="L726" s="655">
        <f>E726*'Interest Over Collect'!J$10</f>
        <v>0</v>
      </c>
      <c r="M726" s="170">
        <f t="shared" ref="M726:M753" si="148">+K726+L726</f>
        <v>0</v>
      </c>
      <c r="N726" s="192"/>
    </row>
    <row r="727" spans="1:14" s="174" customFormat="1">
      <c r="B727" s="23" t="s">
        <v>16</v>
      </c>
      <c r="C727" s="211">
        <v>0</v>
      </c>
      <c r="D727" s="214">
        <v>0</v>
      </c>
      <c r="E727" s="212">
        <v>0</v>
      </c>
      <c r="F727" s="213">
        <f t="shared" si="145"/>
        <v>0</v>
      </c>
      <c r="G727" s="170">
        <f t="shared" si="146"/>
        <v>0</v>
      </c>
      <c r="H727" s="531">
        <f>ROUND(F727*'Actual Load'!$B$14/'Zonal Load'!$N$14,2)</f>
        <v>0</v>
      </c>
      <c r="I727" s="170">
        <f t="shared" si="147"/>
        <v>0</v>
      </c>
      <c r="J727" s="170">
        <f>I727-F727</f>
        <v>0</v>
      </c>
      <c r="K727" s="170">
        <f>+G727+J727</f>
        <v>0</v>
      </c>
      <c r="L727" s="655">
        <f>E727*'Interest Over Collect'!J$10</f>
        <v>0</v>
      </c>
      <c r="M727" s="170">
        <f t="shared" si="148"/>
        <v>0</v>
      </c>
      <c r="N727" s="192"/>
    </row>
    <row r="728" spans="1:14" s="174" customFormat="1">
      <c r="B728" s="23" t="s">
        <v>190</v>
      </c>
      <c r="C728" s="211">
        <f>0%*0.421</f>
        <v>0</v>
      </c>
      <c r="D728" s="214">
        <f>0%*0.421</f>
        <v>0</v>
      </c>
      <c r="E728" s="212">
        <v>0</v>
      </c>
      <c r="F728" s="213">
        <f t="shared" si="145"/>
        <v>0</v>
      </c>
      <c r="G728" s="170">
        <f t="shared" si="146"/>
        <v>0</v>
      </c>
      <c r="H728" s="531">
        <f>ROUND(F728*'Actual Load'!$B$9/'Zonal Load'!$N$9,2)</f>
        <v>0</v>
      </c>
      <c r="I728" s="170">
        <f t="shared" si="147"/>
        <v>0</v>
      </c>
      <c r="J728" s="170">
        <f>I728-F728</f>
        <v>0</v>
      </c>
      <c r="K728" s="170">
        <f>+G728+J728</f>
        <v>0</v>
      </c>
      <c r="L728" s="655">
        <f>E728*'Interest Over Collect'!J$10</f>
        <v>0</v>
      </c>
      <c r="M728" s="170">
        <f t="shared" si="148"/>
        <v>0</v>
      </c>
      <c r="N728" s="192"/>
    </row>
    <row r="729" spans="1:14" s="174" customFormat="1">
      <c r="B729" s="125" t="s">
        <v>249</v>
      </c>
      <c r="C729" s="211">
        <f>0%*0.579</f>
        <v>0</v>
      </c>
      <c r="D729" s="214">
        <f>0%*0.579</f>
        <v>0</v>
      </c>
      <c r="E729" s="212">
        <v>0</v>
      </c>
      <c r="F729" s="213">
        <f t="shared" si="145"/>
        <v>0</v>
      </c>
      <c r="G729" s="170">
        <f t="shared" si="146"/>
        <v>0</v>
      </c>
      <c r="H729" s="531">
        <f>ROUND(F729*'Actual Load'!$B$10/'Zonal Load'!$N$10,2)</f>
        <v>0</v>
      </c>
      <c r="I729" s="170">
        <f t="shared" si="147"/>
        <v>0</v>
      </c>
      <c r="J729" s="170">
        <f>I729-F729</f>
        <v>0</v>
      </c>
      <c r="K729" s="170">
        <f>+G729+J729</f>
        <v>0</v>
      </c>
      <c r="L729" s="655">
        <f>E729*'Interest Over Collect'!J$10</f>
        <v>0</v>
      </c>
      <c r="M729" s="170">
        <f t="shared" si="148"/>
        <v>0</v>
      </c>
      <c r="N729" s="192"/>
    </row>
    <row r="730" spans="1:14" s="174" customFormat="1">
      <c r="B730" s="23" t="s">
        <v>17</v>
      </c>
      <c r="C730" s="211">
        <v>0</v>
      </c>
      <c r="D730" s="214">
        <v>0</v>
      </c>
      <c r="E730" s="212">
        <v>0</v>
      </c>
      <c r="F730" s="213">
        <f t="shared" si="145"/>
        <v>0</v>
      </c>
      <c r="G730" s="170">
        <f t="shared" si="146"/>
        <v>0</v>
      </c>
      <c r="H730" s="531">
        <f>ROUND(F730*'Actual Load'!$B$26/'Zonal Load'!$N$26,2)</f>
        <v>0</v>
      </c>
      <c r="I730" s="170">
        <f t="shared" si="147"/>
        <v>0</v>
      </c>
      <c r="J730" s="170">
        <f t="shared" ref="J730:J748" si="149">I730-F730</f>
        <v>0</v>
      </c>
      <c r="K730" s="170">
        <f t="shared" ref="K730:K748" si="150">+G730+J730</f>
        <v>0</v>
      </c>
      <c r="L730" s="655">
        <f>E730*'Interest Over Collect'!J$10</f>
        <v>0</v>
      </c>
      <c r="M730" s="170">
        <f t="shared" si="148"/>
        <v>0</v>
      </c>
      <c r="N730" s="192"/>
    </row>
    <row r="731" spans="1:14" s="174" customFormat="1">
      <c r="B731" s="23" t="s">
        <v>18</v>
      </c>
      <c r="C731" s="211">
        <v>0</v>
      </c>
      <c r="D731" s="214">
        <v>0</v>
      </c>
      <c r="E731" s="212">
        <v>0</v>
      </c>
      <c r="F731" s="213">
        <f t="shared" si="145"/>
        <v>0</v>
      </c>
      <c r="G731" s="170">
        <f t="shared" si="146"/>
        <v>0</v>
      </c>
      <c r="H731" s="531">
        <f>ROUND(F731*'Actual Load'!$B$16/'Zonal Load'!$N$16,2)</f>
        <v>0</v>
      </c>
      <c r="I731" s="170">
        <f t="shared" si="147"/>
        <v>0</v>
      </c>
      <c r="J731" s="170">
        <f t="shared" si="149"/>
        <v>0</v>
      </c>
      <c r="K731" s="170">
        <f t="shared" si="150"/>
        <v>0</v>
      </c>
      <c r="L731" s="655">
        <f>E731*'Interest Over Collect'!J$10</f>
        <v>0</v>
      </c>
      <c r="M731" s="170">
        <f t="shared" si="148"/>
        <v>0</v>
      </c>
      <c r="N731" s="192"/>
    </row>
    <row r="732" spans="1:14" s="174" customFormat="1">
      <c r="B732" s="23" t="s">
        <v>19</v>
      </c>
      <c r="C732" s="211">
        <v>0</v>
      </c>
      <c r="D732" s="214">
        <v>0</v>
      </c>
      <c r="E732" s="212">
        <v>0</v>
      </c>
      <c r="F732" s="213">
        <f t="shared" si="145"/>
        <v>0</v>
      </c>
      <c r="G732" s="170">
        <f t="shared" si="146"/>
        <v>0</v>
      </c>
      <c r="H732" s="531">
        <f>ROUND(F732*'Actual Load'!$B$22/'Zonal Load'!$N$22,2)</f>
        <v>0</v>
      </c>
      <c r="I732" s="170">
        <f t="shared" si="147"/>
        <v>0</v>
      </c>
      <c r="J732" s="170">
        <f t="shared" si="149"/>
        <v>0</v>
      </c>
      <c r="K732" s="170">
        <f t="shared" si="150"/>
        <v>0</v>
      </c>
      <c r="L732" s="655">
        <f>E732*'Interest Over Collect'!J$10</f>
        <v>0</v>
      </c>
      <c r="M732" s="170">
        <f t="shared" si="148"/>
        <v>0</v>
      </c>
      <c r="N732" s="192"/>
    </row>
    <row r="733" spans="1:14" s="174" customFormat="1">
      <c r="B733" s="23" t="s">
        <v>20</v>
      </c>
      <c r="C733" s="211">
        <v>0</v>
      </c>
      <c r="D733" s="214">
        <v>0</v>
      </c>
      <c r="E733" s="212">
        <v>0</v>
      </c>
      <c r="F733" s="213">
        <f t="shared" si="145"/>
        <v>0</v>
      </c>
      <c r="G733" s="170">
        <f t="shared" si="146"/>
        <v>0</v>
      </c>
      <c r="H733" s="531">
        <f>ROUND(F733*'Actual Load'!$B$17/'Zonal Load'!$N$17,2)</f>
        <v>0</v>
      </c>
      <c r="I733" s="170">
        <f t="shared" si="147"/>
        <v>0</v>
      </c>
      <c r="J733" s="170">
        <f t="shared" si="149"/>
        <v>0</v>
      </c>
      <c r="K733" s="170">
        <f t="shared" si="150"/>
        <v>0</v>
      </c>
      <c r="L733" s="655">
        <f>E733*'Interest Over Collect'!J$10</f>
        <v>0</v>
      </c>
      <c r="M733" s="170">
        <f t="shared" si="148"/>
        <v>0</v>
      </c>
      <c r="N733" s="192"/>
    </row>
    <row r="734" spans="1:14" s="174" customFormat="1">
      <c r="B734" s="23" t="s">
        <v>21</v>
      </c>
      <c r="C734" s="211">
        <v>0</v>
      </c>
      <c r="D734" s="214">
        <v>0</v>
      </c>
      <c r="E734" s="212">
        <v>0</v>
      </c>
      <c r="F734" s="213">
        <f t="shared" si="145"/>
        <v>0</v>
      </c>
      <c r="G734" s="170">
        <f t="shared" si="146"/>
        <v>0</v>
      </c>
      <c r="H734" s="531">
        <f>ROUND(F734*'Actual Load'!$B$15/'Zonal Load'!$N$15,2)</f>
        <v>0</v>
      </c>
      <c r="I734" s="170">
        <f t="shared" si="147"/>
        <v>0</v>
      </c>
      <c r="J734" s="170">
        <f t="shared" si="149"/>
        <v>0</v>
      </c>
      <c r="K734" s="170">
        <f t="shared" si="150"/>
        <v>0</v>
      </c>
      <c r="L734" s="655">
        <f>E734*'Interest Over Collect'!J$10</f>
        <v>0</v>
      </c>
      <c r="M734" s="170">
        <f t="shared" si="148"/>
        <v>0</v>
      </c>
      <c r="N734" s="192"/>
    </row>
    <row r="735" spans="1:14" s="174" customFormat="1">
      <c r="B735" s="23" t="s">
        <v>22</v>
      </c>
      <c r="C735" s="211">
        <v>0</v>
      </c>
      <c r="D735" s="214">
        <v>0</v>
      </c>
      <c r="E735" s="212">
        <v>0</v>
      </c>
      <c r="F735" s="213">
        <f t="shared" si="145"/>
        <v>0</v>
      </c>
      <c r="G735" s="170">
        <f t="shared" si="146"/>
        <v>0</v>
      </c>
      <c r="H735" s="531">
        <f>ROUND(F735*'Actual Load'!$B$4/'Zonal Load'!$N$4,2)</f>
        <v>0</v>
      </c>
      <c r="I735" s="170">
        <f t="shared" si="147"/>
        <v>0</v>
      </c>
      <c r="J735" s="170">
        <f t="shared" si="149"/>
        <v>0</v>
      </c>
      <c r="K735" s="170">
        <f t="shared" si="150"/>
        <v>0</v>
      </c>
      <c r="L735" s="655">
        <f>E735*'Interest Over Collect'!J$10</f>
        <v>0</v>
      </c>
      <c r="M735" s="170">
        <f t="shared" si="148"/>
        <v>0</v>
      </c>
      <c r="N735" s="192"/>
    </row>
    <row r="736" spans="1:14" s="174" customFormat="1">
      <c r="B736" s="23" t="s">
        <v>23</v>
      </c>
      <c r="C736" s="211">
        <v>0</v>
      </c>
      <c r="D736" s="214">
        <v>0</v>
      </c>
      <c r="E736" s="212">
        <v>0</v>
      </c>
      <c r="F736" s="213">
        <f t="shared" si="145"/>
        <v>0</v>
      </c>
      <c r="G736" s="170">
        <f t="shared" si="146"/>
        <v>0</v>
      </c>
      <c r="H736" s="531">
        <f>ROUND(F736*'Actual Load'!$B$11/'Zonal Load'!$N$11,2)</f>
        <v>0</v>
      </c>
      <c r="I736" s="170">
        <f t="shared" si="147"/>
        <v>0</v>
      </c>
      <c r="J736" s="170">
        <f t="shared" si="149"/>
        <v>0</v>
      </c>
      <c r="K736" s="170">
        <f t="shared" si="150"/>
        <v>0</v>
      </c>
      <c r="L736" s="655">
        <f>E736*'Interest Over Collect'!J$10</f>
        <v>0</v>
      </c>
      <c r="M736" s="170">
        <f t="shared" si="148"/>
        <v>0</v>
      </c>
      <c r="N736" s="192"/>
    </row>
    <row r="737" spans="2:14" s="174" customFormat="1">
      <c r="B737" s="23" t="s">
        <v>25</v>
      </c>
      <c r="C737" s="211">
        <v>0</v>
      </c>
      <c r="D737" s="214">
        <v>0</v>
      </c>
      <c r="E737" s="212">
        <v>0</v>
      </c>
      <c r="F737" s="213">
        <f t="shared" si="145"/>
        <v>0</v>
      </c>
      <c r="G737" s="170">
        <f t="shared" si="146"/>
        <v>0</v>
      </c>
      <c r="H737" s="531">
        <f>ROUND(F737*'Actual Load'!$B$7/'Zonal Load'!$N$7,2)</f>
        <v>0</v>
      </c>
      <c r="I737" s="170">
        <f t="shared" si="147"/>
        <v>0</v>
      </c>
      <c r="J737" s="170">
        <f t="shared" si="149"/>
        <v>0</v>
      </c>
      <c r="K737" s="170">
        <f t="shared" si="150"/>
        <v>0</v>
      </c>
      <c r="L737" s="655">
        <f>E737*'Interest Over Collect'!J$10</f>
        <v>0</v>
      </c>
      <c r="M737" s="170">
        <f t="shared" si="148"/>
        <v>0</v>
      </c>
      <c r="N737" s="192"/>
    </row>
    <row r="738" spans="2:14" s="174" customFormat="1">
      <c r="B738" s="23" t="s">
        <v>24</v>
      </c>
      <c r="C738" s="211">
        <v>0</v>
      </c>
      <c r="D738" s="214">
        <v>0</v>
      </c>
      <c r="E738" s="212">
        <v>0</v>
      </c>
      <c r="F738" s="213">
        <f t="shared" si="145"/>
        <v>0</v>
      </c>
      <c r="G738" s="170">
        <f t="shared" si="146"/>
        <v>0</v>
      </c>
      <c r="H738" s="531">
        <f>ROUND(F738*'Actual Load'!$B$6/'Zonal Load'!$N$6,2)</f>
        <v>0</v>
      </c>
      <c r="I738" s="170">
        <f t="shared" si="147"/>
        <v>0</v>
      </c>
      <c r="J738" s="170">
        <f t="shared" si="149"/>
        <v>0</v>
      </c>
      <c r="K738" s="170">
        <f t="shared" si="150"/>
        <v>0</v>
      </c>
      <c r="L738" s="655">
        <f>E738*'Interest Over Collect'!J$10</f>
        <v>0</v>
      </c>
      <c r="M738" s="170">
        <f t="shared" si="148"/>
        <v>0</v>
      </c>
      <c r="N738" s="192"/>
    </row>
    <row r="739" spans="2:14" s="174" customFormat="1">
      <c r="B739" s="23" t="s">
        <v>116</v>
      </c>
      <c r="C739" s="211">
        <v>0</v>
      </c>
      <c r="D739" s="214">
        <v>0</v>
      </c>
      <c r="E739" s="212">
        <v>0</v>
      </c>
      <c r="F739" s="213">
        <f t="shared" si="145"/>
        <v>0</v>
      </c>
      <c r="G739" s="170">
        <f t="shared" si="146"/>
        <v>0</v>
      </c>
      <c r="H739" s="531">
        <f>ROUND(F739*'Actual Load'!$B$18/'Zonal Load'!$N$18,2)</f>
        <v>0</v>
      </c>
      <c r="I739" s="170">
        <f t="shared" si="147"/>
        <v>0</v>
      </c>
      <c r="J739" s="170">
        <f t="shared" si="149"/>
        <v>0</v>
      </c>
      <c r="K739" s="170">
        <f t="shared" si="150"/>
        <v>0</v>
      </c>
      <c r="L739" s="655">
        <f>E739*'Interest Over Collect'!J$10</f>
        <v>0</v>
      </c>
      <c r="M739" s="170">
        <f t="shared" si="148"/>
        <v>0</v>
      </c>
      <c r="N739" s="192"/>
    </row>
    <row r="740" spans="2:14" s="174" customFormat="1">
      <c r="B740" s="23" t="s">
        <v>117</v>
      </c>
      <c r="C740" s="211">
        <v>0</v>
      </c>
      <c r="D740" s="214">
        <v>0</v>
      </c>
      <c r="E740" s="212">
        <v>0</v>
      </c>
      <c r="F740" s="213">
        <f t="shared" si="145"/>
        <v>0</v>
      </c>
      <c r="G740" s="170">
        <f t="shared" si="146"/>
        <v>0</v>
      </c>
      <c r="H740" s="531">
        <f>ROUND(F740*'Actual Load'!$B$17/'Zonal Load'!$N$17,2)</f>
        <v>0</v>
      </c>
      <c r="I740" s="170">
        <f t="shared" si="147"/>
        <v>0</v>
      </c>
      <c r="J740" s="170">
        <f t="shared" si="149"/>
        <v>0</v>
      </c>
      <c r="K740" s="170">
        <f t="shared" si="150"/>
        <v>0</v>
      </c>
      <c r="L740" s="655">
        <f>E740*'Interest Over Collect'!J$10</f>
        <v>0</v>
      </c>
      <c r="M740" s="170">
        <f t="shared" si="148"/>
        <v>0</v>
      </c>
      <c r="N740" s="192"/>
    </row>
    <row r="741" spans="2:14" s="174" customFormat="1">
      <c r="B741" s="23" t="s">
        <v>26</v>
      </c>
      <c r="C741" s="211">
        <v>0</v>
      </c>
      <c r="D741" s="214">
        <v>0</v>
      </c>
      <c r="E741" s="212">
        <v>0</v>
      </c>
      <c r="F741" s="213">
        <f t="shared" si="145"/>
        <v>0</v>
      </c>
      <c r="G741" s="170">
        <f t="shared" si="146"/>
        <v>0</v>
      </c>
      <c r="H741" s="531">
        <f>ROUND(F741*'Actual Load'!$B$12/'Zonal Load'!$N$12,2)</f>
        <v>0</v>
      </c>
      <c r="I741" s="170">
        <f t="shared" si="147"/>
        <v>0</v>
      </c>
      <c r="J741" s="170">
        <f t="shared" si="149"/>
        <v>0</v>
      </c>
      <c r="K741" s="170">
        <f t="shared" si="150"/>
        <v>0</v>
      </c>
      <c r="L741" s="655">
        <f>E741*'Interest Over Collect'!J$10</f>
        <v>0</v>
      </c>
      <c r="M741" s="170">
        <f t="shared" si="148"/>
        <v>0</v>
      </c>
      <c r="N741" s="192"/>
    </row>
    <row r="742" spans="2:14" s="174" customFormat="1">
      <c r="B742" s="23" t="s">
        <v>27</v>
      </c>
      <c r="C742" s="211">
        <v>0</v>
      </c>
      <c r="D742" s="214">
        <v>0</v>
      </c>
      <c r="E742" s="212">
        <v>0</v>
      </c>
      <c r="F742" s="213">
        <f t="shared" si="145"/>
        <v>0</v>
      </c>
      <c r="G742" s="170">
        <f t="shared" si="146"/>
        <v>0</v>
      </c>
      <c r="H742" s="531">
        <f>ROUND(F742*'Actual Load'!$B$24/'Zonal Load'!$N$24,2)</f>
        <v>0</v>
      </c>
      <c r="I742" s="170">
        <f t="shared" si="147"/>
        <v>0</v>
      </c>
      <c r="J742" s="170">
        <f t="shared" si="149"/>
        <v>0</v>
      </c>
      <c r="K742" s="170">
        <f t="shared" si="150"/>
        <v>0</v>
      </c>
      <c r="L742" s="655">
        <f>E742*'Interest Over Collect'!J$10</f>
        <v>0</v>
      </c>
      <c r="M742" s="170">
        <f t="shared" si="148"/>
        <v>0</v>
      </c>
      <c r="N742" s="192"/>
    </row>
    <row r="743" spans="2:14" s="174" customFormat="1">
      <c r="B743" s="23" t="s">
        <v>28</v>
      </c>
      <c r="C743" s="211">
        <v>0</v>
      </c>
      <c r="D743" s="214">
        <v>0</v>
      </c>
      <c r="E743" s="212">
        <v>0</v>
      </c>
      <c r="F743" s="213">
        <f t="shared" si="145"/>
        <v>0</v>
      </c>
      <c r="G743" s="170">
        <f t="shared" si="146"/>
        <v>0</v>
      </c>
      <c r="H743" s="531">
        <f>ROUND(F743*'Actual Load'!$B$5/'Zonal Load'!$N$5,2)</f>
        <v>0</v>
      </c>
      <c r="I743" s="170">
        <f t="shared" si="147"/>
        <v>0</v>
      </c>
      <c r="J743" s="170">
        <f t="shared" si="149"/>
        <v>0</v>
      </c>
      <c r="K743" s="170">
        <f t="shared" si="150"/>
        <v>0</v>
      </c>
      <c r="L743" s="655">
        <f>E743*'Interest Over Collect'!J$10</f>
        <v>0</v>
      </c>
      <c r="M743" s="170">
        <f t="shared" si="148"/>
        <v>0</v>
      </c>
      <c r="N743" s="192"/>
    </row>
    <row r="744" spans="2:14" s="174" customFormat="1">
      <c r="B744" s="23" t="s">
        <v>29</v>
      </c>
      <c r="C744" s="211">
        <v>0</v>
      </c>
      <c r="D744" s="214">
        <v>0</v>
      </c>
      <c r="E744" s="212">
        <v>1</v>
      </c>
      <c r="F744" s="213">
        <f t="shared" si="145"/>
        <v>3051075</v>
      </c>
      <c r="G744" s="170">
        <f t="shared" si="146"/>
        <v>292628</v>
      </c>
      <c r="H744" s="531">
        <f>ROUND(F744*'Actual Load'!$B$21/'Zonal Load'!$N$21,2)</f>
        <v>2923772.91</v>
      </c>
      <c r="I744" s="170">
        <f t="shared" si="147"/>
        <v>2955139.71</v>
      </c>
      <c r="J744" s="170">
        <f t="shared" si="149"/>
        <v>-95935.290000000037</v>
      </c>
      <c r="K744" s="170">
        <f t="shared" si="150"/>
        <v>196692.70999999996</v>
      </c>
      <c r="L744" s="655">
        <f>E744*'Interest Over Collect'!J$10</f>
        <v>15249.6</v>
      </c>
      <c r="M744" s="170">
        <f t="shared" si="148"/>
        <v>211942.30999999997</v>
      </c>
      <c r="N744" s="192"/>
    </row>
    <row r="745" spans="2:14" s="174" customFormat="1">
      <c r="B745" s="23" t="s">
        <v>30</v>
      </c>
      <c r="C745" s="211">
        <v>0</v>
      </c>
      <c r="D745" s="214">
        <v>0</v>
      </c>
      <c r="E745" s="212">
        <v>0</v>
      </c>
      <c r="F745" s="213">
        <f t="shared" si="145"/>
        <v>0</v>
      </c>
      <c r="G745" s="170">
        <f t="shared" si="146"/>
        <v>0</v>
      </c>
      <c r="H745" s="531">
        <f>ROUND(F745*'Actual Load'!$B$19/'Zonal Load'!$N$19,2)</f>
        <v>0</v>
      </c>
      <c r="I745" s="170">
        <f t="shared" si="147"/>
        <v>0</v>
      </c>
      <c r="J745" s="170">
        <f t="shared" si="149"/>
        <v>0</v>
      </c>
      <c r="K745" s="170">
        <f t="shared" si="150"/>
        <v>0</v>
      </c>
      <c r="L745" s="655">
        <f>E745*'Interest Over Collect'!J$10</f>
        <v>0</v>
      </c>
      <c r="M745" s="170">
        <f t="shared" si="148"/>
        <v>0</v>
      </c>
      <c r="N745" s="192"/>
    </row>
    <row r="746" spans="2:14" s="174" customFormat="1">
      <c r="B746" s="23" t="s">
        <v>31</v>
      </c>
      <c r="C746" s="211">
        <v>0</v>
      </c>
      <c r="D746" s="214">
        <v>0</v>
      </c>
      <c r="E746" s="212">
        <v>0</v>
      </c>
      <c r="F746" s="213">
        <f t="shared" si="145"/>
        <v>0</v>
      </c>
      <c r="G746" s="170">
        <f t="shared" si="146"/>
        <v>0</v>
      </c>
      <c r="H746" s="531">
        <f>ROUND(F746*'Actual Load'!$B$25/'Zonal Load'!$N$25,2)</f>
        <v>0</v>
      </c>
      <c r="I746" s="170">
        <f t="shared" si="147"/>
        <v>0</v>
      </c>
      <c r="J746" s="170">
        <f t="shared" si="149"/>
        <v>0</v>
      </c>
      <c r="K746" s="170">
        <f t="shared" si="150"/>
        <v>0</v>
      </c>
      <c r="L746" s="655">
        <f>E746*'Interest Over Collect'!J$10</f>
        <v>0</v>
      </c>
      <c r="M746" s="170">
        <f t="shared" si="148"/>
        <v>0</v>
      </c>
      <c r="N746" s="192"/>
    </row>
    <row r="747" spans="2:14" s="174" customFormat="1">
      <c r="B747" s="23" t="s">
        <v>32</v>
      </c>
      <c r="C747" s="211">
        <v>0</v>
      </c>
      <c r="D747" s="214">
        <v>0</v>
      </c>
      <c r="E747" s="212">
        <v>0</v>
      </c>
      <c r="F747" s="213">
        <f t="shared" si="145"/>
        <v>0</v>
      </c>
      <c r="G747" s="170">
        <f t="shared" si="146"/>
        <v>0</v>
      </c>
      <c r="H747" s="531">
        <f>ROUND(F747*'Actual Load'!$B$13/'Zonal Load'!$N$13,2)</f>
        <v>0</v>
      </c>
      <c r="I747" s="170">
        <f t="shared" si="147"/>
        <v>0</v>
      </c>
      <c r="J747" s="170">
        <f t="shared" si="149"/>
        <v>0</v>
      </c>
      <c r="K747" s="170">
        <f t="shared" si="150"/>
        <v>0</v>
      </c>
      <c r="L747" s="655">
        <f>E747*'Interest Over Collect'!J$10</f>
        <v>0</v>
      </c>
      <c r="M747" s="170">
        <f t="shared" si="148"/>
        <v>0</v>
      </c>
      <c r="N747" s="192"/>
    </row>
    <row r="748" spans="2:14" s="174" customFormat="1">
      <c r="B748" s="23" t="s">
        <v>33</v>
      </c>
      <c r="C748" s="211">
        <v>0</v>
      </c>
      <c r="D748" s="214">
        <v>0</v>
      </c>
      <c r="E748" s="212">
        <v>0</v>
      </c>
      <c r="F748" s="213">
        <f t="shared" si="145"/>
        <v>0</v>
      </c>
      <c r="G748" s="170">
        <f t="shared" si="146"/>
        <v>0</v>
      </c>
      <c r="H748" s="531">
        <f>ROUND(F748*'Actual Load'!$B$23/'Zonal Load'!$N$23,2)</f>
        <v>0</v>
      </c>
      <c r="I748" s="170">
        <f t="shared" si="147"/>
        <v>0</v>
      </c>
      <c r="J748" s="170">
        <f t="shared" si="149"/>
        <v>0</v>
      </c>
      <c r="K748" s="170">
        <f t="shared" si="150"/>
        <v>0</v>
      </c>
      <c r="L748" s="655">
        <f>E748*'Interest Over Collect'!J$10</f>
        <v>0</v>
      </c>
      <c r="M748" s="170">
        <f t="shared" si="148"/>
        <v>0</v>
      </c>
      <c r="N748" s="192"/>
    </row>
    <row r="749" spans="2:14" s="174" customFormat="1">
      <c r="B749" s="194" t="s">
        <v>34</v>
      </c>
      <c r="C749" s="211">
        <v>0</v>
      </c>
      <c r="D749" s="214">
        <v>0</v>
      </c>
      <c r="E749" s="212">
        <v>0</v>
      </c>
      <c r="F749" s="213">
        <f t="shared" si="145"/>
        <v>0</v>
      </c>
      <c r="G749" s="170">
        <f t="shared" si="146"/>
        <v>0</v>
      </c>
      <c r="H749" s="531">
        <f>ROUND(F749*'Actual Load'!$B$20/'Zonal Load'!$N$20,2)</f>
        <v>0</v>
      </c>
      <c r="I749" s="170">
        <f t="shared" si="147"/>
        <v>0</v>
      </c>
      <c r="J749" s="170">
        <f>I749-F749</f>
        <v>0</v>
      </c>
      <c r="K749" s="170">
        <f>+G749+J749</f>
        <v>0</v>
      </c>
      <c r="L749" s="655">
        <f>E749*'Interest Over Collect'!J$10</f>
        <v>0</v>
      </c>
      <c r="M749" s="170">
        <f t="shared" si="148"/>
        <v>0</v>
      </c>
      <c r="N749" s="192"/>
    </row>
    <row r="750" spans="2:14" s="174" customFormat="1">
      <c r="B750" s="194" t="s">
        <v>110</v>
      </c>
      <c r="C750" s="211">
        <v>0</v>
      </c>
      <c r="D750" s="214">
        <v>0</v>
      </c>
      <c r="E750" s="212">
        <v>0</v>
      </c>
      <c r="F750" s="213">
        <f t="shared" si="145"/>
        <v>0</v>
      </c>
      <c r="G750" s="170">
        <f t="shared" si="146"/>
        <v>0</v>
      </c>
      <c r="H750" s="531">
        <f>ROUND(F750*'Actual Load'!$B$27/'Zonal Load'!$N$27,2)</f>
        <v>0</v>
      </c>
      <c r="I750" s="170">
        <f t="shared" si="147"/>
        <v>0</v>
      </c>
      <c r="J750" s="170">
        <f>I750-F750</f>
        <v>0</v>
      </c>
      <c r="K750" s="170">
        <f>+G750+J750</f>
        <v>0</v>
      </c>
      <c r="L750" s="655">
        <f>E750*'Interest Over Collect'!J$10</f>
        <v>0</v>
      </c>
      <c r="M750" s="170">
        <f t="shared" si="148"/>
        <v>0</v>
      </c>
      <c r="N750" s="192"/>
    </row>
    <row r="751" spans="2:14" s="174" customFormat="1">
      <c r="B751" s="194" t="s">
        <v>111</v>
      </c>
      <c r="C751" s="211">
        <v>0</v>
      </c>
      <c r="D751" s="214">
        <v>0</v>
      </c>
      <c r="E751" s="212">
        <v>0</v>
      </c>
      <c r="F751" s="213">
        <f t="shared" si="145"/>
        <v>0</v>
      </c>
      <c r="G751" s="170">
        <f t="shared" si="146"/>
        <v>0</v>
      </c>
      <c r="H751" s="531">
        <f>ROUND(F751*'Actual Load'!$B$28/'Zonal Load'!$N$28,2)</f>
        <v>0</v>
      </c>
      <c r="I751" s="170">
        <f t="shared" si="147"/>
        <v>0</v>
      </c>
      <c r="J751" s="170">
        <f>I751-F751</f>
        <v>0</v>
      </c>
      <c r="K751" s="170">
        <f>+G751+J751</f>
        <v>0</v>
      </c>
      <c r="L751" s="655">
        <f>E751*'Interest Over Collect'!J$10</f>
        <v>0</v>
      </c>
      <c r="M751" s="170">
        <f t="shared" si="148"/>
        <v>0</v>
      </c>
      <c r="N751" s="192"/>
    </row>
    <row r="752" spans="2:14" s="174" customFormat="1">
      <c r="B752" s="194" t="s">
        <v>118</v>
      </c>
      <c r="C752" s="211">
        <v>0</v>
      </c>
      <c r="D752" s="214">
        <v>0</v>
      </c>
      <c r="E752" s="212">
        <v>0</v>
      </c>
      <c r="F752" s="213">
        <f t="shared" si="145"/>
        <v>0</v>
      </c>
      <c r="G752" s="170">
        <f t="shared" si="146"/>
        <v>0</v>
      </c>
      <c r="H752" s="531">
        <f>ROUND(F752*'Actual Load'!$B$29/'Zonal Load'!$N$29,2)</f>
        <v>0</v>
      </c>
      <c r="I752" s="170">
        <f t="shared" si="147"/>
        <v>0</v>
      </c>
      <c r="J752" s="170">
        <f>I752-F752</f>
        <v>0</v>
      </c>
      <c r="K752" s="170">
        <f>+G752+J752</f>
        <v>0</v>
      </c>
      <c r="L752" s="655">
        <f>E752*'Interest Over Collect'!J$10</f>
        <v>0</v>
      </c>
      <c r="M752" s="170">
        <f t="shared" si="148"/>
        <v>0</v>
      </c>
      <c r="N752" s="192"/>
    </row>
    <row r="753" spans="2:14">
      <c r="B753" s="194" t="s">
        <v>119</v>
      </c>
      <c r="C753" s="19">
        <v>0</v>
      </c>
      <c r="D753" s="20">
        <v>0</v>
      </c>
      <c r="E753" s="212">
        <v>0</v>
      </c>
      <c r="F753" s="213">
        <f t="shared" si="145"/>
        <v>0</v>
      </c>
      <c r="G753" s="170">
        <f t="shared" si="146"/>
        <v>0</v>
      </c>
      <c r="H753" s="531">
        <f>ROUND(F753*'Actual Load'!$B$30/'Zonal Load'!$N$30,2)</f>
        <v>0</v>
      </c>
      <c r="I753" s="170">
        <f t="shared" si="147"/>
        <v>0</v>
      </c>
      <c r="J753" s="170">
        <f>I753-F753</f>
        <v>0</v>
      </c>
      <c r="K753" s="170">
        <f>+G753+J753</f>
        <v>0</v>
      </c>
      <c r="L753" s="655">
        <f>E753*'Interest Over Collect'!J$10</f>
        <v>0</v>
      </c>
      <c r="M753" s="170">
        <f t="shared" si="148"/>
        <v>0</v>
      </c>
      <c r="N753" s="192"/>
    </row>
    <row r="754" spans="2:14">
      <c r="B754" s="483"/>
      <c r="C754" s="482">
        <f>SUM(C726:C752)</f>
        <v>0</v>
      </c>
      <c r="D754" s="27">
        <f>SUM(D726:D752)</f>
        <v>0</v>
      </c>
      <c r="E754" s="94">
        <f>SUM(E726:E752)</f>
        <v>1</v>
      </c>
      <c r="F754" s="90">
        <f>SUM(F726:F752)</f>
        <v>3051075</v>
      </c>
      <c r="G754" s="131">
        <f>SUM(G726:G752)</f>
        <v>292628</v>
      </c>
      <c r="H754" s="131">
        <f t="shared" ref="H754:M754" si="151">SUM(H726:H752)</f>
        <v>2923772.91</v>
      </c>
      <c r="I754" s="131">
        <f t="shared" si="151"/>
        <v>2955139.71</v>
      </c>
      <c r="J754" s="131">
        <f t="shared" si="151"/>
        <v>-95935.290000000037</v>
      </c>
      <c r="K754" s="510">
        <f t="shared" si="151"/>
        <v>196692.70999999996</v>
      </c>
      <c r="L754" s="657">
        <f t="shared" si="151"/>
        <v>15249.6</v>
      </c>
      <c r="M754" s="131">
        <f t="shared" si="151"/>
        <v>211942.30999999997</v>
      </c>
      <c r="N754" s="192"/>
    </row>
    <row r="755" spans="2:14">
      <c r="F755" s="3" t="s">
        <v>623</v>
      </c>
      <c r="G755" s="21"/>
      <c r="I755" s="569" t="s">
        <v>621</v>
      </c>
      <c r="J755" s="570" t="s">
        <v>622</v>
      </c>
      <c r="N755" s="192"/>
    </row>
    <row r="756" spans="2:14">
      <c r="E756" s="479" t="s">
        <v>610</v>
      </c>
      <c r="F756" s="168">
        <f>ROUND((I756*M$884)+(J756*M$888),0)</f>
        <v>3051075</v>
      </c>
      <c r="G756" s="21"/>
      <c r="I756" s="571">
        <v>3101573.1496665999</v>
      </c>
      <c r="J756" s="571">
        <v>2882112.4720279765</v>
      </c>
      <c r="N756" s="192"/>
    </row>
    <row r="757" spans="2:14">
      <c r="E757" s="480" t="s">
        <v>611</v>
      </c>
      <c r="F757" s="169">
        <f>ROUND((I757*M$884)+(J757*M$888),0)</f>
        <v>2758447</v>
      </c>
      <c r="G757" s="528">
        <f>F756-F757</f>
        <v>292628</v>
      </c>
      <c r="H757" s="529"/>
      <c r="I757" s="572">
        <f>'Att GG at 12.38 '!N88</f>
        <v>2804196.5923670023</v>
      </c>
      <c r="J757" s="572">
        <f>'Att GG at 10.82'!N88</f>
        <v>2605373.6937316819</v>
      </c>
      <c r="L757" s="81"/>
      <c r="N757" s="192"/>
    </row>
    <row r="758" spans="2:14">
      <c r="E758" s="91" t="s">
        <v>153</v>
      </c>
      <c r="F758" s="175">
        <f>I754</f>
        <v>2955139.71</v>
      </c>
      <c r="G758" s="528">
        <f>F758-F756</f>
        <v>-95935.290000000037</v>
      </c>
      <c r="H758" s="530"/>
      <c r="I758" s="29"/>
      <c r="K758" s="86"/>
      <c r="L758" s="644"/>
      <c r="M758" s="86"/>
      <c r="N758" s="192"/>
    </row>
    <row r="759" spans="2:14">
      <c r="G759" s="528">
        <f>G757+G758</f>
        <v>196692.70999999996</v>
      </c>
      <c r="H759" s="529">
        <f>F758-F757</f>
        <v>196692.70999999996</v>
      </c>
      <c r="I759" s="29"/>
      <c r="K759" s="86"/>
      <c r="L759" s="86"/>
      <c r="M759" s="86"/>
      <c r="N759" s="192"/>
    </row>
    <row r="760" spans="2:14">
      <c r="B760" s="79"/>
      <c r="C760" s="79"/>
      <c r="D760" s="79"/>
      <c r="E760" s="79"/>
      <c r="F760" s="79"/>
      <c r="G760" s="79"/>
      <c r="H760" s="79"/>
      <c r="I760" s="79"/>
      <c r="J760" s="105"/>
      <c r="K760" s="79"/>
      <c r="L760" s="79"/>
      <c r="M760" s="79"/>
      <c r="N760" s="192"/>
    </row>
    <row r="761" spans="2:14">
      <c r="L761" s="174"/>
      <c r="N761" s="192"/>
    </row>
    <row r="762" spans="2:14">
      <c r="B762" s="678" t="s">
        <v>0</v>
      </c>
      <c r="C762" s="679"/>
      <c r="D762" s="680" t="s">
        <v>693</v>
      </c>
      <c r="E762" s="681"/>
      <c r="F762" s="681"/>
      <c r="G762" s="681"/>
      <c r="H762" s="682"/>
      <c r="I762" s="142"/>
      <c r="J762" s="1"/>
      <c r="N762" s="192"/>
    </row>
    <row r="763" spans="2:14">
      <c r="B763" s="665" t="s">
        <v>1</v>
      </c>
      <c r="C763" s="666"/>
      <c r="D763" s="667" t="s">
        <v>590</v>
      </c>
      <c r="E763" s="668"/>
      <c r="F763" s="668"/>
      <c r="G763" s="668"/>
      <c r="H763" s="669"/>
      <c r="I763" s="143"/>
      <c r="J763" s="1"/>
      <c r="N763" s="192"/>
    </row>
    <row r="764" spans="2:14">
      <c r="B764" s="665" t="s">
        <v>3</v>
      </c>
      <c r="C764" s="666"/>
      <c r="D764" s="670"/>
      <c r="E764" s="671"/>
      <c r="F764" s="671"/>
      <c r="G764" s="671"/>
      <c r="H764" s="672"/>
      <c r="I764" s="144"/>
      <c r="J764" s="1"/>
      <c r="N764" s="192"/>
    </row>
    <row r="765" spans="2:14">
      <c r="B765" s="673" t="s">
        <v>5</v>
      </c>
      <c r="C765" s="674"/>
      <c r="D765" s="675" t="s">
        <v>29</v>
      </c>
      <c r="E765" s="676"/>
      <c r="F765" s="676"/>
      <c r="G765" s="676"/>
      <c r="H765" s="677"/>
      <c r="I765" s="145"/>
      <c r="J765" s="1"/>
      <c r="N765" s="192"/>
    </row>
    <row r="766" spans="2:14">
      <c r="B766" s="74"/>
      <c r="C766" s="74"/>
      <c r="D766" s="74"/>
      <c r="E766" s="74"/>
      <c r="F766" s="74"/>
      <c r="H766" s="481"/>
      <c r="J766" s="99" t="s">
        <v>155</v>
      </c>
      <c r="K766" s="3" t="s">
        <v>40</v>
      </c>
      <c r="M766" s="3" t="s">
        <v>54</v>
      </c>
      <c r="N766" s="192"/>
    </row>
    <row r="767" spans="2:14">
      <c r="B767" s="74"/>
      <c r="C767" s="74"/>
      <c r="D767" s="74"/>
      <c r="E767" s="74"/>
      <c r="F767" s="74"/>
      <c r="G767" s="3" t="s">
        <v>37</v>
      </c>
      <c r="H767" s="127" t="s">
        <v>38</v>
      </c>
      <c r="I767" s="92" t="s">
        <v>39</v>
      </c>
      <c r="J767" s="100" t="s">
        <v>156</v>
      </c>
      <c r="K767" s="4" t="s">
        <v>157</v>
      </c>
      <c r="L767" s="4" t="s">
        <v>53</v>
      </c>
      <c r="M767" s="4" t="s">
        <v>158</v>
      </c>
      <c r="N767" s="192"/>
    </row>
    <row r="768" spans="2:14">
      <c r="B768" s="74"/>
      <c r="C768" s="74"/>
      <c r="D768" s="74"/>
      <c r="E768" s="74"/>
      <c r="F768" s="74"/>
      <c r="G768" s="5"/>
      <c r="H768" s="662" t="s">
        <v>41</v>
      </c>
      <c r="I768" s="663"/>
      <c r="J768" s="664"/>
      <c r="K768" s="6" t="s">
        <v>42</v>
      </c>
      <c r="L768" s="5"/>
      <c r="M768" s="6" t="s">
        <v>43</v>
      </c>
      <c r="N768" s="192"/>
    </row>
    <row r="769" spans="1:14">
      <c r="B769" s="75"/>
      <c r="C769" s="7">
        <v>0.2</v>
      </c>
      <c r="D769" s="7">
        <v>0.8</v>
      </c>
      <c r="E769" s="7"/>
      <c r="F769" s="87" t="s">
        <v>154</v>
      </c>
      <c r="G769" s="8" t="s">
        <v>44</v>
      </c>
      <c r="H769" s="128"/>
      <c r="I769" s="5"/>
      <c r="J769" s="101" t="s">
        <v>45</v>
      </c>
      <c r="K769" s="8" t="s">
        <v>46</v>
      </c>
      <c r="L769" s="9"/>
      <c r="M769" s="8" t="s">
        <v>47</v>
      </c>
      <c r="N769" s="192"/>
    </row>
    <row r="770" spans="1:14">
      <c r="B770" s="10"/>
      <c r="C770" s="68" t="s">
        <v>8</v>
      </c>
      <c r="D770" s="68" t="s">
        <v>9</v>
      </c>
      <c r="E770" s="68" t="s">
        <v>10</v>
      </c>
      <c r="F770" s="88" t="s">
        <v>7</v>
      </c>
      <c r="G770" s="11" t="s">
        <v>48</v>
      </c>
      <c r="H770" s="129" t="s">
        <v>49</v>
      </c>
      <c r="I770" s="12" t="s">
        <v>152</v>
      </c>
      <c r="J770" s="102" t="s">
        <v>48</v>
      </c>
      <c r="K770" s="12" t="s">
        <v>48</v>
      </c>
      <c r="L770" s="12" t="s">
        <v>50</v>
      </c>
      <c r="M770" s="12" t="s">
        <v>51</v>
      </c>
      <c r="N770" s="192"/>
    </row>
    <row r="771" spans="1:14" ht="31.5">
      <c r="B771" s="13" t="s">
        <v>12</v>
      </c>
      <c r="C771" s="14" t="s">
        <v>13</v>
      </c>
      <c r="D771" s="14" t="s">
        <v>13</v>
      </c>
      <c r="E771" s="15" t="s">
        <v>13</v>
      </c>
      <c r="F771" s="89" t="s">
        <v>14</v>
      </c>
      <c r="G771" s="16" t="s">
        <v>52</v>
      </c>
      <c r="H771" s="130"/>
      <c r="I771" s="17"/>
      <c r="J771" s="103" t="s">
        <v>52</v>
      </c>
      <c r="K771" s="17"/>
      <c r="L771" s="17"/>
      <c r="M771" s="16" t="s">
        <v>52</v>
      </c>
      <c r="N771" s="192"/>
    </row>
    <row r="772" spans="1:14" s="174" customFormat="1">
      <c r="B772" s="18" t="s">
        <v>15</v>
      </c>
      <c r="C772" s="211">
        <v>0</v>
      </c>
      <c r="D772" s="214">
        <v>0</v>
      </c>
      <c r="E772" s="212">
        <v>0</v>
      </c>
      <c r="F772" s="215">
        <f t="shared" ref="F772:F799" si="152">ROUND(+E772*F$802,2)</f>
        <v>0</v>
      </c>
      <c r="G772" s="170">
        <f t="shared" ref="G772:G799" si="153">(F$802-F$803)*E772</f>
        <v>0</v>
      </c>
      <c r="H772" s="531">
        <f>ROUND(F772*'Actual Load'!$B$8/'Zonal Load'!$N$8,2)</f>
        <v>0</v>
      </c>
      <c r="I772" s="170">
        <f t="shared" ref="I772:I799" si="154">ROUND((H772*$H$912)/$H$910,2)</f>
        <v>0</v>
      </c>
      <c r="J772" s="170">
        <f>I772-F772</f>
        <v>0</v>
      </c>
      <c r="K772" s="170">
        <f>+G772+J772</f>
        <v>0</v>
      </c>
      <c r="L772" s="655">
        <f>E772*'Interest Over Collect'!J$11</f>
        <v>0</v>
      </c>
      <c r="M772" s="170">
        <f t="shared" ref="M772:M799" si="155">+K772+L772</f>
        <v>0</v>
      </c>
      <c r="N772" s="192"/>
    </row>
    <row r="773" spans="1:14" s="174" customFormat="1">
      <c r="B773" s="23" t="s">
        <v>16</v>
      </c>
      <c r="C773" s="211">
        <v>0</v>
      </c>
      <c r="D773" s="214">
        <v>0</v>
      </c>
      <c r="E773" s="212">
        <v>0</v>
      </c>
      <c r="F773" s="213">
        <f t="shared" si="152"/>
        <v>0</v>
      </c>
      <c r="G773" s="170">
        <f t="shared" si="153"/>
        <v>0</v>
      </c>
      <c r="H773" s="531">
        <f>ROUND(F773*'Actual Load'!$B$14/'Zonal Load'!$N$14,2)</f>
        <v>0</v>
      </c>
      <c r="I773" s="170">
        <f t="shared" si="154"/>
        <v>0</v>
      </c>
      <c r="J773" s="170">
        <f>I773-F773</f>
        <v>0</v>
      </c>
      <c r="K773" s="170">
        <f>+G773+J773</f>
        <v>0</v>
      </c>
      <c r="L773" s="655">
        <f>E773*'Interest Over Collect'!J$11</f>
        <v>0</v>
      </c>
      <c r="M773" s="170">
        <f t="shared" si="155"/>
        <v>0</v>
      </c>
      <c r="N773" s="192"/>
    </row>
    <row r="774" spans="1:14" s="174" customFormat="1">
      <c r="B774" s="23" t="s">
        <v>190</v>
      </c>
      <c r="C774" s="211">
        <v>0</v>
      </c>
      <c r="D774" s="214">
        <v>0</v>
      </c>
      <c r="E774" s="212">
        <v>0</v>
      </c>
      <c r="F774" s="213">
        <f t="shared" si="152"/>
        <v>0</v>
      </c>
      <c r="G774" s="170">
        <f t="shared" si="153"/>
        <v>0</v>
      </c>
      <c r="H774" s="531">
        <f>ROUND(F774*'Actual Load'!$B$9/'Zonal Load'!$N$9,2)</f>
        <v>0</v>
      </c>
      <c r="I774" s="170">
        <f t="shared" si="154"/>
        <v>0</v>
      </c>
      <c r="J774" s="170">
        <f>I774-F774</f>
        <v>0</v>
      </c>
      <c r="K774" s="170">
        <f>+G774+J774</f>
        <v>0</v>
      </c>
      <c r="L774" s="655">
        <f>E774*'Interest Over Collect'!J$11</f>
        <v>0</v>
      </c>
      <c r="M774" s="170">
        <f t="shared" si="155"/>
        <v>0</v>
      </c>
      <c r="N774" s="192"/>
    </row>
    <row r="775" spans="1:14" s="174" customFormat="1">
      <c r="B775" s="125" t="s">
        <v>249</v>
      </c>
      <c r="C775" s="211">
        <v>0</v>
      </c>
      <c r="D775" s="214">
        <v>0</v>
      </c>
      <c r="E775" s="212">
        <v>0</v>
      </c>
      <c r="F775" s="213">
        <f t="shared" si="152"/>
        <v>0</v>
      </c>
      <c r="G775" s="170">
        <f t="shared" si="153"/>
        <v>0</v>
      </c>
      <c r="H775" s="531">
        <f>ROUND(F775*'Actual Load'!$B$10/'Zonal Load'!$N$10,2)</f>
        <v>0</v>
      </c>
      <c r="I775" s="170">
        <f t="shared" si="154"/>
        <v>0</v>
      </c>
      <c r="J775" s="170">
        <f>I775-F775</f>
        <v>0</v>
      </c>
      <c r="K775" s="170">
        <f>+G775+J775</f>
        <v>0</v>
      </c>
      <c r="L775" s="655">
        <f>E775*'Interest Over Collect'!J$11</f>
        <v>0</v>
      </c>
      <c r="M775" s="170">
        <f t="shared" si="155"/>
        <v>0</v>
      </c>
      <c r="N775" s="192"/>
    </row>
    <row r="776" spans="1:14" s="174" customFormat="1">
      <c r="B776" s="23" t="s">
        <v>17</v>
      </c>
      <c r="C776" s="211">
        <v>0</v>
      </c>
      <c r="D776" s="214">
        <v>0</v>
      </c>
      <c r="E776" s="212">
        <v>0</v>
      </c>
      <c r="F776" s="213">
        <f t="shared" si="152"/>
        <v>0</v>
      </c>
      <c r="G776" s="170">
        <f t="shared" si="153"/>
        <v>0</v>
      </c>
      <c r="H776" s="531">
        <f>ROUND(F776*'Actual Load'!$B$26/'Zonal Load'!$N$26,2)</f>
        <v>0</v>
      </c>
      <c r="I776" s="170">
        <f t="shared" si="154"/>
        <v>0</v>
      </c>
      <c r="J776" s="170">
        <f t="shared" ref="J776:J794" si="156">I776-F776</f>
        <v>0</v>
      </c>
      <c r="K776" s="170">
        <f t="shared" ref="K776:K794" si="157">+G776+J776</f>
        <v>0</v>
      </c>
      <c r="L776" s="655">
        <f>E776*'Interest Over Collect'!J$11</f>
        <v>0</v>
      </c>
      <c r="M776" s="170">
        <f t="shared" si="155"/>
        <v>0</v>
      </c>
      <c r="N776" s="192"/>
    </row>
    <row r="777" spans="1:14" s="174" customFormat="1">
      <c r="B777" s="23" t="s">
        <v>18</v>
      </c>
      <c r="C777" s="211">
        <v>0</v>
      </c>
      <c r="D777" s="214">
        <v>0</v>
      </c>
      <c r="E777" s="212">
        <v>0</v>
      </c>
      <c r="F777" s="213">
        <f t="shared" si="152"/>
        <v>0</v>
      </c>
      <c r="G777" s="170">
        <f t="shared" si="153"/>
        <v>0</v>
      </c>
      <c r="H777" s="531">
        <f>ROUND(F777*'Actual Load'!$B$16/'Zonal Load'!$N$16,2)</f>
        <v>0</v>
      </c>
      <c r="I777" s="170">
        <f t="shared" si="154"/>
        <v>0</v>
      </c>
      <c r="J777" s="170">
        <f t="shared" si="156"/>
        <v>0</v>
      </c>
      <c r="K777" s="170">
        <f t="shared" si="157"/>
        <v>0</v>
      </c>
      <c r="L777" s="655">
        <f>E777*'Interest Over Collect'!J$11</f>
        <v>0</v>
      </c>
      <c r="M777" s="170">
        <f t="shared" si="155"/>
        <v>0</v>
      </c>
      <c r="N777" s="192"/>
    </row>
    <row r="778" spans="1:14" s="174" customFormat="1">
      <c r="B778" s="23" t="s">
        <v>19</v>
      </c>
      <c r="C778" s="211">
        <v>0</v>
      </c>
      <c r="D778" s="214">
        <v>0</v>
      </c>
      <c r="E778" s="212">
        <v>0</v>
      </c>
      <c r="F778" s="213">
        <f t="shared" si="152"/>
        <v>0</v>
      </c>
      <c r="G778" s="170">
        <f t="shared" si="153"/>
        <v>0</v>
      </c>
      <c r="H778" s="531">
        <f>ROUND(F778*'Actual Load'!$B$22/'Zonal Load'!$N$22,2)</f>
        <v>0</v>
      </c>
      <c r="I778" s="170">
        <f t="shared" si="154"/>
        <v>0</v>
      </c>
      <c r="J778" s="170">
        <f t="shared" si="156"/>
        <v>0</v>
      </c>
      <c r="K778" s="170">
        <f t="shared" si="157"/>
        <v>0</v>
      </c>
      <c r="L778" s="655">
        <f>E778*'Interest Over Collect'!J$11</f>
        <v>0</v>
      </c>
      <c r="M778" s="170">
        <f t="shared" si="155"/>
        <v>0</v>
      </c>
      <c r="N778" s="192"/>
    </row>
    <row r="779" spans="1:14" s="174" customFormat="1">
      <c r="B779" s="23" t="s">
        <v>20</v>
      </c>
      <c r="C779" s="211">
        <v>0</v>
      </c>
      <c r="D779" s="214">
        <v>0</v>
      </c>
      <c r="E779" s="212">
        <v>0</v>
      </c>
      <c r="F779" s="213">
        <f t="shared" si="152"/>
        <v>0</v>
      </c>
      <c r="G779" s="170">
        <f t="shared" si="153"/>
        <v>0</v>
      </c>
      <c r="H779" s="531">
        <f>ROUND(F779*'Actual Load'!$B$17/'Zonal Load'!$N$17,2)</f>
        <v>0</v>
      </c>
      <c r="I779" s="170">
        <f t="shared" si="154"/>
        <v>0</v>
      </c>
      <c r="J779" s="170">
        <f t="shared" si="156"/>
        <v>0</v>
      </c>
      <c r="K779" s="170">
        <f t="shared" si="157"/>
        <v>0</v>
      </c>
      <c r="L779" s="655">
        <f>E779*'Interest Over Collect'!J$11</f>
        <v>0</v>
      </c>
      <c r="M779" s="170">
        <f t="shared" si="155"/>
        <v>0</v>
      </c>
      <c r="N779" s="192"/>
    </row>
    <row r="780" spans="1:14" s="174" customFormat="1">
      <c r="B780" s="23" t="s">
        <v>21</v>
      </c>
      <c r="C780" s="211">
        <v>0</v>
      </c>
      <c r="D780" s="214">
        <v>0</v>
      </c>
      <c r="E780" s="212">
        <v>0</v>
      </c>
      <c r="F780" s="213">
        <f t="shared" si="152"/>
        <v>0</v>
      </c>
      <c r="G780" s="170">
        <f t="shared" si="153"/>
        <v>0</v>
      </c>
      <c r="H780" s="531">
        <f>ROUND(F780*'Actual Load'!$B$15/'Zonal Load'!$N$15,2)</f>
        <v>0</v>
      </c>
      <c r="I780" s="170">
        <f t="shared" si="154"/>
        <v>0</v>
      </c>
      <c r="J780" s="170">
        <f t="shared" si="156"/>
        <v>0</v>
      </c>
      <c r="K780" s="170">
        <f t="shared" si="157"/>
        <v>0</v>
      </c>
      <c r="L780" s="655">
        <f>E780*'Interest Over Collect'!J$11</f>
        <v>0</v>
      </c>
      <c r="M780" s="170">
        <f t="shared" si="155"/>
        <v>0</v>
      </c>
      <c r="N780" s="192"/>
    </row>
    <row r="781" spans="1:14" s="174" customFormat="1">
      <c r="B781" s="23" t="s">
        <v>22</v>
      </c>
      <c r="C781" s="211">
        <v>0</v>
      </c>
      <c r="D781" s="214">
        <v>0</v>
      </c>
      <c r="E781" s="212">
        <v>0</v>
      </c>
      <c r="F781" s="213">
        <f t="shared" si="152"/>
        <v>0</v>
      </c>
      <c r="G781" s="170">
        <f t="shared" si="153"/>
        <v>0</v>
      </c>
      <c r="H781" s="531">
        <f>ROUND(F781*'Actual Load'!$B$4/'Zonal Load'!$N$4,2)</f>
        <v>0</v>
      </c>
      <c r="I781" s="170">
        <f t="shared" si="154"/>
        <v>0</v>
      </c>
      <c r="J781" s="170">
        <f t="shared" si="156"/>
        <v>0</v>
      </c>
      <c r="K781" s="170">
        <f t="shared" si="157"/>
        <v>0</v>
      </c>
      <c r="L781" s="655">
        <f>E781*'Interest Over Collect'!J$11</f>
        <v>0</v>
      </c>
      <c r="M781" s="170">
        <f t="shared" si="155"/>
        <v>0</v>
      </c>
      <c r="N781" s="192"/>
    </row>
    <row r="782" spans="1:14" s="174" customFormat="1">
      <c r="B782" s="23" t="s">
        <v>23</v>
      </c>
      <c r="C782" s="211">
        <v>0</v>
      </c>
      <c r="D782" s="214">
        <v>0</v>
      </c>
      <c r="E782" s="212">
        <v>0</v>
      </c>
      <c r="F782" s="213">
        <f t="shared" si="152"/>
        <v>0</v>
      </c>
      <c r="G782" s="170">
        <f t="shared" si="153"/>
        <v>0</v>
      </c>
      <c r="H782" s="531">
        <f>ROUND(F782*'Actual Load'!$B$11/'Zonal Load'!$N$11,2)</f>
        <v>0</v>
      </c>
      <c r="I782" s="170">
        <f t="shared" si="154"/>
        <v>0</v>
      </c>
      <c r="J782" s="170">
        <f t="shared" si="156"/>
        <v>0</v>
      </c>
      <c r="K782" s="170">
        <f t="shared" si="157"/>
        <v>0</v>
      </c>
      <c r="L782" s="655">
        <f>E782*'Interest Over Collect'!J$11</f>
        <v>0</v>
      </c>
      <c r="M782" s="170">
        <f t="shared" si="155"/>
        <v>0</v>
      </c>
      <c r="N782" s="192"/>
    </row>
    <row r="783" spans="1:14" s="174" customFormat="1">
      <c r="B783" s="23" t="s">
        <v>25</v>
      </c>
      <c r="C783" s="211">
        <v>0</v>
      </c>
      <c r="D783" s="214">
        <v>0</v>
      </c>
      <c r="E783" s="212">
        <v>0</v>
      </c>
      <c r="F783" s="213">
        <f t="shared" si="152"/>
        <v>0</v>
      </c>
      <c r="G783" s="170">
        <f t="shared" si="153"/>
        <v>0</v>
      </c>
      <c r="H783" s="531">
        <f>ROUND(F783*'Actual Load'!$B$7/'Zonal Load'!$N$7,2)</f>
        <v>0</v>
      </c>
      <c r="I783" s="170">
        <f t="shared" si="154"/>
        <v>0</v>
      </c>
      <c r="J783" s="170">
        <f t="shared" si="156"/>
        <v>0</v>
      </c>
      <c r="K783" s="170">
        <f t="shared" si="157"/>
        <v>0</v>
      </c>
      <c r="L783" s="655">
        <f>E783*'Interest Over Collect'!J$11</f>
        <v>0</v>
      </c>
      <c r="M783" s="170">
        <f t="shared" si="155"/>
        <v>0</v>
      </c>
      <c r="N783" s="192"/>
    </row>
    <row r="784" spans="1:14" s="174" customFormat="1">
      <c r="B784" s="23" t="s">
        <v>24</v>
      </c>
      <c r="C784" s="211">
        <v>0</v>
      </c>
      <c r="D784" s="214">
        <v>0</v>
      </c>
      <c r="E784" s="212">
        <v>0</v>
      </c>
      <c r="F784" s="213">
        <f t="shared" si="152"/>
        <v>0</v>
      </c>
      <c r="G784" s="170">
        <f t="shared" si="153"/>
        <v>0</v>
      </c>
      <c r="H784" s="531">
        <f>ROUND(F784*'Actual Load'!$B$6/'Zonal Load'!$N$6,2)</f>
        <v>0</v>
      </c>
      <c r="I784" s="170">
        <f t="shared" si="154"/>
        <v>0</v>
      </c>
      <c r="J784" s="170">
        <f t="shared" si="156"/>
        <v>0</v>
      </c>
      <c r="K784" s="170">
        <f t="shared" si="157"/>
        <v>0</v>
      </c>
      <c r="L784" s="655">
        <f>E784*'Interest Over Collect'!J$11</f>
        <v>0</v>
      </c>
      <c r="M784" s="170">
        <f t="shared" si="155"/>
        <v>0</v>
      </c>
      <c r="N784" s="192"/>
    </row>
    <row r="785" spans="2:14" s="174" customFormat="1">
      <c r="B785" s="23" t="s">
        <v>116</v>
      </c>
      <c r="C785" s="211">
        <v>0</v>
      </c>
      <c r="D785" s="214">
        <v>0</v>
      </c>
      <c r="E785" s="212">
        <v>0</v>
      </c>
      <c r="F785" s="213">
        <f t="shared" si="152"/>
        <v>0</v>
      </c>
      <c r="G785" s="170">
        <f t="shared" si="153"/>
        <v>0</v>
      </c>
      <c r="H785" s="531">
        <f>ROUND(F785*'Actual Load'!$B$18/'Zonal Load'!$N$18,2)</f>
        <v>0</v>
      </c>
      <c r="I785" s="170">
        <f t="shared" si="154"/>
        <v>0</v>
      </c>
      <c r="J785" s="170">
        <f t="shared" si="156"/>
        <v>0</v>
      </c>
      <c r="K785" s="170">
        <f t="shared" si="157"/>
        <v>0</v>
      </c>
      <c r="L785" s="655">
        <f>E785*'Interest Over Collect'!J$11</f>
        <v>0</v>
      </c>
      <c r="M785" s="170">
        <f t="shared" si="155"/>
        <v>0</v>
      </c>
      <c r="N785" s="192"/>
    </row>
    <row r="786" spans="2:14" s="174" customFormat="1">
      <c r="B786" s="23" t="s">
        <v>117</v>
      </c>
      <c r="C786" s="211">
        <v>0</v>
      </c>
      <c r="D786" s="214">
        <v>0</v>
      </c>
      <c r="E786" s="212">
        <v>0</v>
      </c>
      <c r="F786" s="213">
        <f t="shared" si="152"/>
        <v>0</v>
      </c>
      <c r="G786" s="170">
        <f t="shared" si="153"/>
        <v>0</v>
      </c>
      <c r="H786" s="531">
        <f>ROUND(F786*'Actual Load'!$B$17/'Zonal Load'!$N$17,2)</f>
        <v>0</v>
      </c>
      <c r="I786" s="170">
        <f t="shared" si="154"/>
        <v>0</v>
      </c>
      <c r="J786" s="170">
        <f t="shared" si="156"/>
        <v>0</v>
      </c>
      <c r="K786" s="170">
        <f t="shared" si="157"/>
        <v>0</v>
      </c>
      <c r="L786" s="655">
        <f>E786*'Interest Over Collect'!J$11</f>
        <v>0</v>
      </c>
      <c r="M786" s="170">
        <f t="shared" si="155"/>
        <v>0</v>
      </c>
      <c r="N786" s="192"/>
    </row>
    <row r="787" spans="2:14" s="174" customFormat="1">
      <c r="B787" s="23" t="s">
        <v>26</v>
      </c>
      <c r="C787" s="211">
        <v>0</v>
      </c>
      <c r="D787" s="214">
        <v>0</v>
      </c>
      <c r="E787" s="212">
        <v>0</v>
      </c>
      <c r="F787" s="213">
        <f t="shared" si="152"/>
        <v>0</v>
      </c>
      <c r="G787" s="170">
        <f t="shared" si="153"/>
        <v>0</v>
      </c>
      <c r="H787" s="531">
        <f>ROUND(F787*'Actual Load'!$B$12/'Zonal Load'!$N$12,2)</f>
        <v>0</v>
      </c>
      <c r="I787" s="170">
        <f t="shared" si="154"/>
        <v>0</v>
      </c>
      <c r="J787" s="170">
        <f t="shared" si="156"/>
        <v>0</v>
      </c>
      <c r="K787" s="170">
        <f t="shared" si="157"/>
        <v>0</v>
      </c>
      <c r="L787" s="655">
        <f>E787*'Interest Over Collect'!J$11</f>
        <v>0</v>
      </c>
      <c r="M787" s="170">
        <f t="shared" si="155"/>
        <v>0</v>
      </c>
      <c r="N787" s="192"/>
    </row>
    <row r="788" spans="2:14" s="174" customFormat="1">
      <c r="B788" s="23" t="s">
        <v>27</v>
      </c>
      <c r="C788" s="211">
        <v>0</v>
      </c>
      <c r="D788" s="214">
        <v>0</v>
      </c>
      <c r="E788" s="212">
        <v>0</v>
      </c>
      <c r="F788" s="213">
        <f t="shared" si="152"/>
        <v>0</v>
      </c>
      <c r="G788" s="170">
        <f t="shared" si="153"/>
        <v>0</v>
      </c>
      <c r="H788" s="531">
        <f>ROUND(F788*'Actual Load'!$B$24/'Zonal Load'!$N$24,2)</f>
        <v>0</v>
      </c>
      <c r="I788" s="170">
        <f t="shared" si="154"/>
        <v>0</v>
      </c>
      <c r="J788" s="170">
        <f t="shared" si="156"/>
        <v>0</v>
      </c>
      <c r="K788" s="170">
        <f t="shared" si="157"/>
        <v>0</v>
      </c>
      <c r="L788" s="655">
        <f>E788*'Interest Over Collect'!J$11</f>
        <v>0</v>
      </c>
      <c r="M788" s="170">
        <f t="shared" si="155"/>
        <v>0</v>
      </c>
      <c r="N788" s="192"/>
    </row>
    <row r="789" spans="2:14" s="174" customFormat="1">
      <c r="B789" s="23" t="s">
        <v>28</v>
      </c>
      <c r="C789" s="211">
        <v>0</v>
      </c>
      <c r="D789" s="214">
        <v>0</v>
      </c>
      <c r="E789" s="212">
        <v>0.20878603492825801</v>
      </c>
      <c r="F789" s="213">
        <f t="shared" si="152"/>
        <v>1291565.24</v>
      </c>
      <c r="G789" s="170">
        <f t="shared" si="153"/>
        <v>122955.9750435655</v>
      </c>
      <c r="H789" s="531">
        <f>ROUND(F789*'Actual Load'!$B$5/'Zonal Load'!$N$5,2)</f>
        <v>1324213.28</v>
      </c>
      <c r="I789" s="170">
        <f t="shared" si="154"/>
        <v>1338419.7</v>
      </c>
      <c r="J789" s="170">
        <f t="shared" si="156"/>
        <v>46854.459999999963</v>
      </c>
      <c r="K789" s="170">
        <f t="shared" si="157"/>
        <v>169810.43504356546</v>
      </c>
      <c r="L789" s="655">
        <f>E789*'Interest Over Collect'!J$11</f>
        <v>6455.3823388345845</v>
      </c>
      <c r="M789" s="170">
        <f t="shared" si="155"/>
        <v>176265.81738240004</v>
      </c>
      <c r="N789" s="192"/>
    </row>
    <row r="790" spans="2:14" s="174" customFormat="1">
      <c r="B790" s="23" t="s">
        <v>29</v>
      </c>
      <c r="C790" s="211">
        <v>0</v>
      </c>
      <c r="D790" s="214">
        <v>0</v>
      </c>
      <c r="E790" s="212">
        <v>0.64668787139633377</v>
      </c>
      <c r="F790" s="213">
        <f t="shared" si="152"/>
        <v>4000457.09</v>
      </c>
      <c r="G790" s="170">
        <f t="shared" si="153"/>
        <v>380840.3076561435</v>
      </c>
      <c r="H790" s="531">
        <f>ROUND(F790*'Actual Load'!$B$21/'Zonal Load'!$N$21,2)</f>
        <v>3833543.29</v>
      </c>
      <c r="I790" s="170">
        <f t="shared" si="154"/>
        <v>3874670.28</v>
      </c>
      <c r="J790" s="170">
        <f t="shared" si="156"/>
        <v>-125786.81000000006</v>
      </c>
      <c r="K790" s="170">
        <f t="shared" si="157"/>
        <v>255053.49765614345</v>
      </c>
      <c r="L790" s="655">
        <f>E790*'Interest Over Collect'!J$11</f>
        <v>19994.715954948257</v>
      </c>
      <c r="M790" s="170">
        <f t="shared" si="155"/>
        <v>275048.21361109172</v>
      </c>
      <c r="N790" s="192"/>
    </row>
    <row r="791" spans="2:14" s="174" customFormat="1">
      <c r="B791" s="23" t="s">
        <v>30</v>
      </c>
      <c r="C791" s="211">
        <v>0</v>
      </c>
      <c r="D791" s="214">
        <v>0</v>
      </c>
      <c r="E791" s="212">
        <v>8.2775896108459687E-2</v>
      </c>
      <c r="F791" s="213">
        <f t="shared" si="152"/>
        <v>512057.57</v>
      </c>
      <c r="G791" s="170">
        <f t="shared" si="153"/>
        <v>48747.470201336888</v>
      </c>
      <c r="H791" s="531">
        <f>ROUND(F791*'Actual Load'!$B$19/'Zonal Load'!$N$19,2)</f>
        <v>497915.66</v>
      </c>
      <c r="I791" s="170">
        <f t="shared" si="154"/>
        <v>503257.4</v>
      </c>
      <c r="J791" s="170">
        <f t="shared" si="156"/>
        <v>-8800.1699999999837</v>
      </c>
      <c r="K791" s="170">
        <f t="shared" si="157"/>
        <v>39947.300201336904</v>
      </c>
      <c r="L791" s="655">
        <f>E791*'Interest Over Collect'!J$11</f>
        <v>2559.3189602138273</v>
      </c>
      <c r="M791" s="170">
        <f t="shared" si="155"/>
        <v>42506.619161550734</v>
      </c>
      <c r="N791" s="192"/>
    </row>
    <row r="792" spans="2:14" s="174" customFormat="1">
      <c r="B792" s="23" t="s">
        <v>31</v>
      </c>
      <c r="C792" s="211">
        <v>0</v>
      </c>
      <c r="D792" s="214">
        <v>0</v>
      </c>
      <c r="E792" s="212">
        <v>0</v>
      </c>
      <c r="F792" s="213">
        <f t="shared" si="152"/>
        <v>0</v>
      </c>
      <c r="G792" s="170">
        <f t="shared" si="153"/>
        <v>0</v>
      </c>
      <c r="H792" s="531">
        <f>ROUND(F792*'Actual Load'!$B$25/'Zonal Load'!$N$25,2)</f>
        <v>0</v>
      </c>
      <c r="I792" s="170">
        <f t="shared" si="154"/>
        <v>0</v>
      </c>
      <c r="J792" s="170">
        <f t="shared" si="156"/>
        <v>0</v>
      </c>
      <c r="K792" s="170">
        <f t="shared" si="157"/>
        <v>0</v>
      </c>
      <c r="L792" s="655">
        <f>E792*'Interest Over Collect'!J$11</f>
        <v>0</v>
      </c>
      <c r="M792" s="170">
        <f t="shared" si="155"/>
        <v>0</v>
      </c>
      <c r="N792" s="192"/>
    </row>
    <row r="793" spans="2:14" s="174" customFormat="1">
      <c r="B793" s="23" t="s">
        <v>32</v>
      </c>
      <c r="C793" s="211">
        <v>0</v>
      </c>
      <c r="D793" s="214">
        <v>0</v>
      </c>
      <c r="E793" s="212">
        <v>3.7345141805981454E-3</v>
      </c>
      <c r="F793" s="213">
        <f t="shared" si="152"/>
        <v>23101.97</v>
      </c>
      <c r="G793" s="170">
        <f t="shared" si="153"/>
        <v>2199.2890115818732</v>
      </c>
      <c r="H793" s="531">
        <f>ROUND(F793*'Actual Load'!$B$13/'Zonal Load'!$N$13,2)</f>
        <v>22161.57</v>
      </c>
      <c r="I793" s="170">
        <f t="shared" si="154"/>
        <v>22399.32</v>
      </c>
      <c r="J793" s="170">
        <f t="shared" si="156"/>
        <v>-702.65000000000146</v>
      </c>
      <c r="K793" s="170">
        <f t="shared" si="157"/>
        <v>1496.6390115818717</v>
      </c>
      <c r="L793" s="655">
        <f>E793*'Interest Over Collect'!J$11</f>
        <v>115.46613686995086</v>
      </c>
      <c r="M793" s="170">
        <f t="shared" si="155"/>
        <v>1612.1051484518225</v>
      </c>
      <c r="N793" s="192"/>
    </row>
    <row r="794" spans="2:14" s="174" customFormat="1">
      <c r="B794" s="23" t="s">
        <v>33</v>
      </c>
      <c r="C794" s="211">
        <v>0</v>
      </c>
      <c r="D794" s="214">
        <v>0</v>
      </c>
      <c r="E794" s="212">
        <v>7.0461010201267396E-4</v>
      </c>
      <c r="F794" s="213">
        <f t="shared" si="152"/>
        <v>4358.7700000000004</v>
      </c>
      <c r="G794" s="170">
        <f t="shared" si="153"/>
        <v>414.95123056618183</v>
      </c>
      <c r="H794" s="531">
        <f>ROUND(F794*'Actual Load'!$B$23/'Zonal Load'!$N$23,2)</f>
        <v>5930.92</v>
      </c>
      <c r="I794" s="170">
        <f t="shared" si="154"/>
        <v>5994.55</v>
      </c>
      <c r="J794" s="170">
        <f t="shared" si="156"/>
        <v>1635.7799999999997</v>
      </c>
      <c r="K794" s="170">
        <f t="shared" si="157"/>
        <v>2050.7312305661817</v>
      </c>
      <c r="L794" s="655">
        <f>E794*'Interest Over Collect'!J$11</f>
        <v>21.785593130594162</v>
      </c>
      <c r="M794" s="170">
        <f t="shared" si="155"/>
        <v>2072.5168236967756</v>
      </c>
      <c r="N794" s="192"/>
    </row>
    <row r="795" spans="2:14" s="174" customFormat="1">
      <c r="B795" s="194" t="s">
        <v>34</v>
      </c>
      <c r="C795" s="211">
        <v>0</v>
      </c>
      <c r="D795" s="214">
        <v>0</v>
      </c>
      <c r="E795" s="212">
        <v>0</v>
      </c>
      <c r="F795" s="213">
        <f t="shared" si="152"/>
        <v>0</v>
      </c>
      <c r="G795" s="170">
        <f t="shared" si="153"/>
        <v>0</v>
      </c>
      <c r="H795" s="531">
        <f>ROUND(F795*'Actual Load'!$B$20/'Zonal Load'!$N$20,2)</f>
        <v>0</v>
      </c>
      <c r="I795" s="170">
        <f t="shared" si="154"/>
        <v>0</v>
      </c>
      <c r="J795" s="170">
        <f>I795-F795</f>
        <v>0</v>
      </c>
      <c r="K795" s="170">
        <f>+G795+J795</f>
        <v>0</v>
      </c>
      <c r="L795" s="655">
        <f>E795*'Interest Over Collect'!J$11</f>
        <v>0</v>
      </c>
      <c r="M795" s="170">
        <f t="shared" si="155"/>
        <v>0</v>
      </c>
      <c r="N795" s="192"/>
    </row>
    <row r="796" spans="2:14" s="174" customFormat="1">
      <c r="B796" s="194" t="s">
        <v>110</v>
      </c>
      <c r="C796" s="211">
        <v>0</v>
      </c>
      <c r="D796" s="214">
        <v>0</v>
      </c>
      <c r="E796" s="212">
        <v>0</v>
      </c>
      <c r="F796" s="213">
        <f t="shared" si="152"/>
        <v>0</v>
      </c>
      <c r="G796" s="170">
        <f t="shared" si="153"/>
        <v>0</v>
      </c>
      <c r="H796" s="531">
        <f>ROUND(F796*'Actual Load'!$B$27/'Zonal Load'!$N$27,2)</f>
        <v>0</v>
      </c>
      <c r="I796" s="170">
        <f t="shared" si="154"/>
        <v>0</v>
      </c>
      <c r="J796" s="170">
        <f>I796-F796</f>
        <v>0</v>
      </c>
      <c r="K796" s="170">
        <f>+G796+J796</f>
        <v>0</v>
      </c>
      <c r="L796" s="655">
        <f>E796*'Interest Over Collect'!J$11</f>
        <v>0</v>
      </c>
      <c r="M796" s="170">
        <f t="shared" si="155"/>
        <v>0</v>
      </c>
      <c r="N796" s="192"/>
    </row>
    <row r="797" spans="2:14" s="174" customFormat="1">
      <c r="B797" s="194" t="s">
        <v>111</v>
      </c>
      <c r="C797" s="211">
        <v>0</v>
      </c>
      <c r="D797" s="214">
        <v>0</v>
      </c>
      <c r="E797" s="212">
        <v>0</v>
      </c>
      <c r="F797" s="213">
        <f t="shared" si="152"/>
        <v>0</v>
      </c>
      <c r="G797" s="170">
        <f t="shared" si="153"/>
        <v>0</v>
      </c>
      <c r="H797" s="531">
        <f>ROUND(F797*'Actual Load'!$B$28/'Zonal Load'!$N$28,2)</f>
        <v>0</v>
      </c>
      <c r="I797" s="170">
        <f t="shared" si="154"/>
        <v>0</v>
      </c>
      <c r="J797" s="170">
        <f>I797-F797</f>
        <v>0</v>
      </c>
      <c r="K797" s="170">
        <f>+G797+J797</f>
        <v>0</v>
      </c>
      <c r="L797" s="655">
        <f>E797*'Interest Over Collect'!J$11</f>
        <v>0</v>
      </c>
      <c r="M797" s="170">
        <f t="shared" si="155"/>
        <v>0</v>
      </c>
      <c r="N797" s="192"/>
    </row>
    <row r="798" spans="2:14" s="174" customFormat="1">
      <c r="B798" s="194" t="s">
        <v>118</v>
      </c>
      <c r="C798" s="211">
        <v>0</v>
      </c>
      <c r="D798" s="214">
        <v>0</v>
      </c>
      <c r="E798" s="212">
        <v>5.731107328433762E-2</v>
      </c>
      <c r="F798" s="213">
        <f t="shared" si="152"/>
        <v>354530.37</v>
      </c>
      <c r="G798" s="170">
        <f t="shared" si="153"/>
        <v>33751.006856805987</v>
      </c>
      <c r="H798" s="531">
        <f>ROUND(F798*'Actual Load'!$B$29/'Zonal Load'!$N$29,2)</f>
        <v>323720.94</v>
      </c>
      <c r="I798" s="170">
        <f t="shared" si="154"/>
        <v>327193.88</v>
      </c>
      <c r="J798" s="170">
        <f>I798-F798</f>
        <v>-27336.489999999991</v>
      </c>
      <c r="K798" s="170">
        <f>+G798+J798</f>
        <v>6414.5168568059962</v>
      </c>
      <c r="L798" s="655">
        <f>E798*'Interest Over Collect'!J$11</f>
        <v>1771.9810160027855</v>
      </c>
      <c r="M798" s="170">
        <f t="shared" si="155"/>
        <v>8186.4978728087817</v>
      </c>
      <c r="N798" s="192"/>
    </row>
    <row r="799" spans="2:14">
      <c r="B799" s="194" t="s">
        <v>119</v>
      </c>
      <c r="C799" s="19">
        <v>0</v>
      </c>
      <c r="D799" s="20">
        <v>0</v>
      </c>
      <c r="E799" s="212">
        <v>0</v>
      </c>
      <c r="F799" s="213">
        <f t="shared" si="152"/>
        <v>0</v>
      </c>
      <c r="G799" s="170">
        <f t="shared" si="153"/>
        <v>0</v>
      </c>
      <c r="H799" s="531">
        <f>ROUND(F799*'Actual Load'!$B$30/'Zonal Load'!$N$30,2)</f>
        <v>0</v>
      </c>
      <c r="I799" s="170">
        <f t="shared" si="154"/>
        <v>0</v>
      </c>
      <c r="J799" s="170">
        <f>I799-F799</f>
        <v>0</v>
      </c>
      <c r="K799" s="170">
        <f>+G799+J799</f>
        <v>0</v>
      </c>
      <c r="L799" s="655">
        <f>E799*'Interest Over Collect'!J$11</f>
        <v>0</v>
      </c>
      <c r="M799" s="170">
        <f t="shared" si="155"/>
        <v>0</v>
      </c>
      <c r="N799" s="192"/>
    </row>
    <row r="800" spans="2:14">
      <c r="B800" s="483"/>
      <c r="C800" s="482">
        <f t="shared" ref="C800:M800" si="158">SUM(C772:C798)</f>
        <v>0</v>
      </c>
      <c r="D800" s="27">
        <f t="shared" si="158"/>
        <v>0</v>
      </c>
      <c r="E800" s="94">
        <f t="shared" si="158"/>
        <v>0.99999999999999989</v>
      </c>
      <c r="F800" s="90">
        <f t="shared" si="158"/>
        <v>6186071.0099999998</v>
      </c>
      <c r="G800" s="131">
        <f t="shared" si="158"/>
        <v>588908.99999999988</v>
      </c>
      <c r="H800" s="131">
        <f t="shared" si="158"/>
        <v>6007485.6600000011</v>
      </c>
      <c r="I800" s="131">
        <f t="shared" si="158"/>
        <v>6071935.1299999999</v>
      </c>
      <c r="J800" s="131">
        <f t="shared" si="158"/>
        <v>-114135.88000000006</v>
      </c>
      <c r="K800" s="510">
        <f>SUM(K772:K798)</f>
        <v>474773.11999999988</v>
      </c>
      <c r="L800" s="657">
        <f t="shared" si="158"/>
        <v>30918.649999999998</v>
      </c>
      <c r="M800" s="131">
        <f t="shared" si="158"/>
        <v>505691.76999999984</v>
      </c>
      <c r="N800" s="192"/>
    </row>
    <row r="801" spans="2:14">
      <c r="F801" s="3" t="s">
        <v>623</v>
      </c>
      <c r="G801" s="21"/>
      <c r="I801" s="569" t="s">
        <v>621</v>
      </c>
      <c r="J801" s="570" t="s">
        <v>622</v>
      </c>
      <c r="N801" s="192"/>
    </row>
    <row r="802" spans="2:14">
      <c r="E802" s="479" t="s">
        <v>610</v>
      </c>
      <c r="F802" s="168">
        <f>ROUND((I802*M$884)+(J802*M$888),0)</f>
        <v>6186071</v>
      </c>
      <c r="G802" s="21"/>
      <c r="I802" s="571">
        <v>6288904.6404657038</v>
      </c>
      <c r="J802" s="571">
        <v>5841994.190502312</v>
      </c>
      <c r="N802" s="192"/>
    </row>
    <row r="803" spans="2:14">
      <c r="E803" s="480" t="s">
        <v>611</v>
      </c>
      <c r="F803" s="169">
        <f>ROUND((I803*M$884)+(J803*M$888),0)</f>
        <v>5597162</v>
      </c>
      <c r="G803" s="528">
        <f>F802-F803</f>
        <v>588909</v>
      </c>
      <c r="H803" s="529"/>
      <c r="I803" s="572">
        <f>'Att GG at 12.38 '!N89</f>
        <v>5689596.552454195</v>
      </c>
      <c r="J803" s="572">
        <f>'Att GG at 10.82'!N89</f>
        <v>5287881.6774059823</v>
      </c>
      <c r="L803" s="81"/>
      <c r="N803" s="192"/>
    </row>
    <row r="804" spans="2:14">
      <c r="E804" s="91" t="s">
        <v>153</v>
      </c>
      <c r="F804" s="175">
        <f>I800</f>
        <v>6071935.1299999999</v>
      </c>
      <c r="G804" s="528">
        <f>F804-F802</f>
        <v>-114135.87000000011</v>
      </c>
      <c r="H804" s="530"/>
      <c r="I804" s="29"/>
      <c r="K804" s="86"/>
      <c r="L804" s="644"/>
      <c r="M804" s="86"/>
      <c r="N804" s="192"/>
    </row>
    <row r="805" spans="2:14">
      <c r="G805" s="528">
        <f>G803+G804</f>
        <v>474773.12999999989</v>
      </c>
      <c r="H805" s="529">
        <f>F804-F803</f>
        <v>474773.12999999989</v>
      </c>
      <c r="I805" s="29"/>
      <c r="K805" s="86"/>
      <c r="L805" s="86"/>
      <c r="M805" s="86"/>
      <c r="N805" s="192"/>
    </row>
    <row r="806" spans="2:14">
      <c r="B806" s="79"/>
      <c r="C806" s="79"/>
      <c r="D806" s="79"/>
      <c r="E806" s="79"/>
      <c r="F806" s="79"/>
      <c r="G806" s="79"/>
      <c r="H806" s="79"/>
      <c r="I806" s="79"/>
      <c r="J806" s="105"/>
      <c r="K806" s="79"/>
      <c r="L806" s="79"/>
      <c r="M806" s="79"/>
      <c r="N806" s="192"/>
    </row>
    <row r="807" spans="2:14">
      <c r="L807" s="174"/>
      <c r="N807" s="192"/>
    </row>
    <row r="808" spans="2:14">
      <c r="B808" s="678" t="s">
        <v>0</v>
      </c>
      <c r="C808" s="679"/>
      <c r="D808" s="680" t="s">
        <v>694</v>
      </c>
      <c r="E808" s="681"/>
      <c r="F808" s="681"/>
      <c r="G808" s="681"/>
      <c r="H808" s="682"/>
      <c r="I808" s="142"/>
      <c r="J808" s="1"/>
      <c r="N808" s="192"/>
    </row>
    <row r="809" spans="2:14">
      <c r="B809" s="665" t="s">
        <v>1</v>
      </c>
      <c r="C809" s="666"/>
      <c r="D809" s="667" t="s">
        <v>575</v>
      </c>
      <c r="E809" s="668"/>
      <c r="F809" s="668"/>
      <c r="G809" s="668"/>
      <c r="H809" s="669"/>
      <c r="I809" s="143"/>
      <c r="J809" s="1"/>
      <c r="N809" s="192"/>
    </row>
    <row r="810" spans="2:14">
      <c r="B810" s="665" t="s">
        <v>3</v>
      </c>
      <c r="C810" s="666"/>
      <c r="D810" s="670"/>
      <c r="E810" s="671"/>
      <c r="F810" s="671"/>
      <c r="G810" s="671"/>
      <c r="H810" s="672"/>
      <c r="I810" s="144"/>
      <c r="J810" s="1"/>
      <c r="N810" s="192"/>
    </row>
    <row r="811" spans="2:14">
      <c r="B811" s="673" t="s">
        <v>5</v>
      </c>
      <c r="C811" s="674"/>
      <c r="D811" s="675" t="s">
        <v>29</v>
      </c>
      <c r="E811" s="676"/>
      <c r="F811" s="676"/>
      <c r="G811" s="676"/>
      <c r="H811" s="677"/>
      <c r="I811" s="145"/>
      <c r="J811" s="1"/>
      <c r="N811" s="192"/>
    </row>
    <row r="812" spans="2:14">
      <c r="B812" s="74"/>
      <c r="C812" s="74"/>
      <c r="D812" s="74"/>
      <c r="E812" s="74"/>
      <c r="F812" s="74"/>
      <c r="H812" s="481"/>
      <c r="J812" s="99" t="s">
        <v>155</v>
      </c>
      <c r="K812" s="3" t="s">
        <v>40</v>
      </c>
      <c r="M812" s="3" t="s">
        <v>54</v>
      </c>
      <c r="N812" s="192"/>
    </row>
    <row r="813" spans="2:14">
      <c r="B813" s="74"/>
      <c r="C813" s="74"/>
      <c r="D813" s="74"/>
      <c r="E813" s="74"/>
      <c r="F813" s="74"/>
      <c r="G813" s="3" t="s">
        <v>37</v>
      </c>
      <c r="H813" s="127" t="s">
        <v>38</v>
      </c>
      <c r="I813" s="92" t="s">
        <v>39</v>
      </c>
      <c r="J813" s="100" t="s">
        <v>156</v>
      </c>
      <c r="K813" s="4" t="s">
        <v>157</v>
      </c>
      <c r="L813" s="4" t="s">
        <v>53</v>
      </c>
      <c r="M813" s="4" t="s">
        <v>158</v>
      </c>
      <c r="N813" s="192"/>
    </row>
    <row r="814" spans="2:14">
      <c r="B814" s="74"/>
      <c r="C814" s="74"/>
      <c r="D814" s="74"/>
      <c r="E814" s="74"/>
      <c r="F814" s="74"/>
      <c r="G814" s="5"/>
      <c r="H814" s="662" t="s">
        <v>41</v>
      </c>
      <c r="I814" s="663"/>
      <c r="J814" s="664"/>
      <c r="K814" s="6" t="s">
        <v>42</v>
      </c>
      <c r="L814" s="5"/>
      <c r="M814" s="6" t="s">
        <v>43</v>
      </c>
      <c r="N814" s="192"/>
    </row>
    <row r="815" spans="2:14">
      <c r="B815" s="75"/>
      <c r="C815" s="7">
        <v>0.2</v>
      </c>
      <c r="D815" s="7">
        <v>0.8</v>
      </c>
      <c r="E815" s="7"/>
      <c r="F815" s="87" t="s">
        <v>154</v>
      </c>
      <c r="G815" s="8" t="s">
        <v>44</v>
      </c>
      <c r="H815" s="128"/>
      <c r="I815" s="5"/>
      <c r="J815" s="101" t="s">
        <v>45</v>
      </c>
      <c r="K815" s="8" t="s">
        <v>46</v>
      </c>
      <c r="L815" s="9"/>
      <c r="M815" s="8" t="s">
        <v>47</v>
      </c>
      <c r="N815" s="192"/>
    </row>
    <row r="816" spans="2:14">
      <c r="B816" s="10"/>
      <c r="C816" s="68" t="s">
        <v>8</v>
      </c>
      <c r="D816" s="68" t="s">
        <v>9</v>
      </c>
      <c r="E816" s="68" t="s">
        <v>10</v>
      </c>
      <c r="F816" s="88" t="s">
        <v>7</v>
      </c>
      <c r="G816" s="11" t="s">
        <v>48</v>
      </c>
      <c r="H816" s="129" t="s">
        <v>49</v>
      </c>
      <c r="I816" s="12" t="s">
        <v>152</v>
      </c>
      <c r="J816" s="102" t="s">
        <v>48</v>
      </c>
      <c r="K816" s="12" t="s">
        <v>48</v>
      </c>
      <c r="L816" s="12" t="s">
        <v>50</v>
      </c>
      <c r="M816" s="12" t="s">
        <v>51</v>
      </c>
      <c r="N816" s="192"/>
    </row>
    <row r="817" spans="1:14" ht="31.5">
      <c r="B817" s="13" t="s">
        <v>12</v>
      </c>
      <c r="C817" s="14" t="s">
        <v>13</v>
      </c>
      <c r="D817" s="14" t="s">
        <v>13</v>
      </c>
      <c r="E817" s="15" t="s">
        <v>13</v>
      </c>
      <c r="F817" s="89" t="s">
        <v>14</v>
      </c>
      <c r="G817" s="16" t="s">
        <v>52</v>
      </c>
      <c r="H817" s="130"/>
      <c r="I817" s="17"/>
      <c r="J817" s="103" t="s">
        <v>52</v>
      </c>
      <c r="K817" s="17"/>
      <c r="L817" s="17"/>
      <c r="M817" s="16" t="s">
        <v>52</v>
      </c>
      <c r="N817" s="192"/>
    </row>
    <row r="818" spans="1:14" s="174" customFormat="1">
      <c r="B818" s="18" t="s">
        <v>15</v>
      </c>
      <c r="C818" s="211">
        <v>0</v>
      </c>
      <c r="D818" s="214">
        <v>0</v>
      </c>
      <c r="E818" s="212">
        <v>0</v>
      </c>
      <c r="F818" s="220">
        <f t="shared" ref="F818:F852" si="159">ROUND(+E818*F$855,2)</f>
        <v>0</v>
      </c>
      <c r="G818" s="170">
        <f t="shared" ref="G818:G852" si="160">(F$855-F$856)*E818</f>
        <v>0</v>
      </c>
      <c r="H818" s="531">
        <f>ROUND(F818*'Actual Load'!$B$8/'Zonal Load'!$N$8,2)</f>
        <v>0</v>
      </c>
      <c r="I818" s="170">
        <f t="shared" ref="I818:I852" si="161">ROUND((H818*$H$912)/$H$910,2)</f>
        <v>0</v>
      </c>
      <c r="J818" s="170">
        <f>I818-F818</f>
        <v>0</v>
      </c>
      <c r="K818" s="170">
        <f>+G818+J818</f>
        <v>0</v>
      </c>
      <c r="L818" s="655">
        <f>E818*'Interest Under Collect '!J$13</f>
        <v>0</v>
      </c>
      <c r="M818" s="170">
        <f t="shared" ref="M818:M852" si="162">+K818+L818</f>
        <v>0</v>
      </c>
      <c r="N818" s="192"/>
    </row>
    <row r="819" spans="1:14" s="174" customFormat="1">
      <c r="B819" s="23" t="s">
        <v>16</v>
      </c>
      <c r="C819" s="211">
        <v>0</v>
      </c>
      <c r="D819" s="214">
        <v>0</v>
      </c>
      <c r="E819" s="212">
        <v>7.7488659152842605E-3</v>
      </c>
      <c r="F819" s="195">
        <f t="shared" si="159"/>
        <v>0</v>
      </c>
      <c r="G819" s="170">
        <f t="shared" si="160"/>
        <v>-787.88143966835776</v>
      </c>
      <c r="H819" s="531">
        <f>ROUND(F819*'Actual Load'!$B$14/'Zonal Load'!$N$14,2)</f>
        <v>0</v>
      </c>
      <c r="I819" s="170">
        <f t="shared" si="161"/>
        <v>0</v>
      </c>
      <c r="J819" s="170">
        <f>I819-F819</f>
        <v>0</v>
      </c>
      <c r="K819" s="170">
        <f>+G819+J819</f>
        <v>-787.88143966835776</v>
      </c>
      <c r="L819" s="655">
        <f>E819*'Interest Under Collect '!J$13</f>
        <v>-0.70669657147392462</v>
      </c>
      <c r="M819" s="170">
        <f t="shared" si="162"/>
        <v>-788.58813623983167</v>
      </c>
      <c r="N819" s="192"/>
    </row>
    <row r="820" spans="1:14" s="174" customFormat="1">
      <c r="B820" s="23" t="s">
        <v>190</v>
      </c>
      <c r="C820" s="211">
        <f>0%*0.421</f>
        <v>0</v>
      </c>
      <c r="D820" s="214">
        <f>0%*0.421</f>
        <v>0</v>
      </c>
      <c r="E820" s="540">
        <f>8.33468085616993%*0.421*0</f>
        <v>0</v>
      </c>
      <c r="F820" s="195">
        <f t="shared" si="159"/>
        <v>0</v>
      </c>
      <c r="G820" s="170">
        <f t="shared" si="160"/>
        <v>0</v>
      </c>
      <c r="H820" s="531">
        <f>ROUND(F820*'Actual Load'!$B$9/'Zonal Load'!$N$9,2)</f>
        <v>0</v>
      </c>
      <c r="I820" s="170">
        <f t="shared" si="161"/>
        <v>0</v>
      </c>
      <c r="J820" s="170">
        <f>I820-F820</f>
        <v>0</v>
      </c>
      <c r="K820" s="170">
        <f>+G820+J820</f>
        <v>0</v>
      </c>
      <c r="L820" s="655">
        <f>E820*'Interest Under Collect '!J$13</f>
        <v>0</v>
      </c>
      <c r="M820" s="170">
        <f t="shared" si="162"/>
        <v>0</v>
      </c>
      <c r="N820" s="192"/>
    </row>
    <row r="821" spans="1:14" s="174" customFormat="1">
      <c r="B821" s="23" t="s">
        <v>249</v>
      </c>
      <c r="C821" s="211">
        <f>0%*0.421</f>
        <v>0</v>
      </c>
      <c r="D821" s="214">
        <f>0%*0.421</f>
        <v>0</v>
      </c>
      <c r="E821" s="540">
        <f>8.33468085616993%*(0.579+0.421)</f>
        <v>8.3346808561699307E-2</v>
      </c>
      <c r="F821" s="195">
        <f t="shared" si="159"/>
        <v>0</v>
      </c>
      <c r="G821" s="170">
        <f t="shared" si="160"/>
        <v>-8474.4534541279008</v>
      </c>
      <c r="H821" s="531">
        <f>ROUND(F821*'Actual Load'!$B$10/'Zonal Load'!$N$10,2)</f>
        <v>0</v>
      </c>
      <c r="I821" s="170">
        <f t="shared" si="161"/>
        <v>0</v>
      </c>
      <c r="J821" s="170">
        <f>I821-F821</f>
        <v>0</v>
      </c>
      <c r="K821" s="170">
        <f>+G821+J821</f>
        <v>-8474.4534541279008</v>
      </c>
      <c r="L821" s="655">
        <f>E821*'Interest Under Collect '!J$13</f>
        <v>-7.6012289408269771</v>
      </c>
      <c r="M821" s="170">
        <f t="shared" si="162"/>
        <v>-8482.0546830687272</v>
      </c>
      <c r="N821" s="192"/>
    </row>
    <row r="822" spans="1:14" s="174" customFormat="1">
      <c r="B822" s="23" t="s">
        <v>17</v>
      </c>
      <c r="C822" s="211">
        <f>0%*0.579</f>
        <v>0</v>
      </c>
      <c r="D822" s="214">
        <f>0%*0.579</f>
        <v>0</v>
      </c>
      <c r="E822" s="212">
        <v>1.3064224586972421E-2</v>
      </c>
      <c r="F822" s="195">
        <f t="shared" si="159"/>
        <v>0</v>
      </c>
      <c r="G822" s="170">
        <f t="shared" si="160"/>
        <v>-1328.3311633295948</v>
      </c>
      <c r="H822" s="531">
        <f>ROUND(F822*'Actual Load'!$B$26/'Zonal Load'!$N$26,2)</f>
        <v>0</v>
      </c>
      <c r="I822" s="170">
        <f t="shared" si="161"/>
        <v>0</v>
      </c>
      <c r="J822" s="170">
        <f>I822-F822</f>
        <v>0</v>
      </c>
      <c r="K822" s="170">
        <f>+G822+J822</f>
        <v>-1328.3311633295948</v>
      </c>
      <c r="L822" s="655">
        <f>E822*'Interest Under Collect '!J$13</f>
        <v>-1.191457282331885</v>
      </c>
      <c r="M822" s="170">
        <f t="shared" si="162"/>
        <v>-1329.5226206119266</v>
      </c>
      <c r="N822" s="192"/>
    </row>
    <row r="823" spans="1:14" s="174" customFormat="1">
      <c r="B823" s="23" t="s">
        <v>18</v>
      </c>
      <c r="C823" s="211">
        <v>0</v>
      </c>
      <c r="D823" s="214">
        <v>0</v>
      </c>
      <c r="E823" s="212">
        <v>3.168961389364703E-2</v>
      </c>
      <c r="F823" s="195">
        <f t="shared" si="159"/>
        <v>0</v>
      </c>
      <c r="G823" s="170">
        <f t="shared" si="160"/>
        <v>-3222.1048718643492</v>
      </c>
      <c r="H823" s="531">
        <f>ROUND(F823*'Actual Load'!$B$16/'Zonal Load'!$N$16,2)</f>
        <v>0</v>
      </c>
      <c r="I823" s="170">
        <f t="shared" si="161"/>
        <v>0</v>
      </c>
      <c r="J823" s="170">
        <f t="shared" ref="J823:J841" si="163">I823-F823</f>
        <v>0</v>
      </c>
      <c r="K823" s="170">
        <f t="shared" ref="K823:K841" si="164">+G823+J823</f>
        <v>-3222.1048718643492</v>
      </c>
      <c r="L823" s="655">
        <f>E823*'Interest Under Collect '!J$13</f>
        <v>-2.8900927871006092</v>
      </c>
      <c r="M823" s="170">
        <f t="shared" si="162"/>
        <v>-3224.9949646514497</v>
      </c>
      <c r="N823" s="192"/>
    </row>
    <row r="824" spans="1:14" s="174" customFormat="1">
      <c r="B824" s="23" t="s">
        <v>19</v>
      </c>
      <c r="C824" s="211">
        <v>0</v>
      </c>
      <c r="D824" s="214">
        <v>0</v>
      </c>
      <c r="E824" s="212">
        <v>3.8362255672088182E-2</v>
      </c>
      <c r="F824" s="195">
        <f t="shared" si="159"/>
        <v>0</v>
      </c>
      <c r="G824" s="170">
        <f t="shared" si="160"/>
        <v>-3900.5590699709101</v>
      </c>
      <c r="H824" s="531">
        <f>ROUND(F824*'Actual Load'!$B$22/'Zonal Load'!$N$22,2)</f>
        <v>0</v>
      </c>
      <c r="I824" s="170">
        <f t="shared" si="161"/>
        <v>0</v>
      </c>
      <c r="J824" s="170">
        <f t="shared" si="163"/>
        <v>0</v>
      </c>
      <c r="K824" s="170">
        <f t="shared" si="164"/>
        <v>-3900.5590699709101</v>
      </c>
      <c r="L824" s="655">
        <f>E824*'Interest Under Collect '!J$13</f>
        <v>-3.4986377172944421</v>
      </c>
      <c r="M824" s="170">
        <f t="shared" si="162"/>
        <v>-3904.0577076882046</v>
      </c>
      <c r="N824" s="192"/>
    </row>
    <row r="825" spans="1:14" s="174" customFormat="1">
      <c r="B825" s="23" t="s">
        <v>20</v>
      </c>
      <c r="C825" s="211">
        <v>0</v>
      </c>
      <c r="D825" s="214">
        <v>0</v>
      </c>
      <c r="E825" s="212">
        <v>8.6483693050264654E-2</v>
      </c>
      <c r="F825" s="195">
        <f t="shared" si="159"/>
        <v>0</v>
      </c>
      <c r="G825" s="170">
        <f t="shared" si="160"/>
        <v>-8793.4024582717593</v>
      </c>
      <c r="H825" s="531">
        <f>ROUND(F825*'Actual Load'!$B$17/'Zonal Load'!$N$17,2)</f>
        <v>0</v>
      </c>
      <c r="I825" s="170">
        <f t="shared" si="161"/>
        <v>0</v>
      </c>
      <c r="J825" s="170">
        <f t="shared" si="163"/>
        <v>0</v>
      </c>
      <c r="K825" s="170">
        <f t="shared" si="164"/>
        <v>-8793.4024582717593</v>
      </c>
      <c r="L825" s="655">
        <f>E825*'Interest Under Collect '!J$13</f>
        <v>-7.8873128061841369</v>
      </c>
      <c r="M825" s="170">
        <f t="shared" si="162"/>
        <v>-8801.2897710779434</v>
      </c>
      <c r="N825" s="192"/>
    </row>
    <row r="826" spans="1:14" s="174" customFormat="1">
      <c r="B826" s="23" t="s">
        <v>21</v>
      </c>
      <c r="C826" s="211">
        <v>0</v>
      </c>
      <c r="D826" s="214">
        <v>0</v>
      </c>
      <c r="E826" s="212">
        <v>0.11181887980278341</v>
      </c>
      <c r="F826" s="195">
        <f t="shared" si="159"/>
        <v>0</v>
      </c>
      <c r="G826" s="170">
        <f t="shared" si="160"/>
        <v>-11369.408241707608</v>
      </c>
      <c r="H826" s="531">
        <f>ROUND(F826*'Actual Load'!$B$15/'Zonal Load'!$N$15,2)</f>
        <v>0</v>
      </c>
      <c r="I826" s="170">
        <f t="shared" si="161"/>
        <v>0</v>
      </c>
      <c r="J826" s="170">
        <f t="shared" si="163"/>
        <v>0</v>
      </c>
      <c r="K826" s="170">
        <f t="shared" si="164"/>
        <v>-11369.408241707608</v>
      </c>
      <c r="L826" s="655">
        <f>E826*'Interest Under Collect '!J$13</f>
        <v>-10.197881838013847</v>
      </c>
      <c r="M826" s="170">
        <f t="shared" si="162"/>
        <v>-11379.606123545622</v>
      </c>
      <c r="N826" s="192"/>
    </row>
    <row r="827" spans="1:14" s="174" customFormat="1">
      <c r="B827" s="23" t="s">
        <v>22</v>
      </c>
      <c r="C827" s="211">
        <v>0</v>
      </c>
      <c r="D827" s="214">
        <v>0</v>
      </c>
      <c r="E827" s="212">
        <v>3.7768195066254819E-2</v>
      </c>
      <c r="F827" s="195">
        <f t="shared" si="159"/>
        <v>0</v>
      </c>
      <c r="G827" s="170">
        <f t="shared" si="160"/>
        <v>-3840.1567697515911</v>
      </c>
      <c r="H827" s="531">
        <f>ROUND(F827*'Actual Load'!$B$4/'Zonal Load'!$N$4,2)</f>
        <v>0</v>
      </c>
      <c r="I827" s="170">
        <f t="shared" si="161"/>
        <v>0</v>
      </c>
      <c r="J827" s="170">
        <f t="shared" si="163"/>
        <v>0</v>
      </c>
      <c r="K827" s="170">
        <f t="shared" si="164"/>
        <v>-3840.1567697515911</v>
      </c>
      <c r="L827" s="655">
        <f>E827*'Interest Under Collect '!J$13</f>
        <v>-3.4444593900424394</v>
      </c>
      <c r="M827" s="170">
        <f t="shared" si="162"/>
        <v>-3843.6012291416337</v>
      </c>
      <c r="N827" s="192"/>
    </row>
    <row r="828" spans="1:14" s="174" customFormat="1">
      <c r="B828" s="23" t="s">
        <v>23</v>
      </c>
      <c r="C828" s="211">
        <v>0</v>
      </c>
      <c r="D828" s="214">
        <v>0</v>
      </c>
      <c r="E828" s="212">
        <v>3.6100034621644526E-3</v>
      </c>
      <c r="F828" s="195">
        <f t="shared" si="159"/>
        <v>0</v>
      </c>
      <c r="G828" s="170">
        <f t="shared" si="160"/>
        <v>-367.05432202249506</v>
      </c>
      <c r="H828" s="531">
        <f>ROUND(F828*'Actual Load'!$B$11/'Zonal Load'!$N$11,2)</f>
        <v>0</v>
      </c>
      <c r="I828" s="170">
        <f t="shared" si="161"/>
        <v>0</v>
      </c>
      <c r="J828" s="170">
        <f t="shared" si="163"/>
        <v>0</v>
      </c>
      <c r="K828" s="170">
        <f t="shared" si="164"/>
        <v>-367.05432202249506</v>
      </c>
      <c r="L828" s="655">
        <f>E828*'Interest Under Collect '!J$13</f>
        <v>-0.3292323157493981</v>
      </c>
      <c r="M828" s="170">
        <f t="shared" si="162"/>
        <v>-367.38355433824444</v>
      </c>
      <c r="N828" s="192"/>
    </row>
    <row r="829" spans="1:14" s="174" customFormat="1">
      <c r="B829" s="23" t="s">
        <v>25</v>
      </c>
      <c r="C829" s="211">
        <v>0</v>
      </c>
      <c r="D829" s="214">
        <v>0</v>
      </c>
      <c r="E829" s="212">
        <v>9.1186107018586329E-2</v>
      </c>
      <c r="F829" s="195">
        <f t="shared" si="159"/>
        <v>0</v>
      </c>
      <c r="G829" s="170">
        <f t="shared" si="160"/>
        <v>-9271.5298033288018</v>
      </c>
      <c r="H829" s="531">
        <f>ROUND(F829*'Actual Load'!$B$7/'Zonal Load'!$N$7,2)</f>
        <v>0</v>
      </c>
      <c r="I829" s="170">
        <f t="shared" si="161"/>
        <v>0</v>
      </c>
      <c r="J829" s="170">
        <f t="shared" si="163"/>
        <v>0</v>
      </c>
      <c r="K829" s="170">
        <f t="shared" si="164"/>
        <v>-9271.5298033288018</v>
      </c>
      <c r="L829" s="655">
        <f>E829*'Interest Under Collect '!J$13</f>
        <v>-8.3161729600950736</v>
      </c>
      <c r="M829" s="170">
        <f t="shared" si="162"/>
        <v>-9279.8459762888961</v>
      </c>
      <c r="N829" s="192"/>
    </row>
    <row r="830" spans="1:14" s="174" customFormat="1">
      <c r="B830" s="23" t="s">
        <v>24</v>
      </c>
      <c r="C830" s="211">
        <v>0</v>
      </c>
      <c r="D830" s="214">
        <v>0</v>
      </c>
      <c r="E830" s="212">
        <v>9.2469991065776469E-2</v>
      </c>
      <c r="F830" s="195">
        <f t="shared" si="159"/>
        <v>0</v>
      </c>
      <c r="G830" s="170">
        <f t="shared" si="160"/>
        <v>-9402.0712815949537</v>
      </c>
      <c r="H830" s="531">
        <f>ROUND(F830*'Actual Load'!$B$6/'Zonal Load'!$N$6,2)</f>
        <v>0</v>
      </c>
      <c r="I830" s="170">
        <f t="shared" si="161"/>
        <v>0</v>
      </c>
      <c r="J830" s="170">
        <f t="shared" si="163"/>
        <v>0</v>
      </c>
      <c r="K830" s="170">
        <f t="shared" si="164"/>
        <v>-9402.0712815949537</v>
      </c>
      <c r="L830" s="655">
        <f>E830*'Interest Under Collect '!J$13</f>
        <v>-8.4332631851988147</v>
      </c>
      <c r="M830" s="170">
        <f t="shared" si="162"/>
        <v>-9410.5045447801531</v>
      </c>
      <c r="N830" s="192"/>
    </row>
    <row r="831" spans="1:14" s="174" customFormat="1">
      <c r="B831" s="23" t="s">
        <v>116</v>
      </c>
      <c r="C831" s="211">
        <v>0</v>
      </c>
      <c r="D831" s="214">
        <v>0</v>
      </c>
      <c r="E831" s="212">
        <v>6.2866320580590284E-3</v>
      </c>
      <c r="F831" s="195">
        <f t="shared" si="159"/>
        <v>0</v>
      </c>
      <c r="G831" s="170">
        <f t="shared" si="160"/>
        <v>-639.20588776726788</v>
      </c>
      <c r="H831" s="531">
        <f>ROUND(F831*'Actual Load'!$B$18/'Zonal Load'!$N$18,2)</f>
        <v>0</v>
      </c>
      <c r="I831" s="170">
        <f t="shared" si="161"/>
        <v>0</v>
      </c>
      <c r="J831" s="170">
        <f t="shared" si="163"/>
        <v>0</v>
      </c>
      <c r="K831" s="170">
        <f t="shared" si="164"/>
        <v>-639.20588776726788</v>
      </c>
      <c r="L831" s="655">
        <f>E831*'Interest Under Collect '!J$13</f>
        <v>-0.57334084369498339</v>
      </c>
      <c r="M831" s="170">
        <f t="shared" si="162"/>
        <v>-639.77922861096283</v>
      </c>
      <c r="N831" s="192"/>
    </row>
    <row r="832" spans="1:14" s="174" customFormat="1">
      <c r="B832" s="23" t="s">
        <v>117</v>
      </c>
      <c r="C832" s="211">
        <v>0</v>
      </c>
      <c r="D832" s="214">
        <v>0</v>
      </c>
      <c r="E832" s="212">
        <v>1.648611689400012E-3</v>
      </c>
      <c r="F832" s="195">
        <f t="shared" si="159"/>
        <v>0</v>
      </c>
      <c r="G832" s="170">
        <f t="shared" si="160"/>
        <v>-167.62589074312501</v>
      </c>
      <c r="H832" s="531">
        <f>ROUND(F832*'Actual Load'!$B$17/'Zonal Load'!$N$17,2)</f>
        <v>0</v>
      </c>
      <c r="I832" s="170">
        <f t="shared" si="161"/>
        <v>0</v>
      </c>
      <c r="J832" s="170">
        <f t="shared" si="163"/>
        <v>0</v>
      </c>
      <c r="K832" s="170">
        <f t="shared" si="164"/>
        <v>-167.62589074312501</v>
      </c>
      <c r="L832" s="655">
        <f>E832*'Interest Under Collect '!J$13</f>
        <v>-0.15035338607328111</v>
      </c>
      <c r="M832" s="170">
        <f t="shared" si="162"/>
        <v>-167.77624412919829</v>
      </c>
      <c r="N832" s="192"/>
    </row>
    <row r="833" spans="2:14" s="174" customFormat="1">
      <c r="B833" s="23" t="s">
        <v>26</v>
      </c>
      <c r="C833" s="211">
        <v>0</v>
      </c>
      <c r="D833" s="214">
        <v>0</v>
      </c>
      <c r="E833" s="212">
        <v>4.0922060906846145E-3</v>
      </c>
      <c r="F833" s="195">
        <f t="shared" si="159"/>
        <v>0</v>
      </c>
      <c r="G833" s="170">
        <f t="shared" si="160"/>
        <v>-416.08323868253956</v>
      </c>
      <c r="H833" s="531">
        <f>ROUND(F833*'Actual Load'!$B$12/'Zonal Load'!$N$12,2)</f>
        <v>0</v>
      </c>
      <c r="I833" s="170">
        <f t="shared" si="161"/>
        <v>0</v>
      </c>
      <c r="J833" s="170">
        <f t="shared" si="163"/>
        <v>0</v>
      </c>
      <c r="K833" s="170">
        <f t="shared" si="164"/>
        <v>-416.08323868253956</v>
      </c>
      <c r="L833" s="655">
        <f>E833*'Interest Under Collect '!J$13</f>
        <v>-0.37320919547043685</v>
      </c>
      <c r="M833" s="170">
        <f t="shared" si="162"/>
        <v>-416.45644787801001</v>
      </c>
      <c r="N833" s="192"/>
    </row>
    <row r="834" spans="2:14" s="174" customFormat="1">
      <c r="B834" s="23" t="s">
        <v>27</v>
      </c>
      <c r="C834" s="211">
        <v>0</v>
      </c>
      <c r="D834" s="214">
        <v>0</v>
      </c>
      <c r="E834" s="212">
        <v>6.2121643332113466E-3</v>
      </c>
      <c r="F834" s="195">
        <f t="shared" si="159"/>
        <v>0</v>
      </c>
      <c r="G834" s="170">
        <f t="shared" si="160"/>
        <v>-631.63423290793014</v>
      </c>
      <c r="H834" s="531">
        <f>ROUND(F834*'Actual Load'!$B$24/'Zonal Load'!$N$24,2)</f>
        <v>0</v>
      </c>
      <c r="I834" s="170">
        <f t="shared" si="161"/>
        <v>0</v>
      </c>
      <c r="J834" s="170">
        <f t="shared" si="163"/>
        <v>0</v>
      </c>
      <c r="K834" s="170">
        <f t="shared" si="164"/>
        <v>-631.63423290793014</v>
      </c>
      <c r="L834" s="655">
        <f>E834*'Interest Under Collect '!J$13</f>
        <v>-0.56654938718887482</v>
      </c>
      <c r="M834" s="170">
        <f t="shared" si="162"/>
        <v>-632.20078229511898</v>
      </c>
      <c r="N834" s="192"/>
    </row>
    <row r="835" spans="2:14" s="174" customFormat="1">
      <c r="B835" s="23" t="s">
        <v>28</v>
      </c>
      <c r="C835" s="211">
        <v>0</v>
      </c>
      <c r="D835" s="214">
        <v>0</v>
      </c>
      <c r="E835" s="212">
        <v>0.12997945640327885</v>
      </c>
      <c r="F835" s="195">
        <f t="shared" si="159"/>
        <v>0</v>
      </c>
      <c r="G835" s="170">
        <f t="shared" si="160"/>
        <v>-13215.921188716184</v>
      </c>
      <c r="H835" s="531">
        <f>ROUND(F835*'Actual Load'!$B$5/'Zonal Load'!$N$5,2)</f>
        <v>0</v>
      </c>
      <c r="I835" s="170">
        <f t="shared" si="161"/>
        <v>0</v>
      </c>
      <c r="J835" s="170">
        <f t="shared" si="163"/>
        <v>0</v>
      </c>
      <c r="K835" s="170">
        <f t="shared" si="164"/>
        <v>-13215.921188716184</v>
      </c>
      <c r="L835" s="655">
        <f>E835*'Interest Under Collect '!J$13</f>
        <v>-11.85412642397903</v>
      </c>
      <c r="M835" s="170">
        <f t="shared" si="162"/>
        <v>-13227.775315140163</v>
      </c>
      <c r="N835" s="192"/>
    </row>
    <row r="836" spans="2:14" s="174" customFormat="1">
      <c r="B836" s="23" t="s">
        <v>29</v>
      </c>
      <c r="C836" s="211">
        <v>0</v>
      </c>
      <c r="D836" s="214">
        <v>0</v>
      </c>
      <c r="E836" s="212">
        <v>0.10337469072967656</v>
      </c>
      <c r="F836" s="195">
        <f t="shared" si="159"/>
        <v>0</v>
      </c>
      <c r="G836" s="170">
        <f t="shared" si="160"/>
        <v>-10510.828429321324</v>
      </c>
      <c r="H836" s="531">
        <f>ROUND(F836*'Actual Load'!$B$21/'Zonal Load'!$N$21,2)</f>
        <v>0</v>
      </c>
      <c r="I836" s="170">
        <f t="shared" si="161"/>
        <v>0</v>
      </c>
      <c r="J836" s="170">
        <f t="shared" si="163"/>
        <v>0</v>
      </c>
      <c r="K836" s="170">
        <f t="shared" si="164"/>
        <v>-10510.828429321324</v>
      </c>
      <c r="L836" s="655">
        <f>E836*'Interest Under Collect '!J$13</f>
        <v>-9.4277717945465032</v>
      </c>
      <c r="M836" s="170">
        <f t="shared" si="162"/>
        <v>-10520.25620111587</v>
      </c>
      <c r="N836" s="192"/>
    </row>
    <row r="837" spans="2:14" s="174" customFormat="1">
      <c r="B837" s="23" t="s">
        <v>30</v>
      </c>
      <c r="C837" s="211">
        <v>0</v>
      </c>
      <c r="D837" s="214">
        <v>0</v>
      </c>
      <c r="E837" s="212">
        <v>2.2805265048225574E-2</v>
      </c>
      <c r="F837" s="195">
        <f t="shared" si="159"/>
        <v>0</v>
      </c>
      <c r="G837" s="170">
        <f t="shared" si="160"/>
        <v>-2318.7709343084316</v>
      </c>
      <c r="H837" s="531">
        <f>ROUND(F837*'Actual Load'!$B$19/'Zonal Load'!$N$19,2)</f>
        <v>0</v>
      </c>
      <c r="I837" s="170">
        <f t="shared" si="161"/>
        <v>0</v>
      </c>
      <c r="J837" s="170">
        <f t="shared" si="163"/>
        <v>0</v>
      </c>
      <c r="K837" s="170">
        <f t="shared" si="164"/>
        <v>-2318.7709343084316</v>
      </c>
      <c r="L837" s="655">
        <f>E837*'Interest Under Collect '!J$13</f>
        <v>-2.0798401723981725</v>
      </c>
      <c r="M837" s="170">
        <f t="shared" si="162"/>
        <v>-2320.8507744808298</v>
      </c>
      <c r="N837" s="192"/>
    </row>
    <row r="838" spans="2:14" s="174" customFormat="1">
      <c r="B838" s="23" t="s">
        <v>31</v>
      </c>
      <c r="C838" s="211">
        <v>0</v>
      </c>
      <c r="D838" s="214">
        <v>0</v>
      </c>
      <c r="E838" s="212">
        <v>3.449299661832504E-3</v>
      </c>
      <c r="F838" s="195">
        <f t="shared" si="159"/>
        <v>0</v>
      </c>
      <c r="G838" s="170">
        <f t="shared" si="160"/>
        <v>-350.71444171614348</v>
      </c>
      <c r="H838" s="531">
        <f>ROUND(F838*'Actual Load'!$B$25/'Zonal Load'!$N$25,2)</f>
        <v>0</v>
      </c>
      <c r="I838" s="170">
        <f t="shared" si="161"/>
        <v>0</v>
      </c>
      <c r="J838" s="170">
        <f t="shared" si="163"/>
        <v>0</v>
      </c>
      <c r="K838" s="170">
        <f t="shared" si="164"/>
        <v>-350.71444171614348</v>
      </c>
      <c r="L838" s="655">
        <f>E838*'Interest Under Collect '!J$13</f>
        <v>-0.31457612915912436</v>
      </c>
      <c r="M838" s="170">
        <f t="shared" si="162"/>
        <v>-351.02901784530263</v>
      </c>
      <c r="N838" s="192"/>
    </row>
    <row r="839" spans="2:14" s="174" customFormat="1">
      <c r="B839" s="23" t="s">
        <v>32</v>
      </c>
      <c r="C839" s="211">
        <v>0</v>
      </c>
      <c r="D839" s="214">
        <v>0</v>
      </c>
      <c r="E839" s="212">
        <v>1.3602466980428713E-2</v>
      </c>
      <c r="F839" s="195">
        <f t="shared" si="159"/>
        <v>0</v>
      </c>
      <c r="G839" s="170">
        <f t="shared" si="160"/>
        <v>-1383.0580351690503</v>
      </c>
      <c r="H839" s="531">
        <f>ROUND(F839*'Actual Load'!$B$13/'Zonal Load'!$N$13,2)</f>
        <v>0</v>
      </c>
      <c r="I839" s="170">
        <f t="shared" si="161"/>
        <v>0</v>
      </c>
      <c r="J839" s="170">
        <f t="shared" si="163"/>
        <v>0</v>
      </c>
      <c r="K839" s="170">
        <f t="shared" si="164"/>
        <v>-1383.0580351690503</v>
      </c>
      <c r="L839" s="655">
        <f>E839*'Interest Under Collect '!J$13</f>
        <v>-1.2405449886150985</v>
      </c>
      <c r="M839" s="170">
        <f t="shared" si="162"/>
        <v>-1384.2985801576654</v>
      </c>
      <c r="N839" s="192"/>
    </row>
    <row r="840" spans="2:14" s="174" customFormat="1">
      <c r="B840" s="23" t="s">
        <v>33</v>
      </c>
      <c r="C840" s="211">
        <v>0</v>
      </c>
      <c r="D840" s="214">
        <v>0</v>
      </c>
      <c r="E840" s="212">
        <v>1.6744707827921659E-2</v>
      </c>
      <c r="F840" s="195">
        <f t="shared" si="159"/>
        <v>0</v>
      </c>
      <c r="G840" s="170">
        <f t="shared" si="160"/>
        <v>-1702.5516578195904</v>
      </c>
      <c r="H840" s="531">
        <f>ROUND(F840*'Actual Load'!$B$23/'Zonal Load'!$N$23,2)</f>
        <v>0</v>
      </c>
      <c r="I840" s="170">
        <f t="shared" si="161"/>
        <v>0</v>
      </c>
      <c r="J840" s="170">
        <f t="shared" si="163"/>
        <v>0</v>
      </c>
      <c r="K840" s="170">
        <f t="shared" si="164"/>
        <v>-1702.5516578195904</v>
      </c>
      <c r="L840" s="655">
        <f>E840*'Interest Under Collect '!J$13</f>
        <v>-1.5271173539064553</v>
      </c>
      <c r="M840" s="170">
        <f t="shared" si="162"/>
        <v>-1704.078775173497</v>
      </c>
      <c r="N840" s="192"/>
    </row>
    <row r="841" spans="2:14" s="174" customFormat="1">
      <c r="B841" s="23" t="s">
        <v>34</v>
      </c>
      <c r="C841" s="211">
        <v>0</v>
      </c>
      <c r="D841" s="214">
        <v>0</v>
      </c>
      <c r="E841" s="212">
        <v>6.7047929645103234E-3</v>
      </c>
      <c r="F841" s="195">
        <f t="shared" si="159"/>
        <v>0</v>
      </c>
      <c r="G841" s="170">
        <f t="shared" si="160"/>
        <v>-681.72323425251614</v>
      </c>
      <c r="H841" s="531">
        <f>ROUND(F841*'Actual Load'!$B$20/'Zonal Load'!$N$20,2)</f>
        <v>0</v>
      </c>
      <c r="I841" s="170">
        <f t="shared" si="161"/>
        <v>0</v>
      </c>
      <c r="J841" s="170">
        <f t="shared" si="163"/>
        <v>0</v>
      </c>
      <c r="K841" s="170">
        <f t="shared" si="164"/>
        <v>-681.72323425251614</v>
      </c>
      <c r="L841" s="655">
        <f>E841*'Interest Under Collect '!J$13</f>
        <v>-0.61147711836334151</v>
      </c>
      <c r="M841" s="170">
        <f t="shared" si="162"/>
        <v>-682.33471137087952</v>
      </c>
      <c r="N841" s="192"/>
    </row>
    <row r="842" spans="2:14" s="174" customFormat="1">
      <c r="B842" s="194" t="s">
        <v>110</v>
      </c>
      <c r="C842" s="211">
        <v>0</v>
      </c>
      <c r="D842" s="214">
        <v>0</v>
      </c>
      <c r="E842" s="212">
        <v>5.5422910481718338E-2</v>
      </c>
      <c r="F842" s="195">
        <f t="shared" si="159"/>
        <v>0</v>
      </c>
      <c r="G842" s="170">
        <f t="shared" si="160"/>
        <v>-5635.2352690496755</v>
      </c>
      <c r="H842" s="531">
        <f>ROUND(F842*'Actual Load'!$B$27/'Zonal Load'!$N$27,2)</f>
        <v>0</v>
      </c>
      <c r="I842" s="170">
        <f t="shared" si="161"/>
        <v>0</v>
      </c>
      <c r="J842" s="170">
        <f>I842-F842</f>
        <v>0</v>
      </c>
      <c r="K842" s="170">
        <f>+G842+J842</f>
        <v>-5635.2352690496755</v>
      </c>
      <c r="L842" s="655">
        <f>E842*'Interest Under Collect '!J$13</f>
        <v>-5.0545694359327129</v>
      </c>
      <c r="M842" s="170">
        <f t="shared" si="162"/>
        <v>-5640.289838485608</v>
      </c>
      <c r="N842" s="192"/>
    </row>
    <row r="843" spans="2:14" s="174" customFormat="1">
      <c r="B843" s="194" t="s">
        <v>111</v>
      </c>
      <c r="C843" s="211">
        <v>0</v>
      </c>
      <c r="D843" s="214">
        <v>0</v>
      </c>
      <c r="E843" s="212">
        <v>1.5698693034130169E-3</v>
      </c>
      <c r="F843" s="195">
        <f t="shared" si="159"/>
        <v>0</v>
      </c>
      <c r="G843" s="170">
        <f t="shared" si="160"/>
        <v>-159.61960116312531</v>
      </c>
      <c r="H843" s="531">
        <f>ROUND(F843*'Actual Load'!$B$28/'Zonal Load'!$N$28,2)</f>
        <v>0</v>
      </c>
      <c r="I843" s="170">
        <f t="shared" si="161"/>
        <v>0</v>
      </c>
      <c r="J843" s="170">
        <f>I843-F843</f>
        <v>0</v>
      </c>
      <c r="K843" s="170">
        <f>+G843+J843</f>
        <v>-159.61960116312531</v>
      </c>
      <c r="L843" s="655">
        <f>E843*'Interest Under Collect '!J$13</f>
        <v>-0.14317208047126714</v>
      </c>
      <c r="M843" s="170">
        <f t="shared" si="162"/>
        <v>-159.76277324359657</v>
      </c>
      <c r="N843" s="192"/>
    </row>
    <row r="844" spans="2:14" s="174" customFormat="1">
      <c r="B844" s="194" t="s">
        <v>118</v>
      </c>
      <c r="C844" s="211">
        <v>0</v>
      </c>
      <c r="D844" s="214">
        <v>0</v>
      </c>
      <c r="E844" s="212">
        <v>1.142331510712526E-2</v>
      </c>
      <c r="F844" s="195">
        <f t="shared" si="159"/>
        <v>0</v>
      </c>
      <c r="G844" s="170">
        <f t="shared" si="160"/>
        <v>-1161.488410147175</v>
      </c>
      <c r="H844" s="531">
        <f>ROUND(F844*'Actual Load'!$B$29/'Zonal Load'!$N$29,2)</f>
        <v>0</v>
      </c>
      <c r="I844" s="170">
        <f t="shared" si="161"/>
        <v>0</v>
      </c>
      <c r="J844" s="170">
        <f>I844-F844</f>
        <v>0</v>
      </c>
      <c r="K844" s="170">
        <f>+G844+J844</f>
        <v>-1161.488410147175</v>
      </c>
      <c r="L844" s="655">
        <f>E844*'Interest Under Collect '!J$13</f>
        <v>-1.0418063377698237</v>
      </c>
      <c r="M844" s="170">
        <f t="shared" si="162"/>
        <v>-1162.530216484945</v>
      </c>
      <c r="N844" s="192"/>
    </row>
    <row r="845" spans="2:14" s="174" customFormat="1">
      <c r="B845" s="194" t="s">
        <v>119</v>
      </c>
      <c r="C845" s="211">
        <v>0</v>
      </c>
      <c r="D845" s="214">
        <v>0</v>
      </c>
      <c r="E845" s="212">
        <v>1.9134973224992628E-2</v>
      </c>
      <c r="F845" s="195">
        <f t="shared" si="159"/>
        <v>0</v>
      </c>
      <c r="G845" s="170">
        <f t="shared" si="160"/>
        <v>-1945.5866725975754</v>
      </c>
      <c r="H845" s="531">
        <f>ROUND(F845*'Actual Load'!$B$30/'Zonal Load'!$N$30,2)</f>
        <v>0</v>
      </c>
      <c r="I845" s="170">
        <f t="shared" si="161"/>
        <v>0</v>
      </c>
      <c r="J845" s="170">
        <f>I845-F845</f>
        <v>0</v>
      </c>
      <c r="K845" s="170">
        <f>+G845+J845</f>
        <v>-1945.5866725975754</v>
      </c>
      <c r="L845" s="655">
        <f>E845*'Interest Under Collect '!J$13</f>
        <v>-1.7451095581193277</v>
      </c>
      <c r="M845" s="170">
        <f t="shared" si="162"/>
        <v>-1947.3317821556948</v>
      </c>
      <c r="N845" s="192"/>
    </row>
    <row r="846" spans="2:14" s="174" customFormat="1">
      <c r="B846" s="194" t="s">
        <v>260</v>
      </c>
      <c r="C846" s="211">
        <v>0</v>
      </c>
      <c r="D846" s="214">
        <v>0</v>
      </c>
      <c r="E846" s="212">
        <v>0</v>
      </c>
      <c r="F846" s="195">
        <f t="shared" si="159"/>
        <v>0</v>
      </c>
      <c r="G846" s="170">
        <f t="shared" si="160"/>
        <v>0</v>
      </c>
      <c r="H846" s="531">
        <f>ROUND(F846*'Actual Load'!$B$31/'Zonal Load'!$N$31,2)</f>
        <v>0</v>
      </c>
      <c r="I846" s="170">
        <f t="shared" si="161"/>
        <v>0</v>
      </c>
      <c r="J846" s="170">
        <f t="shared" ref="J846:J851" si="165">I846-F846</f>
        <v>0</v>
      </c>
      <c r="K846" s="170">
        <f t="shared" ref="K846:K851" si="166">+G846+J846</f>
        <v>0</v>
      </c>
      <c r="L846" s="655">
        <f>E846*'Interest Under Collect '!J$13</f>
        <v>0</v>
      </c>
      <c r="M846" s="170">
        <f t="shared" si="162"/>
        <v>0</v>
      </c>
      <c r="N846" s="192"/>
    </row>
    <row r="847" spans="2:14" s="174" customFormat="1">
      <c r="B847" s="194" t="s">
        <v>262</v>
      </c>
      <c r="C847" s="211">
        <v>0</v>
      </c>
      <c r="D847" s="214">
        <v>0</v>
      </c>
      <c r="E847" s="212">
        <v>0</v>
      </c>
      <c r="F847" s="195">
        <f t="shared" si="159"/>
        <v>0</v>
      </c>
      <c r="G847" s="170">
        <f t="shared" si="160"/>
        <v>0</v>
      </c>
      <c r="H847" s="531">
        <f>ROUND(F847*'Actual Load'!$B$32/'Zonal Load'!$N$32,2)</f>
        <v>0</v>
      </c>
      <c r="I847" s="170">
        <f t="shared" si="161"/>
        <v>0</v>
      </c>
      <c r="J847" s="170">
        <f t="shared" si="165"/>
        <v>0</v>
      </c>
      <c r="K847" s="170">
        <f t="shared" si="166"/>
        <v>0</v>
      </c>
      <c r="L847" s="655">
        <f>E847*'Interest Under Collect '!J$13</f>
        <v>0</v>
      </c>
      <c r="M847" s="170">
        <f t="shared" si="162"/>
        <v>0</v>
      </c>
      <c r="N847" s="192"/>
    </row>
    <row r="848" spans="2:14" s="174" customFormat="1">
      <c r="B848" s="194" t="s">
        <v>266</v>
      </c>
      <c r="C848" s="211">
        <v>0</v>
      </c>
      <c r="D848" s="214">
        <v>0</v>
      </c>
      <c r="E848" s="212">
        <v>0</v>
      </c>
      <c r="F848" s="195">
        <f t="shared" si="159"/>
        <v>0</v>
      </c>
      <c r="G848" s="170">
        <f t="shared" si="160"/>
        <v>0</v>
      </c>
      <c r="H848" s="170">
        <f>ROUND(F848*'Actual Load'!$B$33/'Zonal Load'!$N$33,2)</f>
        <v>0</v>
      </c>
      <c r="I848" s="170">
        <f t="shared" si="161"/>
        <v>0</v>
      </c>
      <c r="J848" s="170">
        <f t="shared" si="165"/>
        <v>0</v>
      </c>
      <c r="K848" s="170">
        <f t="shared" si="166"/>
        <v>0</v>
      </c>
      <c r="L848" s="655">
        <f>E848*'Interest Under Collect '!J$13</f>
        <v>0</v>
      </c>
      <c r="M848" s="170">
        <f t="shared" si="162"/>
        <v>0</v>
      </c>
      <c r="N848" s="192"/>
    </row>
    <row r="849" spans="2:14" s="174" customFormat="1">
      <c r="B849" s="194" t="s">
        <v>268</v>
      </c>
      <c r="C849" s="211">
        <v>0</v>
      </c>
      <c r="D849" s="214">
        <v>0</v>
      </c>
      <c r="E849" s="212">
        <v>0</v>
      </c>
      <c r="F849" s="195">
        <f t="shared" si="159"/>
        <v>0</v>
      </c>
      <c r="G849" s="170">
        <f t="shared" si="160"/>
        <v>0</v>
      </c>
      <c r="H849" s="170">
        <f>ROUND(F849*'Actual Load'!$B$34/'Zonal Load'!$N$34,2)</f>
        <v>0</v>
      </c>
      <c r="I849" s="170">
        <f t="shared" si="161"/>
        <v>0</v>
      </c>
      <c r="J849" s="170">
        <f t="shared" si="165"/>
        <v>0</v>
      </c>
      <c r="K849" s="170">
        <f t="shared" si="166"/>
        <v>0</v>
      </c>
      <c r="L849" s="655">
        <f>E849*'Interest Under Collect '!J$13</f>
        <v>0</v>
      </c>
      <c r="M849" s="170">
        <f t="shared" si="162"/>
        <v>0</v>
      </c>
      <c r="N849" s="192"/>
    </row>
    <row r="850" spans="2:14" s="174" customFormat="1">
      <c r="B850" s="194" t="s">
        <v>263</v>
      </c>
      <c r="C850" s="211">
        <v>0</v>
      </c>
      <c r="D850" s="214">
        <v>0</v>
      </c>
      <c r="E850" s="212">
        <v>0</v>
      </c>
      <c r="F850" s="195">
        <f t="shared" si="159"/>
        <v>0</v>
      </c>
      <c r="G850" s="170">
        <f t="shared" si="160"/>
        <v>0</v>
      </c>
      <c r="H850" s="170">
        <f>ROUND(F850*'Actual Load'!$B$35/'Zonal Load'!$N$35,2)</f>
        <v>0</v>
      </c>
      <c r="I850" s="170">
        <f t="shared" si="161"/>
        <v>0</v>
      </c>
      <c r="J850" s="170">
        <f t="shared" si="165"/>
        <v>0</v>
      </c>
      <c r="K850" s="170">
        <f t="shared" si="166"/>
        <v>0</v>
      </c>
      <c r="L850" s="655">
        <f>E850*'Interest Under Collect '!J$13</f>
        <v>0</v>
      </c>
      <c r="M850" s="170">
        <f t="shared" si="162"/>
        <v>0</v>
      </c>
      <c r="N850" s="192"/>
    </row>
    <row r="851" spans="2:14" s="174" customFormat="1">
      <c r="B851" s="194" t="s">
        <v>267</v>
      </c>
      <c r="C851" s="211">
        <v>0</v>
      </c>
      <c r="D851" s="214">
        <v>0</v>
      </c>
      <c r="E851" s="212">
        <v>0</v>
      </c>
      <c r="F851" s="195">
        <f t="shared" si="159"/>
        <v>0</v>
      </c>
      <c r="G851" s="170">
        <f t="shared" si="160"/>
        <v>0</v>
      </c>
      <c r="H851" s="170">
        <f>ROUND(F851*'Actual Load'!$B$36/'Zonal Load'!$N$36,2)</f>
        <v>0</v>
      </c>
      <c r="I851" s="170">
        <f t="shared" si="161"/>
        <v>0</v>
      </c>
      <c r="J851" s="170">
        <f t="shared" si="165"/>
        <v>0</v>
      </c>
      <c r="K851" s="170">
        <f t="shared" si="166"/>
        <v>0</v>
      </c>
      <c r="L851" s="655">
        <f>E851*'Interest Under Collect '!J$13</f>
        <v>0</v>
      </c>
      <c r="M851" s="170">
        <f t="shared" si="162"/>
        <v>0</v>
      </c>
      <c r="N851" s="192"/>
    </row>
    <row r="852" spans="2:14" s="174" customFormat="1">
      <c r="B852" s="194" t="s">
        <v>273</v>
      </c>
      <c r="C852" s="211">
        <v>0</v>
      </c>
      <c r="D852" s="214">
        <v>0</v>
      </c>
      <c r="E852" s="212">
        <v>0</v>
      </c>
      <c r="F852" s="195">
        <f t="shared" si="159"/>
        <v>0</v>
      </c>
      <c r="G852" s="170">
        <f t="shared" si="160"/>
        <v>0</v>
      </c>
      <c r="H852" s="170">
        <f>ROUND(F852*'Actual Load'!$B$37/'Zonal Load'!$N$37,2)</f>
        <v>0</v>
      </c>
      <c r="I852" s="170">
        <f t="shared" si="161"/>
        <v>0</v>
      </c>
      <c r="J852" s="170">
        <f>I852-F852</f>
        <v>0</v>
      </c>
      <c r="K852" s="170">
        <f>+G852+J852</f>
        <v>0</v>
      </c>
      <c r="L852" s="655">
        <f>E852*'Interest Under Collect '!J$13</f>
        <v>0</v>
      </c>
      <c r="M852" s="170">
        <f t="shared" si="162"/>
        <v>0</v>
      </c>
      <c r="N852" s="192"/>
    </row>
    <row r="853" spans="2:14">
      <c r="B853" s="483"/>
      <c r="C853" s="482">
        <f>SUM(C818:C845)</f>
        <v>0</v>
      </c>
      <c r="D853" s="27">
        <f>SUM(D818:D845)</f>
        <v>0</v>
      </c>
      <c r="E853" s="94">
        <f>SUM(E818:E845)</f>
        <v>0.99999999999999944</v>
      </c>
      <c r="F853" s="90">
        <f>SUM(F818:F845)</f>
        <v>0</v>
      </c>
      <c r="G853" s="131">
        <f>SUM(G818:G845)</f>
        <v>-101676.99999999997</v>
      </c>
      <c r="H853" s="131">
        <f t="shared" ref="H853:M853" si="167">SUM(H818:H845)</f>
        <v>0</v>
      </c>
      <c r="I853" s="131">
        <f t="shared" si="167"/>
        <v>0</v>
      </c>
      <c r="J853" s="131">
        <f t="shared" si="167"/>
        <v>0</v>
      </c>
      <c r="K853" s="147">
        <f t="shared" si="167"/>
        <v>-101676.99999999997</v>
      </c>
      <c r="L853" s="657">
        <f t="shared" si="167"/>
        <v>-91.199999999999989</v>
      </c>
      <c r="M853" s="131">
        <f t="shared" si="167"/>
        <v>-101768.19999999997</v>
      </c>
      <c r="N853" s="192"/>
    </row>
    <row r="854" spans="2:14">
      <c r="F854" s="3" t="s">
        <v>623</v>
      </c>
      <c r="G854" s="21"/>
      <c r="I854" s="569" t="s">
        <v>621</v>
      </c>
      <c r="J854" s="570" t="s">
        <v>622</v>
      </c>
      <c r="N854" s="192"/>
    </row>
    <row r="855" spans="2:14">
      <c r="E855" s="479" t="s">
        <v>610</v>
      </c>
      <c r="F855" s="168">
        <f>ROUND((I855*M$884)+(J855*M$888),0)</f>
        <v>0</v>
      </c>
      <c r="G855" s="528"/>
      <c r="H855" s="529"/>
      <c r="I855" s="571">
        <v>0</v>
      </c>
      <c r="J855" s="571">
        <v>0</v>
      </c>
      <c r="N855" s="192"/>
    </row>
    <row r="856" spans="2:14">
      <c r="E856" s="480" t="s">
        <v>611</v>
      </c>
      <c r="F856" s="169">
        <f>ROUND((I856*M$884)+(J856*M$888),0)</f>
        <v>101677</v>
      </c>
      <c r="G856" s="528">
        <f>F855-F856</f>
        <v>-101677</v>
      </c>
      <c r="H856" s="530"/>
      <c r="I856" s="572">
        <f>'Att GG at 12.38 '!N90</f>
        <v>103358.63070983287</v>
      </c>
      <c r="J856" s="572">
        <f>'Att GG at 10.82'!N90</f>
        <v>96052.120945430244</v>
      </c>
      <c r="L856" s="81"/>
      <c r="N856" s="192"/>
    </row>
    <row r="857" spans="2:14">
      <c r="E857" s="91" t="s">
        <v>153</v>
      </c>
      <c r="F857" s="175">
        <f>I853</f>
        <v>0</v>
      </c>
      <c r="G857" s="528">
        <f>F857-F855</f>
        <v>0</v>
      </c>
      <c r="H857" s="529"/>
      <c r="I857" s="29"/>
      <c r="K857" s="86"/>
      <c r="L857" s="645"/>
      <c r="M857" s="86"/>
      <c r="N857" s="192"/>
    </row>
    <row r="858" spans="2:14">
      <c r="G858" s="528">
        <f>G856+G857</f>
        <v>-101677</v>
      </c>
      <c r="H858" s="529">
        <f>F857-F856</f>
        <v>-101677</v>
      </c>
      <c r="I858" s="29"/>
      <c r="K858" s="86"/>
      <c r="L858" s="86"/>
      <c r="M858" s="86"/>
      <c r="N858" s="192"/>
    </row>
    <row r="859" spans="2:14">
      <c r="B859" s="79"/>
      <c r="C859" s="79"/>
      <c r="D859" s="79"/>
      <c r="E859" s="79"/>
      <c r="F859" s="79"/>
      <c r="G859" s="79"/>
      <c r="H859" s="79"/>
      <c r="I859" s="79"/>
      <c r="J859" s="105"/>
      <c r="K859" s="79"/>
      <c r="L859" s="79"/>
      <c r="M859" s="79"/>
      <c r="N859" s="192"/>
    </row>
    <row r="860" spans="2:14">
      <c r="E860" s="91"/>
      <c r="F860" s="91"/>
      <c r="H860" s="132"/>
      <c r="I860" s="29"/>
      <c r="L860" s="81"/>
      <c r="N860" s="192"/>
    </row>
    <row r="861" spans="2:14">
      <c r="E861" s="479" t="s">
        <v>610</v>
      </c>
      <c r="F861" s="168">
        <f>F81+F121+F161+F203+F243+F285+F327+F367+F409+F451+F493+F535+F577+F619+F664+F710+F756+F855+F802</f>
        <v>85701137</v>
      </c>
      <c r="I861" s="168">
        <f>I81+I121+I161+I203+I243+I285+I327+I367+I409+I451+I493+I535+I577+I619+I664+I710+I756+I855+I802</f>
        <v>87171372.089631647</v>
      </c>
      <c r="J861" s="168">
        <f>J81+J121+J161+J203+J243+J285+J327+J367+J409+J451+J493+J535+J577+J619+J664+J710+J756+J855+J802</f>
        <v>80781820.562652439</v>
      </c>
      <c r="N861" s="192"/>
    </row>
    <row r="862" spans="2:14">
      <c r="E862" s="480" t="s">
        <v>611</v>
      </c>
      <c r="F862" s="169">
        <f>F82+F122+F162+F204+F244+F286+F328+F368+F410+F452+F494+F536+F578+F620+F665+F711+F757+F856+F803</f>
        <v>81496365.049999997</v>
      </c>
      <c r="G862" s="528">
        <f>F861-F862</f>
        <v>4204771.950000003</v>
      </c>
      <c r="H862" s="529"/>
      <c r="I862" s="169">
        <f>I82+I122+I162+I204+I244+I286+I328+I368+I410+I452+I494+I536+I578+I620+I665+I711+I757+I856+I803</f>
        <v>82898075.886792779</v>
      </c>
      <c r="J862" s="169">
        <f>J82+J122+J162+J204+J244+J286+J328+J368+J410+J452+J494+J536+J578+J620+J665+J711+J757+J856+J803</f>
        <v>76806325.682795018</v>
      </c>
      <c r="N862" s="192"/>
    </row>
    <row r="863" spans="2:14">
      <c r="E863" s="91" t="s">
        <v>153</v>
      </c>
      <c r="F863" s="175">
        <f>F83+F123+F163+F205+F245+F287+F329+F369+F411+F453+F495+F537+F579+F621+F666+F712+F758+F857+F804-0.01</f>
        <v>87155526.489999965</v>
      </c>
      <c r="G863" s="528">
        <f>F863-F861</f>
        <v>1454389.4899999648</v>
      </c>
      <c r="H863" s="530"/>
      <c r="I863" s="21" t="b">
        <f>I862='Att GG at 12.38 '!N95</f>
        <v>1</v>
      </c>
      <c r="J863" s="21" t="b">
        <f>J862='Att GG at 10.82'!N95</f>
        <v>1</v>
      </c>
      <c r="N863" s="192"/>
    </row>
    <row r="864" spans="2:14">
      <c r="F864" s="21"/>
      <c r="G864" s="528">
        <f>G862+G863</f>
        <v>5659161.4399999678</v>
      </c>
      <c r="H864" s="529">
        <f>F863-F862</f>
        <v>5659161.4399999678</v>
      </c>
      <c r="N864" s="192"/>
    </row>
    <row r="865" spans="2:15" ht="31.5">
      <c r="F865" s="21"/>
      <c r="K865" s="86">
        <f>F863-F862</f>
        <v>5659161.4399999678</v>
      </c>
      <c r="M865" s="516" t="s">
        <v>52</v>
      </c>
      <c r="N865" s="192"/>
    </row>
    <row r="866" spans="2:15">
      <c r="F866" s="487" t="s">
        <v>612</v>
      </c>
      <c r="G866" s="149" t="s">
        <v>160</v>
      </c>
      <c r="H866" s="150" t="s">
        <v>161</v>
      </c>
      <c r="I866" s="149" t="s">
        <v>162</v>
      </c>
      <c r="J866" s="151" t="s">
        <v>163</v>
      </c>
      <c r="K866" s="149" t="s">
        <v>164</v>
      </c>
      <c r="L866" s="149" t="s">
        <v>165</v>
      </c>
      <c r="M866" s="149" t="s">
        <v>166</v>
      </c>
      <c r="N866" s="192"/>
    </row>
    <row r="867" spans="2:15" ht="25.5" customHeight="1">
      <c r="F867" s="86">
        <f>F79+F119+F159+F201+F241+F283+F325+F365+F407+F449+F491+F533+F575+F617+F662+F708+F754+F800+F853</f>
        <v>85701136.980000004</v>
      </c>
      <c r="G867" s="86">
        <f t="shared" ref="G867:M867" si="168">G79+G119+G159+G201+G241+G283+G325+G365+G407+G449+G491+G533+G575+G617+G662+G708+G754+G800+G853</f>
        <v>4204771.9488030383</v>
      </c>
      <c r="H867" s="86">
        <f t="shared" si="168"/>
        <v>86230429.829999998</v>
      </c>
      <c r="I867" s="86">
        <f t="shared" si="168"/>
        <v>87155526.49999997</v>
      </c>
      <c r="J867" s="86">
        <f t="shared" si="168"/>
        <v>1454389.5200000014</v>
      </c>
      <c r="K867" s="86">
        <f>K79+K119+K159+K201+K241+K283+K325+K365+K407+K449+K491+K533+K575+K617+K662+K708+K754+K800+K853</f>
        <v>5659161.4688030398</v>
      </c>
      <c r="L867" s="658">
        <f t="shared" si="168"/>
        <v>415747.96984759963</v>
      </c>
      <c r="M867" s="533">
        <f t="shared" si="168"/>
        <v>6074909.4386506397</v>
      </c>
      <c r="N867" s="641"/>
      <c r="O867" s="221"/>
    </row>
    <row r="868" spans="2:15">
      <c r="L868" s="221"/>
      <c r="N868" s="192"/>
    </row>
    <row r="869" spans="2:15">
      <c r="F869" s="168">
        <f>F201+F241+F283+F325+F533+F575+F662+F708+F754+F800</f>
        <v>83572413.010000005</v>
      </c>
      <c r="J869" s="91" t="s">
        <v>150</v>
      </c>
      <c r="K869" s="34">
        <f>K201+K241+K283+K325+K533+K575+K662+K708+K754+K800</f>
        <v>5777994.45880304</v>
      </c>
      <c r="L869" s="221">
        <f>L201+L241+L283+L325+L533+L575+L662+L708+L754+L800</f>
        <v>417703.96984759963</v>
      </c>
    </row>
    <row r="870" spans="2:15">
      <c r="F870" s="169">
        <f>F79+F119+F159+F365+F407+F449+F491+F853</f>
        <v>2128723.9699999997</v>
      </c>
      <c r="I870" s="21"/>
      <c r="J870" s="91" t="s">
        <v>151</v>
      </c>
      <c r="K870" s="34">
        <f>K79+K119+K159+K365+K407+K449+K491+K853</f>
        <v>-118832.99000000005</v>
      </c>
      <c r="L870" s="221">
        <f>L79+L119+L159+L365+L407+L449+L491+L853</f>
        <v>-1955.9999999999995</v>
      </c>
    </row>
    <row r="871" spans="2:15">
      <c r="K871" s="646">
        <f>K867-K869-K870</f>
        <v>-1.7462298274040222E-10</v>
      </c>
      <c r="L871" s="658">
        <f>L867-L869-L870</f>
        <v>0</v>
      </c>
    </row>
    <row r="872" spans="2:15">
      <c r="B872" s="109" t="s">
        <v>171</v>
      </c>
      <c r="C872" s="110"/>
      <c r="D872" s="110"/>
      <c r="E872" s="110"/>
      <c r="F872" s="110"/>
      <c r="G872" s="110"/>
      <c r="H872" s="148"/>
    </row>
    <row r="873" spans="2:15">
      <c r="B873" s="107"/>
      <c r="C873" s="30"/>
      <c r="D873" s="30"/>
      <c r="E873" s="30"/>
      <c r="F873" s="30"/>
      <c r="G873" s="30"/>
      <c r="H873" s="135"/>
    </row>
    <row r="874" spans="2:15">
      <c r="B874" s="108" t="s">
        <v>15</v>
      </c>
      <c r="C874" s="30"/>
      <c r="D874" s="30"/>
      <c r="E874" s="30"/>
      <c r="F874" s="30"/>
      <c r="G874" s="30"/>
      <c r="H874" s="196">
        <f>H57+H97+H137+H177+H219+H259+H301+H343+H383+H425+H467+H509+H551+H593+H635+H680+H726+H818+H772</f>
        <v>1506002.9300000002</v>
      </c>
      <c r="J874" s="163"/>
      <c r="L874" s="576" t="s">
        <v>613</v>
      </c>
      <c r="M874" s="577"/>
    </row>
    <row r="875" spans="2:15" ht="16.5" thickBot="1">
      <c r="B875" s="108" t="s">
        <v>16</v>
      </c>
      <c r="C875" s="30"/>
      <c r="D875" s="30"/>
      <c r="E875" s="30"/>
      <c r="F875" s="30"/>
      <c r="G875" s="30"/>
      <c r="H875" s="196">
        <f>H58+H98+H138+H178+H220+H260+H302+H344+H384+H426+H468+H510+H552+H594+H636+H681+H727+H819+H773</f>
        <v>69743.98000000001</v>
      </c>
      <c r="J875" s="163"/>
      <c r="L875" s="585" t="s">
        <v>97</v>
      </c>
      <c r="M875" s="578"/>
    </row>
    <row r="876" spans="2:15">
      <c r="B876" s="125" t="s">
        <v>190</v>
      </c>
      <c r="C876" s="30"/>
      <c r="D876" s="30"/>
      <c r="E876" s="30"/>
      <c r="F876" s="30"/>
      <c r="G876" s="30"/>
      <c r="H876" s="196">
        <f>H59+H99+H139+H179+H221+H261+H303+H345+H385+H427+H469+H511+H553+H595+H637+H682+H728+H774+H820</f>
        <v>578234.1</v>
      </c>
      <c r="J876" s="163"/>
      <c r="K876" s="180" t="s">
        <v>615</v>
      </c>
      <c r="L876" s="579">
        <v>7304222.9799999986</v>
      </c>
      <c r="M876" s="580"/>
    </row>
    <row r="877" spans="2:15">
      <c r="B877" s="125" t="s">
        <v>249</v>
      </c>
      <c r="C877" s="30"/>
      <c r="D877" s="30"/>
      <c r="E877" s="30"/>
      <c r="F877" s="30"/>
      <c r="G877" s="30"/>
      <c r="H877" s="196">
        <f>H60+H100+H140+H180+H222+H262+H304+H346+H386+H428+H470+H512+H554+H596+H638+H683+H729+H821+H775</f>
        <v>807914.3</v>
      </c>
      <c r="J877" s="163"/>
      <c r="K877" s="180" t="s">
        <v>525</v>
      </c>
      <c r="L877" s="579">
        <v>6686881.8900000006</v>
      </c>
      <c r="M877" s="580"/>
    </row>
    <row r="878" spans="2:15">
      <c r="B878" s="108" t="s">
        <v>17</v>
      </c>
      <c r="C878" s="30"/>
      <c r="D878" s="30"/>
      <c r="E878" s="30"/>
      <c r="F878" s="30"/>
      <c r="G878" s="30"/>
      <c r="H878" s="196">
        <f t="shared" ref="H878:H884" si="169">H61+H101+H141+H181+H223+H263+H305+H347+H387+H429+H471+H513+H555+H597+H639+H684+H730+H822+H776</f>
        <v>134978.63999999998</v>
      </c>
      <c r="J878" s="163"/>
      <c r="K878" s="180" t="s">
        <v>616</v>
      </c>
      <c r="L878" s="579">
        <v>6804365.2799999993</v>
      </c>
      <c r="M878" s="580"/>
    </row>
    <row r="879" spans="2:15">
      <c r="B879" s="108" t="s">
        <v>18</v>
      </c>
      <c r="C879" s="30"/>
      <c r="D879" s="30"/>
      <c r="E879" s="30"/>
      <c r="F879" s="30"/>
      <c r="G879" s="30"/>
      <c r="H879" s="196">
        <f t="shared" si="169"/>
        <v>338255.92</v>
      </c>
      <c r="J879" s="163"/>
      <c r="K879" s="180" t="s">
        <v>527</v>
      </c>
      <c r="L879" s="579">
        <v>6185320.2699999986</v>
      </c>
      <c r="M879" s="580"/>
    </row>
    <row r="880" spans="2:15">
      <c r="B880" s="108" t="s">
        <v>19</v>
      </c>
      <c r="C880" s="30"/>
      <c r="D880" s="30"/>
      <c r="E880" s="30"/>
      <c r="F880" s="30"/>
      <c r="G880" s="30"/>
      <c r="H880" s="196">
        <f t="shared" si="169"/>
        <v>381827.79000000004</v>
      </c>
      <c r="J880" s="163"/>
      <c r="K880" s="180" t="s">
        <v>59</v>
      </c>
      <c r="L880" s="579">
        <v>7001914.4399999995</v>
      </c>
      <c r="M880" s="580"/>
    </row>
    <row r="881" spans="2:13">
      <c r="B881" s="108" t="s">
        <v>20</v>
      </c>
      <c r="C881" s="30"/>
      <c r="D881" s="30"/>
      <c r="E881" s="30"/>
      <c r="F881" s="30"/>
      <c r="G881" s="30"/>
      <c r="H881" s="196">
        <f t="shared" si="169"/>
        <v>913983.19999999984</v>
      </c>
      <c r="J881" s="163"/>
      <c r="K881" s="180" t="s">
        <v>528</v>
      </c>
      <c r="L881" s="579">
        <v>8360536.0499999998</v>
      </c>
      <c r="M881" s="580"/>
    </row>
    <row r="882" spans="2:13">
      <c r="B882" s="108" t="s">
        <v>21</v>
      </c>
      <c r="C882" s="30"/>
      <c r="D882" s="30"/>
      <c r="E882" s="30"/>
      <c r="F882" s="30"/>
      <c r="G882" s="30"/>
      <c r="H882" s="196">
        <f t="shared" si="169"/>
        <v>1207993.6000000001</v>
      </c>
      <c r="J882" s="163"/>
      <c r="K882" s="180" t="s">
        <v>529</v>
      </c>
      <c r="L882" s="579">
        <v>9237594.5500000007</v>
      </c>
      <c r="M882" s="580"/>
    </row>
    <row r="883" spans="2:13">
      <c r="B883" s="108" t="s">
        <v>22</v>
      </c>
      <c r="C883" s="30"/>
      <c r="D883" s="30"/>
      <c r="E883" s="30"/>
      <c r="F883" s="30"/>
      <c r="G883" s="30"/>
      <c r="H883" s="196">
        <f t="shared" si="169"/>
        <v>3742481.1599999997</v>
      </c>
      <c r="J883" s="163"/>
      <c r="K883" s="180" t="s">
        <v>617</v>
      </c>
      <c r="L883" s="579">
        <v>8080667.5099999998</v>
      </c>
      <c r="M883" s="580"/>
    </row>
    <row r="884" spans="2:13">
      <c r="B884" s="108" t="s">
        <v>23</v>
      </c>
      <c r="C884" s="30"/>
      <c r="D884" s="30"/>
      <c r="E884" s="30"/>
      <c r="F884" s="30"/>
      <c r="G884" s="30"/>
      <c r="H884" s="196">
        <f t="shared" si="169"/>
        <v>29818.07</v>
      </c>
      <c r="J884" s="163"/>
      <c r="K884" s="180" t="s">
        <v>618</v>
      </c>
      <c r="L884" s="579">
        <v>8262941.8300000001</v>
      </c>
      <c r="M884" s="586">
        <f>ROUND((L876+L877+L878+L879+L880+L881+L882+L883+(L884*0.9))/L889,4)</f>
        <v>0.76990000000000003</v>
      </c>
    </row>
    <row r="885" spans="2:13">
      <c r="B885" s="108" t="s">
        <v>24</v>
      </c>
      <c r="C885" s="30"/>
      <c r="D885" s="30"/>
      <c r="E885" s="30"/>
      <c r="F885" s="30"/>
      <c r="G885" s="30"/>
      <c r="H885" s="196">
        <f>H68+H108+H148+H189+H230+H271+H313+H354+H395+H437+H479+H521+H563+H605+H647+H738+H692+H830+H784</f>
        <v>911456.6</v>
      </c>
      <c r="J885" s="163"/>
      <c r="K885" s="180" t="s">
        <v>619</v>
      </c>
      <c r="L885" s="581">
        <f>L884</f>
        <v>8262941.8300000001</v>
      </c>
      <c r="M885" s="587"/>
    </row>
    <row r="886" spans="2:13">
      <c r="B886" s="108" t="s">
        <v>25</v>
      </c>
      <c r="C886" s="30"/>
      <c r="D886" s="30"/>
      <c r="E886" s="30"/>
      <c r="F886" s="30"/>
      <c r="G886" s="30"/>
      <c r="H886" s="196">
        <f>H69+H109+H149+H188+H231+H270+H312+H355+H394+H436+H478+H520+H562+H604+H646+H691+H737+H829+H783</f>
        <v>876182.5</v>
      </c>
      <c r="J886" s="163"/>
      <c r="K886" s="180" t="s">
        <v>532</v>
      </c>
      <c r="L886" s="579">
        <v>6389131.2499999991</v>
      </c>
      <c r="M886" s="587"/>
    </row>
    <row r="887" spans="2:13">
      <c r="B887" s="108" t="s">
        <v>116</v>
      </c>
      <c r="C887" s="30"/>
      <c r="D887" s="30"/>
      <c r="E887" s="30"/>
      <c r="F887" s="30"/>
      <c r="G887" s="30"/>
      <c r="H887" s="196">
        <f>H190+H272+H314+H396+H438+H480+H522+H564+H606+H648+H693+H739+H831+H785</f>
        <v>62733.59</v>
      </c>
      <c r="J887" s="163"/>
      <c r="K887" s="180" t="s">
        <v>533</v>
      </c>
      <c r="L887" s="582">
        <v>5762568.8799999962</v>
      </c>
      <c r="M887" s="587"/>
    </row>
    <row r="888" spans="2:13">
      <c r="B888" s="108" t="s">
        <v>117</v>
      </c>
      <c r="C888" s="30"/>
      <c r="D888" s="30"/>
      <c r="E888" s="30"/>
      <c r="F888" s="30"/>
      <c r="G888" s="30"/>
      <c r="H888" s="196">
        <f>H191+H273+H315+H397+H439+H481+H523+H565+H607+H649+H694+H740+H832+H786</f>
        <v>16392</v>
      </c>
      <c r="J888" s="163"/>
      <c r="K888" s="180" t="s">
        <v>620</v>
      </c>
      <c r="L888" s="582">
        <v>7079381.2799999975</v>
      </c>
      <c r="M888" s="586">
        <f>ROUND((L888+L887+L886+(L885*0.1))/L889,4)</f>
        <v>0.2301</v>
      </c>
    </row>
    <row r="889" spans="2:13" ht="16.5" thickBot="1">
      <c r="B889" s="108" t="s">
        <v>26</v>
      </c>
      <c r="C889" s="30"/>
      <c r="D889" s="30"/>
      <c r="E889" s="30"/>
      <c r="F889" s="30"/>
      <c r="G889" s="30"/>
      <c r="H889" s="196">
        <f>H70+H110+H150+H192+H232+H274+H316+H356+H398+H440+H482+H524+H566+H608+H650+H695+H741+H833+H787</f>
        <v>42065.159999999996</v>
      </c>
      <c r="J889" s="163"/>
      <c r="L889" s="588">
        <f>SUM(L876:L888)-L885</f>
        <v>87155526.209999993</v>
      </c>
      <c r="M889" s="589">
        <f>SUM(M876:M888)</f>
        <v>1</v>
      </c>
    </row>
    <row r="890" spans="2:13">
      <c r="B890" s="108" t="s">
        <v>27</v>
      </c>
      <c r="C890" s="30"/>
      <c r="D890" s="30"/>
      <c r="E890" s="30"/>
      <c r="F890" s="30"/>
      <c r="G890" s="30"/>
      <c r="H890" s="196">
        <f t="shared" ref="H890:H893" si="170">H71+H111+H151+H193+H233+H275+H317+H357+H399+H441+H483+H525+H567+H609+H651+H696+H742+H834+H788</f>
        <v>47880.93</v>
      </c>
      <c r="J890" s="163"/>
      <c r="L890" s="486"/>
      <c r="M890" s="486"/>
    </row>
    <row r="891" spans="2:13">
      <c r="B891" s="108" t="s">
        <v>28</v>
      </c>
      <c r="C891" s="30"/>
      <c r="D891" s="30"/>
      <c r="E891" s="30"/>
      <c r="F891" s="30"/>
      <c r="G891" s="30"/>
      <c r="H891" s="196">
        <f t="shared" si="170"/>
        <v>7343175.8499999996</v>
      </c>
    </row>
    <row r="892" spans="2:13">
      <c r="B892" s="108" t="s">
        <v>29</v>
      </c>
      <c r="C892" s="30"/>
      <c r="D892" s="30"/>
      <c r="E892" s="30"/>
      <c r="F892" s="30"/>
      <c r="G892" s="30"/>
      <c r="H892" s="196">
        <f t="shared" si="170"/>
        <v>46207952.460000001</v>
      </c>
    </row>
    <row r="893" spans="2:13">
      <c r="B893" s="108" t="s">
        <v>30</v>
      </c>
      <c r="C893" s="30"/>
      <c r="D893" s="30"/>
      <c r="E893" s="30"/>
      <c r="F893" s="30"/>
      <c r="G893" s="30"/>
      <c r="H893" s="196">
        <f t="shared" si="170"/>
        <v>5088000.8600000003</v>
      </c>
    </row>
    <row r="894" spans="2:13">
      <c r="B894" s="108" t="s">
        <v>31</v>
      </c>
      <c r="C894" s="30"/>
      <c r="D894" s="30"/>
      <c r="E894" s="30"/>
      <c r="F894" s="30"/>
      <c r="G894" s="30"/>
      <c r="H894" s="196">
        <f>H75+H115+H155+H197+H237+H279+H321+H361+H403+H445+H487+H529+H571+H613+H655+H700+H746+H838+H792</f>
        <v>2336100.0200000005</v>
      </c>
    </row>
    <row r="895" spans="2:13">
      <c r="B895" s="108" t="s">
        <v>32</v>
      </c>
      <c r="C895" s="30"/>
      <c r="D895" s="30"/>
      <c r="E895" s="30"/>
      <c r="F895" s="30"/>
      <c r="G895" s="30"/>
      <c r="H895" s="196">
        <f t="shared" ref="H895:H897" si="171">H76+H116+H156+H198+H238+H280+H322+H362+H404+H446+H488+H530+H572+H614+H656+H701+H747+H839+H793</f>
        <v>2256264.5499999998</v>
      </c>
    </row>
    <row r="896" spans="2:13">
      <c r="B896" s="108" t="s">
        <v>33</v>
      </c>
      <c r="C896" s="30"/>
      <c r="D896" s="30"/>
      <c r="E896" s="30"/>
      <c r="F896" s="30"/>
      <c r="G896" s="30"/>
      <c r="H896" s="196">
        <f t="shared" si="171"/>
        <v>10517587.669999998</v>
      </c>
    </row>
    <row r="897" spans="2:10">
      <c r="B897" s="108" t="s">
        <v>34</v>
      </c>
      <c r="C897" s="30"/>
      <c r="D897" s="30"/>
      <c r="E897" s="30"/>
      <c r="F897" s="30"/>
      <c r="G897" s="30"/>
      <c r="H897" s="196">
        <f t="shared" si="171"/>
        <v>489367.75</v>
      </c>
    </row>
    <row r="898" spans="2:10">
      <c r="B898" s="108" t="s">
        <v>110</v>
      </c>
      <c r="C898" s="30"/>
      <c r="D898" s="30"/>
      <c r="E898" s="30"/>
      <c r="F898" s="30"/>
      <c r="G898" s="30"/>
      <c r="H898" s="196">
        <f>H659+H704+H750+H796+H842</f>
        <v>304.91000000000003</v>
      </c>
    </row>
    <row r="899" spans="2:10">
      <c r="B899" s="108" t="s">
        <v>111</v>
      </c>
      <c r="C899" s="30"/>
      <c r="D899" s="30"/>
      <c r="E899" s="30"/>
      <c r="F899" s="30"/>
      <c r="G899" s="30"/>
      <c r="H899" s="196">
        <f t="shared" ref="H899:H900" si="172">H660+H705+H751+H797+H843</f>
        <v>10.35</v>
      </c>
    </row>
    <row r="900" spans="2:10">
      <c r="B900" s="108" t="s">
        <v>118</v>
      </c>
      <c r="C900" s="30"/>
      <c r="D900" s="30"/>
      <c r="E900" s="30"/>
      <c r="F900" s="30"/>
      <c r="G900" s="30"/>
      <c r="H900" s="196">
        <f t="shared" si="172"/>
        <v>323720.94</v>
      </c>
    </row>
    <row r="901" spans="2:10">
      <c r="B901" s="108" t="s">
        <v>119</v>
      </c>
      <c r="C901" s="30"/>
      <c r="D901" s="30"/>
      <c r="E901" s="30"/>
      <c r="F901" s="30"/>
      <c r="G901" s="30"/>
      <c r="H901" s="196">
        <f>H707+H753+H845+H799</f>
        <v>0</v>
      </c>
    </row>
    <row r="902" spans="2:10">
      <c r="B902" s="108" t="s">
        <v>260</v>
      </c>
      <c r="C902" s="30"/>
      <c r="D902" s="30"/>
      <c r="E902" s="30"/>
      <c r="F902" s="30"/>
      <c r="G902" s="30"/>
      <c r="H902" s="196">
        <f>H846</f>
        <v>0</v>
      </c>
    </row>
    <row r="903" spans="2:10">
      <c r="B903" s="108" t="s">
        <v>262</v>
      </c>
      <c r="C903" s="30"/>
      <c r="D903" s="30"/>
      <c r="E903" s="30"/>
      <c r="F903" s="30"/>
      <c r="G903" s="30"/>
      <c r="H903" s="196">
        <f t="shared" ref="H903:H908" si="173">H847</f>
        <v>0</v>
      </c>
    </row>
    <row r="904" spans="2:10">
      <c r="B904" s="108" t="s">
        <v>266</v>
      </c>
      <c r="C904" s="30"/>
      <c r="D904" s="30"/>
      <c r="E904" s="30"/>
      <c r="F904" s="30"/>
      <c r="G904" s="30"/>
      <c r="H904" s="196">
        <f t="shared" si="173"/>
        <v>0</v>
      </c>
    </row>
    <row r="905" spans="2:10">
      <c r="B905" s="108" t="s">
        <v>268</v>
      </c>
      <c r="C905" s="30"/>
      <c r="D905" s="30"/>
      <c r="E905" s="30"/>
      <c r="F905" s="30"/>
      <c r="G905" s="30"/>
      <c r="H905" s="196">
        <f t="shared" si="173"/>
        <v>0</v>
      </c>
    </row>
    <row r="906" spans="2:10">
      <c r="B906" s="108" t="s">
        <v>263</v>
      </c>
      <c r="C906" s="30"/>
      <c r="D906" s="30"/>
      <c r="E906" s="30"/>
      <c r="F906" s="30"/>
      <c r="G906" s="30"/>
      <c r="H906" s="196">
        <f t="shared" si="173"/>
        <v>0</v>
      </c>
    </row>
    <row r="907" spans="2:10">
      <c r="B907" s="108" t="s">
        <v>267</v>
      </c>
      <c r="C907" s="30"/>
      <c r="D907" s="30"/>
      <c r="E907" s="30"/>
      <c r="F907" s="30"/>
      <c r="G907" s="30"/>
      <c r="H907" s="196">
        <f t="shared" si="173"/>
        <v>0</v>
      </c>
    </row>
    <row r="908" spans="2:10">
      <c r="B908" s="108" t="s">
        <v>273</v>
      </c>
      <c r="C908" s="30"/>
      <c r="D908" s="30"/>
      <c r="E908" s="30"/>
      <c r="F908" s="30"/>
      <c r="G908" s="30"/>
      <c r="H908" s="196">
        <f t="shared" si="173"/>
        <v>0</v>
      </c>
    </row>
    <row r="909" spans="2:10">
      <c r="B909" s="107"/>
      <c r="C909" s="30"/>
      <c r="D909" s="30"/>
      <c r="E909" s="30"/>
      <c r="F909" s="30"/>
      <c r="G909" s="30"/>
      <c r="H909" s="135"/>
    </row>
    <row r="910" spans="2:10">
      <c r="B910" s="109" t="s">
        <v>171</v>
      </c>
      <c r="C910" s="110"/>
      <c r="D910" s="110"/>
      <c r="E910" s="110"/>
      <c r="F910" s="110"/>
      <c r="G910" s="110"/>
      <c r="H910" s="152">
        <f>SUM(H874:H909)</f>
        <v>86230429.829999983</v>
      </c>
    </row>
    <row r="911" spans="2:10">
      <c r="I911" s="180" t="s">
        <v>245</v>
      </c>
      <c r="J911" s="179">
        <f>H912/H910</f>
        <v>1.0107281926093121</v>
      </c>
    </row>
    <row r="912" spans="2:10">
      <c r="B912" s="111" t="s">
        <v>170</v>
      </c>
      <c r="C912" s="112"/>
      <c r="D912" s="112">
        <v>801699</v>
      </c>
      <c r="E912" s="484" t="s">
        <v>552</v>
      </c>
      <c r="F912" s="112"/>
      <c r="G912" s="112"/>
      <c r="H912" s="137">
        <v>87155526.489999995</v>
      </c>
      <c r="I912" s="163" t="s">
        <v>250</v>
      </c>
      <c r="J912" s="193"/>
    </row>
    <row r="914" spans="4:13" hidden="1">
      <c r="H914" s="163"/>
    </row>
    <row r="915" spans="4:13" hidden="1">
      <c r="D915" s="112">
        <v>801699</v>
      </c>
      <c r="E915" s="484" t="s">
        <v>560</v>
      </c>
      <c r="F915" s="486" t="s">
        <v>562</v>
      </c>
      <c r="H915" s="197">
        <f>726597.47*0</f>
        <v>0</v>
      </c>
    </row>
    <row r="916" spans="4:13" hidden="1">
      <c r="D916" s="112">
        <v>801699</v>
      </c>
      <c r="E916" s="484" t="s">
        <v>561</v>
      </c>
      <c r="F916" s="486" t="s">
        <v>563</v>
      </c>
      <c r="H916" s="197">
        <f>1077323.97*0</f>
        <v>0</v>
      </c>
    </row>
    <row r="917" spans="4:13" ht="16.5" hidden="1" thickBot="1">
      <c r="H917" s="508">
        <f>H914+H915+H916</f>
        <v>0</v>
      </c>
    </row>
    <row r="918" spans="4:13" hidden="1"/>
    <row r="919" spans="4:13">
      <c r="H919" s="80"/>
    </row>
    <row r="922" spans="4:13">
      <c r="F922" s="486"/>
      <c r="G922" s="486"/>
      <c r="H922" s="486"/>
      <c r="I922" s="486"/>
      <c r="J922" s="486"/>
      <c r="K922" s="486"/>
      <c r="L922" s="486"/>
      <c r="M922" s="486"/>
    </row>
    <row r="923" spans="4:13">
      <c r="F923" s="486"/>
      <c r="G923" s="486"/>
      <c r="H923" s="486"/>
      <c r="I923" s="486"/>
      <c r="J923" s="486"/>
      <c r="K923" s="486"/>
      <c r="L923" s="486"/>
      <c r="M923" s="486"/>
    </row>
    <row r="924" spans="4:13">
      <c r="F924" s="486"/>
      <c r="G924" s="486"/>
      <c r="H924" s="486"/>
      <c r="I924" s="486"/>
      <c r="J924" s="486"/>
      <c r="K924" s="486"/>
      <c r="L924" s="486"/>
      <c r="M924" s="486"/>
    </row>
    <row r="925" spans="4:13">
      <c r="H925" s="575"/>
    </row>
    <row r="926" spans="4:13">
      <c r="H926" s="575"/>
    </row>
    <row r="927" spans="4:13">
      <c r="H927" s="575"/>
    </row>
    <row r="928" spans="4:13">
      <c r="H928" s="575"/>
    </row>
    <row r="929" spans="6:8">
      <c r="H929" s="575"/>
    </row>
    <row r="930" spans="6:8">
      <c r="H930" s="575"/>
    </row>
    <row r="931" spans="6:8">
      <c r="H931" s="575"/>
    </row>
    <row r="932" spans="6:8">
      <c r="H932" s="575"/>
    </row>
    <row r="933" spans="6:8">
      <c r="H933" s="575"/>
    </row>
    <row r="934" spans="6:8">
      <c r="H934" s="575"/>
    </row>
    <row r="935" spans="6:8">
      <c r="H935" s="575"/>
    </row>
    <row r="936" spans="6:8">
      <c r="H936" s="575"/>
    </row>
    <row r="937" spans="6:8">
      <c r="H937" s="575"/>
    </row>
    <row r="938" spans="6:8">
      <c r="H938" s="575"/>
    </row>
    <row r="939" spans="6:8">
      <c r="H939" s="575"/>
    </row>
    <row r="940" spans="6:8">
      <c r="F940" s="486"/>
      <c r="G940" s="486"/>
    </row>
  </sheetData>
  <mergeCells count="136">
    <mergeCell ref="H4:J4"/>
    <mergeCell ref="C47:H47"/>
    <mergeCell ref="C48:H48"/>
    <mergeCell ref="C49:H49"/>
    <mergeCell ref="C50:H50"/>
    <mergeCell ref="H53:J53"/>
    <mergeCell ref="C128:H128"/>
    <mergeCell ref="C129:H129"/>
    <mergeCell ref="C130:H130"/>
    <mergeCell ref="H133:J133"/>
    <mergeCell ref="C167:H167"/>
    <mergeCell ref="C168:H168"/>
    <mergeCell ref="C87:H87"/>
    <mergeCell ref="C88:H88"/>
    <mergeCell ref="C89:H89"/>
    <mergeCell ref="C90:H90"/>
    <mergeCell ref="H93:J93"/>
    <mergeCell ref="C127:H127"/>
    <mergeCell ref="C212:H212"/>
    <mergeCell ref="H215:J215"/>
    <mergeCell ref="C249:H249"/>
    <mergeCell ref="C250:H250"/>
    <mergeCell ref="C251:H251"/>
    <mergeCell ref="C252:H252"/>
    <mergeCell ref="C169:H169"/>
    <mergeCell ref="C170:H170"/>
    <mergeCell ref="H173:J173"/>
    <mergeCell ref="C209:H209"/>
    <mergeCell ref="C210:H210"/>
    <mergeCell ref="C211:H211"/>
    <mergeCell ref="C333:H333"/>
    <mergeCell ref="C334:H334"/>
    <mergeCell ref="C335:H335"/>
    <mergeCell ref="C336:H336"/>
    <mergeCell ref="H339:J339"/>
    <mergeCell ref="C373:H373"/>
    <mergeCell ref="H255:J255"/>
    <mergeCell ref="C291:H291"/>
    <mergeCell ref="C292:H292"/>
    <mergeCell ref="C293:H293"/>
    <mergeCell ref="C294:H294"/>
    <mergeCell ref="H297:J297"/>
    <mergeCell ref="B416:C416"/>
    <mergeCell ref="D416:H416"/>
    <mergeCell ref="B417:C417"/>
    <mergeCell ref="D417:H417"/>
    <mergeCell ref="B418:C418"/>
    <mergeCell ref="D418:H418"/>
    <mergeCell ref="C374:H374"/>
    <mergeCell ref="C375:H375"/>
    <mergeCell ref="C376:H376"/>
    <mergeCell ref="H379:J379"/>
    <mergeCell ref="B415:C415"/>
    <mergeCell ref="D415:H415"/>
    <mergeCell ref="B460:C460"/>
    <mergeCell ref="D460:H460"/>
    <mergeCell ref="H463:J463"/>
    <mergeCell ref="B499:C499"/>
    <mergeCell ref="D499:H499"/>
    <mergeCell ref="B500:C500"/>
    <mergeCell ref="D500:H500"/>
    <mergeCell ref="H421:J421"/>
    <mergeCell ref="B457:C457"/>
    <mergeCell ref="D457:H457"/>
    <mergeCell ref="B458:C458"/>
    <mergeCell ref="D458:H458"/>
    <mergeCell ref="B459:C459"/>
    <mergeCell ref="D459:H459"/>
    <mergeCell ref="B542:C542"/>
    <mergeCell ref="D542:H542"/>
    <mergeCell ref="B543:C543"/>
    <mergeCell ref="D543:H543"/>
    <mergeCell ref="B544:C544"/>
    <mergeCell ref="D544:H544"/>
    <mergeCell ref="B501:C501"/>
    <mergeCell ref="D501:H501"/>
    <mergeCell ref="B502:C502"/>
    <mergeCell ref="D502:H502"/>
    <mergeCell ref="H505:J505"/>
    <mergeCell ref="B541:C541"/>
    <mergeCell ref="D541:H541"/>
    <mergeCell ref="B586:C586"/>
    <mergeCell ref="D586:H586"/>
    <mergeCell ref="H589:J589"/>
    <mergeCell ref="B625:C625"/>
    <mergeCell ref="D625:H625"/>
    <mergeCell ref="B626:C626"/>
    <mergeCell ref="D626:H626"/>
    <mergeCell ref="H547:J547"/>
    <mergeCell ref="B583:C583"/>
    <mergeCell ref="D583:H583"/>
    <mergeCell ref="B584:C584"/>
    <mergeCell ref="D584:H584"/>
    <mergeCell ref="B585:C585"/>
    <mergeCell ref="D585:H585"/>
    <mergeCell ref="B671:C671"/>
    <mergeCell ref="D671:H671"/>
    <mergeCell ref="B672:C672"/>
    <mergeCell ref="D672:H672"/>
    <mergeCell ref="B673:C673"/>
    <mergeCell ref="D673:H673"/>
    <mergeCell ref="B627:C627"/>
    <mergeCell ref="D627:H627"/>
    <mergeCell ref="B628:C628"/>
    <mergeCell ref="D628:H628"/>
    <mergeCell ref="H631:J631"/>
    <mergeCell ref="B670:C670"/>
    <mergeCell ref="D670:H670"/>
    <mergeCell ref="B719:C719"/>
    <mergeCell ref="D719:H719"/>
    <mergeCell ref="H722:J722"/>
    <mergeCell ref="B762:C762"/>
    <mergeCell ref="D762:H762"/>
    <mergeCell ref="B763:C763"/>
    <mergeCell ref="D763:H763"/>
    <mergeCell ref="H676:J676"/>
    <mergeCell ref="B716:C716"/>
    <mergeCell ref="D716:H716"/>
    <mergeCell ref="B717:C717"/>
    <mergeCell ref="D717:H717"/>
    <mergeCell ref="B718:C718"/>
    <mergeCell ref="D718:H718"/>
    <mergeCell ref="H814:J814"/>
    <mergeCell ref="B809:C809"/>
    <mergeCell ref="D809:H809"/>
    <mergeCell ref="B810:C810"/>
    <mergeCell ref="D810:H810"/>
    <mergeCell ref="B811:C811"/>
    <mergeCell ref="D811:H811"/>
    <mergeCell ref="B764:C764"/>
    <mergeCell ref="D764:H764"/>
    <mergeCell ref="B765:C765"/>
    <mergeCell ref="D765:H765"/>
    <mergeCell ref="H768:J768"/>
    <mergeCell ref="B808:C808"/>
    <mergeCell ref="D808:H808"/>
  </mergeCells>
  <conditionalFormatting sqref="D501:D502 D500:I500 D496 D417:D418 C374:C376 C334:C336 C292:C294 C250:C252 D416:I416 D542:D544 I542 D584:D586 I584 D626:D628 I626">
    <cfRule type="cellIs" dxfId="8" priority="9" stopIfTrue="1" operator="equal">
      <formula>0</formula>
    </cfRule>
  </conditionalFormatting>
  <conditionalFormatting sqref="D671:D673 I671">
    <cfRule type="cellIs" dxfId="7" priority="8" stopIfTrue="1" operator="equal">
      <formula>0</formula>
    </cfRule>
  </conditionalFormatting>
  <conditionalFormatting sqref="D717:D718 I717">
    <cfRule type="cellIs" dxfId="6" priority="7" stopIfTrue="1" operator="equal">
      <formula>0</formula>
    </cfRule>
  </conditionalFormatting>
  <conditionalFormatting sqref="D719">
    <cfRule type="cellIs" dxfId="5" priority="6" stopIfTrue="1" operator="equal">
      <formula>0</formula>
    </cfRule>
  </conditionalFormatting>
  <conditionalFormatting sqref="D459:D460 D458:H458">
    <cfRule type="cellIs" dxfId="4" priority="5" stopIfTrue="1" operator="equal">
      <formula>0</formula>
    </cfRule>
  </conditionalFormatting>
  <conditionalFormatting sqref="D809:D810 I809">
    <cfRule type="cellIs" dxfId="3" priority="4" stopIfTrue="1" operator="equal">
      <formula>0</formula>
    </cfRule>
  </conditionalFormatting>
  <conditionalFormatting sqref="D811">
    <cfRule type="cellIs" dxfId="2" priority="3" stopIfTrue="1" operator="equal">
      <formula>0</formula>
    </cfRule>
  </conditionalFormatting>
  <conditionalFormatting sqref="D763:D764 I763">
    <cfRule type="cellIs" dxfId="1" priority="2" stopIfTrue="1" operator="equal">
      <formula>0</formula>
    </cfRule>
  </conditionalFormatting>
  <conditionalFormatting sqref="D765">
    <cfRule type="cellIs" dxfId="0" priority="1" stopIfTrue="1" operator="equal">
      <formula>0</formula>
    </cfRule>
  </conditionalFormatting>
  <pageMargins left="0.25" right="0.25" top="0.5" bottom="0.5" header="0.5" footer="0.5"/>
  <pageSetup scale="60" fitToHeight="13" orientation="landscape" r:id="rId1"/>
  <headerFooter alignWithMargins="0"/>
  <rowBreaks count="20" manualBreakCount="20">
    <brk id="45" min="1" max="13" man="1"/>
    <brk id="85" min="1" max="13" man="1"/>
    <brk id="125" min="1" max="13" man="1"/>
    <brk id="165" min="1" max="13" man="1"/>
    <brk id="207" min="1" max="13" man="1"/>
    <brk id="247" min="1" max="13" man="1"/>
    <brk id="289" min="1" max="13" man="1"/>
    <brk id="331" min="1" max="13" man="1"/>
    <brk id="371" min="1" max="13" man="1"/>
    <brk id="413" min="1" max="13" man="1"/>
    <brk id="455" min="1" max="13" man="1"/>
    <brk id="497" min="1" max="13" man="1"/>
    <brk id="539" min="1" max="13" man="1"/>
    <brk id="581" min="1" max="13" man="1"/>
    <brk id="623" min="1" max="13" man="1"/>
    <brk id="668" min="1" max="13" man="1"/>
    <brk id="714" min="1" max="13" man="1"/>
    <brk id="760" min="1" max="13" man="1"/>
    <brk id="806" min="1" max="13" man="1"/>
    <brk id="859" min="1" max="1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59999389629810485"/>
    <pageSetUpPr fitToPage="1"/>
  </sheetPr>
  <dimension ref="A1:AL58"/>
  <sheetViews>
    <sheetView showGridLines="0" topLeftCell="A5" zoomScale="120" zoomScaleNormal="120" workbookViewId="0">
      <selection activeCell="C35" sqref="C35"/>
    </sheetView>
  </sheetViews>
  <sheetFormatPr defaultRowHeight="15.75"/>
  <cols>
    <col min="1" max="1" width="18.125" style="2" customWidth="1"/>
    <col min="2" max="2" width="12.625" style="2" bestFit="1" customWidth="1"/>
    <col min="3" max="3" width="10.625" style="2" bestFit="1" customWidth="1"/>
    <col min="4" max="4" width="2.375" style="2" customWidth="1"/>
    <col min="5" max="5" width="10.125" style="2" bestFit="1" customWidth="1"/>
    <col min="6" max="6" width="14.75" style="2" bestFit="1" customWidth="1"/>
    <col min="7" max="7" width="1.625" style="2" customWidth="1"/>
    <col min="8" max="8" width="11.125" style="2" bestFit="1" customWidth="1"/>
    <col min="9" max="9" width="1.625" style="2" customWidth="1"/>
    <col min="10" max="10" width="12.875" style="2" customWidth="1"/>
    <col min="11" max="11" width="9" style="2"/>
    <col min="12" max="12" width="10.125" style="2" bestFit="1" customWidth="1"/>
    <col min="13" max="16384" width="9" style="2"/>
  </cols>
  <sheetData>
    <row r="1" spans="1:16" ht="18.75">
      <c r="A1" s="38" t="s">
        <v>112</v>
      </c>
    </row>
    <row r="2" spans="1:16">
      <c r="E2" s="3"/>
      <c r="F2" s="3" t="s">
        <v>95</v>
      </c>
      <c r="G2" s="3"/>
      <c r="H2" s="3" t="s">
        <v>96</v>
      </c>
      <c r="I2" s="3"/>
      <c r="J2" s="3" t="s">
        <v>11</v>
      </c>
    </row>
    <row r="3" spans="1:16">
      <c r="A3" s="2" t="s">
        <v>148</v>
      </c>
      <c r="E3" s="3"/>
      <c r="F3" s="3" t="s">
        <v>97</v>
      </c>
      <c r="G3" s="3"/>
      <c r="H3" s="3" t="s">
        <v>98</v>
      </c>
      <c r="I3" s="3"/>
      <c r="J3" s="3" t="s">
        <v>99</v>
      </c>
    </row>
    <row r="4" spans="1:16">
      <c r="A4" s="30"/>
      <c r="B4" s="30"/>
      <c r="E4" s="3" t="s">
        <v>101</v>
      </c>
      <c r="F4" s="3" t="s">
        <v>100</v>
      </c>
      <c r="G4" s="3"/>
      <c r="H4" s="3" t="s">
        <v>100</v>
      </c>
      <c r="I4" s="3"/>
      <c r="J4" s="3" t="s">
        <v>50</v>
      </c>
    </row>
    <row r="5" spans="1:16">
      <c r="A5" s="28" t="s">
        <v>29</v>
      </c>
      <c r="B5" s="31">
        <f>ROUND(C33,0)</f>
        <v>417704</v>
      </c>
      <c r="E5" s="92">
        <v>1953</v>
      </c>
      <c r="F5" s="136">
        <f>'Att GG True Up Combined'!F203</f>
        <v>1053059</v>
      </c>
      <c r="G5" s="32"/>
      <c r="H5" s="181">
        <f t="shared" ref="H5:H11" si="0">F5/F$17</f>
        <v>1.2600557554799812E-2</v>
      </c>
      <c r="I5" s="32"/>
      <c r="J5" s="22">
        <f t="shared" ref="J5:J14" si="1">ROUND(H5*$B$5,2)</f>
        <v>5263.3</v>
      </c>
      <c r="L5" s="221"/>
      <c r="P5" s="21"/>
    </row>
    <row r="6" spans="1:16">
      <c r="A6" s="28"/>
      <c r="B6" s="31"/>
      <c r="E6" s="92">
        <v>279</v>
      </c>
      <c r="F6" s="136">
        <f>'Att GG True Up Combined'!F243</f>
        <v>3804780</v>
      </c>
      <c r="G6" s="32"/>
      <c r="H6" s="181">
        <f t="shared" si="0"/>
        <v>4.5526745769563934E-2</v>
      </c>
      <c r="I6" s="32"/>
      <c r="J6" s="22">
        <f t="shared" si="1"/>
        <v>19016.7</v>
      </c>
      <c r="L6" s="221"/>
      <c r="P6" s="21"/>
    </row>
    <row r="7" spans="1:16">
      <c r="A7" s="28"/>
      <c r="B7" s="31"/>
      <c r="E7" s="92">
        <v>286</v>
      </c>
      <c r="F7" s="136">
        <f>'Att GG True Up Combined'!F285</f>
        <v>30491611</v>
      </c>
      <c r="G7" s="32"/>
      <c r="H7" s="181">
        <f t="shared" si="0"/>
        <v>0.36485258598432474</v>
      </c>
      <c r="I7" s="32"/>
      <c r="J7" s="22">
        <f t="shared" si="1"/>
        <v>152400.38</v>
      </c>
      <c r="L7" s="221"/>
      <c r="P7" s="21"/>
    </row>
    <row r="8" spans="1:16">
      <c r="A8" s="28"/>
      <c r="B8" s="31"/>
      <c r="E8" s="92">
        <v>1024</v>
      </c>
      <c r="F8" s="136">
        <f>'Att GG True Up Combined'!F327</f>
        <v>32832297</v>
      </c>
      <c r="G8" s="32"/>
      <c r="H8" s="181">
        <f t="shared" si="0"/>
        <v>0.3928604646128861</v>
      </c>
      <c r="I8" s="32"/>
      <c r="J8" s="22">
        <f t="shared" si="1"/>
        <v>164099.39000000001</v>
      </c>
      <c r="L8" s="221"/>
      <c r="P8" s="21"/>
    </row>
    <row r="9" spans="1:16">
      <c r="A9" s="28"/>
      <c r="B9" s="31"/>
      <c r="E9" s="92">
        <v>3312</v>
      </c>
      <c r="F9" s="136">
        <f>'Att GG True Up Combined'!F710</f>
        <v>2758774</v>
      </c>
      <c r="G9" s="32"/>
      <c r="H9" s="181">
        <f t="shared" si="0"/>
        <v>3.3010582092442398E-2</v>
      </c>
      <c r="I9" s="32"/>
      <c r="J9" s="22">
        <f t="shared" si="1"/>
        <v>13788.65</v>
      </c>
      <c r="L9" s="221"/>
      <c r="P9" s="21"/>
    </row>
    <row r="10" spans="1:16">
      <c r="A10" s="28"/>
      <c r="B10" s="31"/>
      <c r="E10" s="92">
        <v>3317</v>
      </c>
      <c r="F10" s="136">
        <f>'Att GG True Up Combined'!F756</f>
        <v>3051075</v>
      </c>
      <c r="G10" s="32"/>
      <c r="H10" s="181">
        <f t="shared" si="0"/>
        <v>3.6508159696190659E-2</v>
      </c>
      <c r="I10" s="32"/>
      <c r="J10" s="22">
        <f t="shared" si="1"/>
        <v>15249.6</v>
      </c>
      <c r="L10" s="221"/>
      <c r="P10" s="21"/>
    </row>
    <row r="11" spans="1:16">
      <c r="A11" s="28"/>
      <c r="B11" s="31"/>
      <c r="E11" s="92">
        <v>3775</v>
      </c>
      <c r="F11" s="136">
        <f>'Att GG True Up Combined'!F802</f>
        <v>6186071</v>
      </c>
      <c r="G11" s="32"/>
      <c r="H11" s="181">
        <f t="shared" si="0"/>
        <v>7.4020490469743891E-2</v>
      </c>
      <c r="I11" s="32"/>
      <c r="J11" s="22">
        <f t="shared" si="1"/>
        <v>30918.65</v>
      </c>
      <c r="L11" s="221"/>
      <c r="P11" s="21"/>
    </row>
    <row r="12" spans="1:16" s="163" customFormat="1">
      <c r="A12" s="28"/>
      <c r="B12" s="31"/>
      <c r="E12" s="647">
        <v>2178</v>
      </c>
      <c r="F12" s="136">
        <f>'Att GG True Up Combined'!F535</f>
        <v>529507</v>
      </c>
      <c r="G12" s="32"/>
      <c r="H12" s="181">
        <f t="shared" ref="H12:H15" si="2">F12/F$17</f>
        <v>6.3359065628510692E-3</v>
      </c>
      <c r="I12" s="32"/>
      <c r="J12" s="22">
        <f t="shared" si="1"/>
        <v>2646.53</v>
      </c>
      <c r="L12" s="221"/>
      <c r="P12" s="21"/>
    </row>
    <row r="13" spans="1:16" s="163" customFormat="1">
      <c r="A13" s="28"/>
      <c r="B13" s="31"/>
      <c r="E13" s="92">
        <v>1285</v>
      </c>
      <c r="F13" s="136">
        <f>'Att GG True Up Combined'!F577</f>
        <v>2828671</v>
      </c>
      <c r="G13" s="32"/>
      <c r="H13" s="181">
        <f t="shared" si="2"/>
        <v>3.3846946599471767E-2</v>
      </c>
      <c r="I13" s="32"/>
      <c r="J13" s="22">
        <f t="shared" si="1"/>
        <v>14138</v>
      </c>
      <c r="L13" s="221"/>
      <c r="P13" s="21"/>
    </row>
    <row r="14" spans="1:16" s="163" customFormat="1">
      <c r="A14" s="28"/>
      <c r="B14" s="31"/>
      <c r="E14" s="92">
        <v>3104</v>
      </c>
      <c r="F14" s="136">
        <f>'Att GG True Up Combined'!F664</f>
        <v>36568</v>
      </c>
      <c r="G14" s="32"/>
      <c r="H14" s="181">
        <f t="shared" si="2"/>
        <v>4.3756065772565403E-4</v>
      </c>
      <c r="I14" s="32"/>
      <c r="J14" s="22">
        <f t="shared" si="1"/>
        <v>182.77</v>
      </c>
      <c r="L14" s="221"/>
      <c r="P14" s="21"/>
    </row>
    <row r="15" spans="1:16" s="163" customFormat="1">
      <c r="A15" s="28"/>
      <c r="B15" s="31"/>
      <c r="E15" s="92"/>
      <c r="F15" s="136"/>
      <c r="G15" s="32"/>
      <c r="H15" s="181">
        <f t="shared" si="2"/>
        <v>0</v>
      </c>
      <c r="I15" s="32"/>
      <c r="J15" s="22">
        <f t="shared" ref="J15" si="3">ROUND(H15*$B$5,2)</f>
        <v>0</v>
      </c>
      <c r="L15" s="221"/>
      <c r="P15" s="21"/>
    </row>
    <row r="16" spans="1:16">
      <c r="A16" s="30"/>
      <c r="B16" s="30"/>
      <c r="E16" s="92"/>
      <c r="F16" s="136"/>
      <c r="G16" s="32"/>
      <c r="H16" s="181"/>
      <c r="I16" s="32"/>
      <c r="J16" s="22"/>
      <c r="L16" s="221"/>
    </row>
    <row r="17" spans="1:38" ht="16.5" thickBot="1">
      <c r="A17" s="30"/>
      <c r="B17" s="30"/>
      <c r="F17" s="62">
        <f>SUM(F5:F16)</f>
        <v>83572413</v>
      </c>
      <c r="G17" s="64"/>
      <c r="H17" s="182">
        <f>SUM(H5:H16)</f>
        <v>1.0000000000000002</v>
      </c>
      <c r="I17" s="64"/>
      <c r="J17" s="178">
        <f>SUM(J5:J16)</f>
        <v>417703.97000000009</v>
      </c>
    </row>
    <row r="18" spans="1:38" ht="16.5" thickTop="1">
      <c r="A18" s="30"/>
      <c r="B18" s="30"/>
    </row>
    <row r="19" spans="1:38">
      <c r="A19" s="30"/>
      <c r="B19" s="30"/>
      <c r="F19" s="31">
        <f>'Att GG True Up Combined'!F869</f>
        <v>83572413.010000005</v>
      </c>
    </row>
    <row r="20" spans="1:38">
      <c r="A20" s="30"/>
      <c r="B20" s="30"/>
    </row>
    <row r="21" spans="1:38">
      <c r="H21" s="153"/>
    </row>
    <row r="22" spans="1:38">
      <c r="A22" s="2" t="s">
        <v>102</v>
      </c>
      <c r="E22" s="30"/>
      <c r="F22" s="30"/>
      <c r="G22" s="30"/>
      <c r="H22" s="154"/>
      <c r="I22" s="30"/>
      <c r="J22" s="30"/>
      <c r="K22" s="30"/>
      <c r="L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row>
    <row r="23" spans="1:38">
      <c r="B23" s="37" t="s">
        <v>147</v>
      </c>
      <c r="E23" s="30"/>
      <c r="F23" s="30"/>
      <c r="G23" s="30"/>
      <c r="H23" s="154"/>
      <c r="I23" s="30"/>
      <c r="J23" s="63"/>
      <c r="K23" s="30"/>
      <c r="L23" s="30"/>
      <c r="O23" s="30"/>
      <c r="P23" s="63"/>
      <c r="Q23" s="30"/>
      <c r="R23" s="30"/>
      <c r="S23" s="63"/>
      <c r="T23" s="30"/>
      <c r="U23" s="30"/>
      <c r="V23" s="63"/>
      <c r="W23" s="30"/>
      <c r="X23" s="30"/>
      <c r="Y23" s="63"/>
      <c r="Z23" s="30"/>
      <c r="AA23" s="30"/>
      <c r="AB23" s="63"/>
      <c r="AC23" s="30"/>
      <c r="AD23" s="30"/>
      <c r="AE23" s="30"/>
      <c r="AF23" s="30"/>
      <c r="AG23" s="30"/>
      <c r="AH23" s="30"/>
      <c r="AI23" s="30"/>
      <c r="AJ23" s="30"/>
      <c r="AK23" s="30"/>
      <c r="AL23" s="30"/>
    </row>
    <row r="24" spans="1:38">
      <c r="B24" s="36" t="s">
        <v>103</v>
      </c>
      <c r="C24" s="3" t="s">
        <v>50</v>
      </c>
      <c r="E24" s="63"/>
      <c r="F24" s="30"/>
      <c r="G24" s="30"/>
      <c r="H24" s="154"/>
      <c r="I24" s="30"/>
      <c r="J24" s="63"/>
      <c r="K24" s="63"/>
      <c r="L24" s="30"/>
      <c r="O24" s="30"/>
      <c r="P24" s="63"/>
      <c r="Q24" s="63"/>
      <c r="R24" s="30"/>
      <c r="S24" s="63"/>
      <c r="T24" s="63"/>
      <c r="U24" s="30"/>
      <c r="V24" s="63"/>
      <c r="W24" s="63"/>
      <c r="X24" s="30"/>
      <c r="Y24" s="63"/>
      <c r="Z24" s="63"/>
      <c r="AA24" s="30"/>
      <c r="AB24" s="63"/>
      <c r="AC24" s="63"/>
      <c r="AD24" s="30"/>
      <c r="AE24" s="30"/>
      <c r="AF24" s="30"/>
      <c r="AG24" s="30"/>
      <c r="AH24" s="30"/>
      <c r="AI24" s="30"/>
      <c r="AJ24" s="30"/>
      <c r="AK24" s="30"/>
      <c r="AL24" s="30"/>
    </row>
    <row r="25" spans="1:38">
      <c r="A25" s="486" t="s">
        <v>632</v>
      </c>
      <c r="B25" s="33">
        <f>'Att GG True Up Combined'!K201+'Att GG True Up Combined'!K241+'Att GG True Up Combined'!K283+'Att GG True Up Combined'!K325+'Att GG True Up Combined'!K708+'Att GG True Up Combined'!K754+'Att GG True Up Combined'!K800+'Att GG True Up Combined'!K533+'Att GG True Up Combined'!K575+'Att GG True Up Combined'!K662</f>
        <v>5777994.45880304</v>
      </c>
      <c r="C25" s="33">
        <f t="shared" ref="C25:C32" si="4">ROUND(B25*$C$35/4,0)</f>
        <v>50633</v>
      </c>
      <c r="E25" s="65"/>
      <c r="F25" s="30"/>
      <c r="G25" s="30"/>
      <c r="H25" s="155"/>
      <c r="I25" s="30"/>
      <c r="J25" s="65"/>
      <c r="K25" s="65"/>
      <c r="L25" s="30"/>
      <c r="O25" s="30"/>
      <c r="P25" s="65"/>
      <c r="Q25" s="65"/>
      <c r="R25" s="30"/>
      <c r="S25" s="65"/>
      <c r="T25" s="65"/>
      <c r="U25" s="30"/>
      <c r="V25" s="65"/>
      <c r="W25" s="65"/>
      <c r="X25" s="30"/>
      <c r="Y25" s="65"/>
      <c r="Z25" s="65"/>
      <c r="AA25" s="30"/>
      <c r="AB25" s="65"/>
      <c r="AC25" s="65"/>
      <c r="AD25" s="30"/>
      <c r="AE25" s="30"/>
      <c r="AF25" s="30"/>
      <c r="AG25" s="30"/>
      <c r="AH25" s="30"/>
      <c r="AI25" s="30"/>
      <c r="AJ25" s="30"/>
      <c r="AK25" s="30"/>
      <c r="AL25" s="30"/>
    </row>
    <row r="26" spans="1:38">
      <c r="A26" s="486" t="s">
        <v>633</v>
      </c>
      <c r="B26" s="33">
        <f t="shared" ref="B26:B32" si="5">B25+C25</f>
        <v>5828627.45880304</v>
      </c>
      <c r="C26" s="33">
        <f t="shared" si="4"/>
        <v>51076</v>
      </c>
      <c r="E26" s="65"/>
      <c r="F26" s="30"/>
      <c r="G26" s="30"/>
      <c r="H26" s="30"/>
      <c r="I26" s="30"/>
      <c r="J26" s="65"/>
      <c r="K26" s="65"/>
      <c r="L26" s="30"/>
      <c r="O26" s="30"/>
      <c r="P26" s="65"/>
      <c r="Q26" s="65"/>
      <c r="R26" s="30"/>
      <c r="S26" s="65"/>
      <c r="T26" s="65"/>
      <c r="U26" s="30"/>
      <c r="V26" s="65"/>
      <c r="W26" s="65"/>
      <c r="X26" s="30"/>
      <c r="Y26" s="65"/>
      <c r="Z26" s="65"/>
      <c r="AA26" s="30"/>
      <c r="AB26" s="65"/>
      <c r="AC26" s="65"/>
      <c r="AD26" s="30"/>
      <c r="AE26" s="30"/>
      <c r="AF26" s="30"/>
      <c r="AG26" s="30"/>
      <c r="AH26" s="30"/>
      <c r="AI26" s="30"/>
      <c r="AJ26" s="30"/>
      <c r="AK26" s="30"/>
      <c r="AL26" s="30"/>
    </row>
    <row r="27" spans="1:38">
      <c r="A27" s="486" t="s">
        <v>634</v>
      </c>
      <c r="B27" s="33">
        <f t="shared" si="5"/>
        <v>5879703.45880304</v>
      </c>
      <c r="C27" s="33">
        <f t="shared" si="4"/>
        <v>51524</v>
      </c>
      <c r="E27" s="65"/>
      <c r="F27" s="30"/>
      <c r="G27" s="30"/>
      <c r="H27" s="30"/>
      <c r="I27" s="30"/>
      <c r="J27" s="65"/>
      <c r="K27" s="65"/>
      <c r="L27" s="30"/>
      <c r="O27" s="30"/>
      <c r="P27" s="65"/>
      <c r="Q27" s="65"/>
      <c r="R27" s="30"/>
      <c r="S27" s="65"/>
      <c r="T27" s="65"/>
      <c r="U27" s="30"/>
      <c r="V27" s="65"/>
      <c r="W27" s="65"/>
      <c r="X27" s="30"/>
      <c r="Y27" s="65"/>
      <c r="Z27" s="65"/>
      <c r="AA27" s="30"/>
      <c r="AB27" s="65"/>
      <c r="AC27" s="65"/>
      <c r="AD27" s="30"/>
      <c r="AE27" s="30"/>
      <c r="AF27" s="30"/>
      <c r="AG27" s="30"/>
      <c r="AH27" s="30"/>
      <c r="AI27" s="30"/>
      <c r="AJ27" s="30"/>
      <c r="AK27" s="30"/>
      <c r="AL27" s="30"/>
    </row>
    <row r="28" spans="1:38">
      <c r="A28" s="486" t="s">
        <v>635</v>
      </c>
      <c r="B28" s="33">
        <f t="shared" si="5"/>
        <v>5931227.45880304</v>
      </c>
      <c r="C28" s="33">
        <f t="shared" si="4"/>
        <v>51975</v>
      </c>
      <c r="E28" s="65"/>
      <c r="F28" s="30"/>
      <c r="G28" s="30"/>
      <c r="H28" s="30"/>
      <c r="I28" s="30"/>
      <c r="J28" s="65"/>
      <c r="K28" s="65"/>
      <c r="L28" s="30"/>
      <c r="O28" s="30"/>
      <c r="P28" s="65"/>
      <c r="Q28" s="65"/>
      <c r="R28" s="30"/>
      <c r="S28" s="65"/>
      <c r="T28" s="65"/>
      <c r="U28" s="30"/>
      <c r="V28" s="65"/>
      <c r="W28" s="65"/>
      <c r="X28" s="30"/>
      <c r="Y28" s="65"/>
      <c r="Z28" s="65"/>
      <c r="AA28" s="30"/>
      <c r="AB28" s="65"/>
      <c r="AC28" s="65"/>
      <c r="AD28" s="30"/>
      <c r="AE28" s="30"/>
      <c r="AF28" s="30"/>
      <c r="AG28" s="30"/>
      <c r="AH28" s="30"/>
      <c r="AI28" s="30"/>
      <c r="AJ28" s="30"/>
      <c r="AK28" s="30"/>
      <c r="AL28" s="30"/>
    </row>
    <row r="29" spans="1:38">
      <c r="A29" s="486" t="s">
        <v>636</v>
      </c>
      <c r="B29" s="33">
        <f t="shared" si="5"/>
        <v>5983202.45880304</v>
      </c>
      <c r="C29" s="33">
        <f t="shared" si="4"/>
        <v>52431</v>
      </c>
      <c r="E29" s="65"/>
      <c r="F29" s="30"/>
      <c r="G29" s="30"/>
      <c r="H29" s="30"/>
      <c r="I29" s="30"/>
      <c r="J29" s="65"/>
      <c r="K29" s="65"/>
      <c r="L29" s="30"/>
      <c r="O29" s="30"/>
      <c r="P29" s="65"/>
      <c r="Q29" s="65"/>
      <c r="R29" s="30"/>
      <c r="S29" s="65"/>
      <c r="T29" s="65"/>
      <c r="U29" s="30"/>
      <c r="V29" s="65"/>
      <c r="W29" s="65"/>
      <c r="X29" s="30"/>
      <c r="Y29" s="65"/>
      <c r="Z29" s="65"/>
      <c r="AA29" s="30"/>
      <c r="AB29" s="65"/>
      <c r="AC29" s="65"/>
      <c r="AD29" s="30"/>
      <c r="AE29" s="30"/>
      <c r="AF29" s="30"/>
      <c r="AG29" s="30"/>
      <c r="AH29" s="30"/>
      <c r="AI29" s="30"/>
      <c r="AJ29" s="30"/>
      <c r="AK29" s="30"/>
      <c r="AL29" s="30"/>
    </row>
    <row r="30" spans="1:38">
      <c r="A30" s="486" t="s">
        <v>637</v>
      </c>
      <c r="B30" s="33">
        <f t="shared" si="5"/>
        <v>6035633.45880304</v>
      </c>
      <c r="C30" s="33">
        <f t="shared" si="4"/>
        <v>52890</v>
      </c>
      <c r="E30" s="65"/>
      <c r="F30" s="30"/>
      <c r="G30" s="30"/>
      <c r="H30" s="30"/>
      <c r="I30" s="30"/>
      <c r="J30" s="65"/>
      <c r="K30" s="65"/>
      <c r="L30" s="30"/>
      <c r="O30" s="30"/>
      <c r="P30" s="65"/>
      <c r="Q30" s="65"/>
      <c r="R30" s="30"/>
      <c r="S30" s="65"/>
      <c r="T30" s="65"/>
      <c r="U30" s="30"/>
      <c r="V30" s="65"/>
      <c r="W30" s="65"/>
      <c r="X30" s="30"/>
      <c r="Y30" s="65"/>
      <c r="Z30" s="65"/>
      <c r="AA30" s="30"/>
      <c r="AB30" s="65"/>
      <c r="AC30" s="65"/>
      <c r="AD30" s="30"/>
      <c r="AE30" s="30"/>
      <c r="AF30" s="30"/>
      <c r="AG30" s="30"/>
      <c r="AH30" s="30"/>
      <c r="AI30" s="30"/>
      <c r="AJ30" s="30"/>
      <c r="AK30" s="30"/>
      <c r="AL30" s="30"/>
    </row>
    <row r="31" spans="1:38">
      <c r="A31" s="486" t="s">
        <v>638</v>
      </c>
      <c r="B31" s="33">
        <f t="shared" si="5"/>
        <v>6088523.45880304</v>
      </c>
      <c r="C31" s="33">
        <f t="shared" si="4"/>
        <v>53354</v>
      </c>
      <c r="E31" s="65"/>
      <c r="F31" s="30"/>
      <c r="G31" s="30"/>
      <c r="H31" s="30"/>
      <c r="I31" s="30"/>
      <c r="J31" s="65"/>
      <c r="K31" s="65"/>
      <c r="L31" s="30"/>
      <c r="O31" s="30"/>
      <c r="P31" s="65"/>
      <c r="Q31" s="65"/>
      <c r="R31" s="30"/>
      <c r="S31" s="65"/>
      <c r="T31" s="65"/>
      <c r="U31" s="30"/>
      <c r="V31" s="65"/>
      <c r="W31" s="65"/>
      <c r="X31" s="30"/>
      <c r="Y31" s="65"/>
      <c r="Z31" s="65"/>
      <c r="AA31" s="30"/>
      <c r="AB31" s="65"/>
      <c r="AC31" s="65"/>
      <c r="AD31" s="30"/>
      <c r="AE31" s="30"/>
      <c r="AF31" s="30"/>
      <c r="AG31" s="30"/>
      <c r="AH31" s="30"/>
      <c r="AI31" s="30"/>
      <c r="AJ31" s="30"/>
      <c r="AK31" s="30"/>
      <c r="AL31" s="30"/>
    </row>
    <row r="32" spans="1:38">
      <c r="A32" s="486" t="s">
        <v>639</v>
      </c>
      <c r="B32" s="33">
        <f t="shared" si="5"/>
        <v>6141877.45880304</v>
      </c>
      <c r="C32" s="33">
        <f t="shared" si="4"/>
        <v>53821</v>
      </c>
      <c r="E32" s="65"/>
      <c r="F32" s="30"/>
      <c r="G32" s="30"/>
      <c r="H32" s="30"/>
      <c r="I32" s="30"/>
      <c r="J32" s="65"/>
      <c r="K32" s="65"/>
      <c r="L32" s="30"/>
      <c r="O32" s="30"/>
      <c r="P32" s="65"/>
      <c r="Q32" s="65"/>
      <c r="R32" s="30"/>
      <c r="S32" s="65"/>
      <c r="T32" s="65"/>
      <c r="U32" s="30"/>
      <c r="V32" s="65"/>
      <c r="W32" s="65"/>
      <c r="X32" s="30"/>
      <c r="Y32" s="65"/>
      <c r="Z32" s="65"/>
      <c r="AA32" s="30"/>
      <c r="AB32" s="65"/>
      <c r="AC32" s="65"/>
      <c r="AD32" s="30"/>
      <c r="AE32" s="30"/>
      <c r="AF32" s="30"/>
      <c r="AG32" s="30"/>
      <c r="AH32" s="30"/>
      <c r="AI32" s="30"/>
      <c r="AJ32" s="30"/>
      <c r="AK32" s="30"/>
      <c r="AL32" s="30"/>
    </row>
    <row r="33" spans="1:38">
      <c r="A33" s="2" t="s">
        <v>104</v>
      </c>
      <c r="B33" s="34"/>
      <c r="C33" s="35">
        <f>SUM(C25:C32)</f>
        <v>417704</v>
      </c>
      <c r="E33" s="66"/>
      <c r="F33" s="66"/>
      <c r="G33" s="30"/>
      <c r="H33" s="30"/>
      <c r="I33" s="30"/>
      <c r="J33" s="66"/>
      <c r="K33" s="66"/>
      <c r="L33" s="30"/>
      <c r="O33" s="30"/>
      <c r="P33" s="66"/>
      <c r="Q33" s="66"/>
      <c r="R33" s="30"/>
      <c r="S33" s="66"/>
      <c r="T33" s="66"/>
      <c r="U33" s="30"/>
      <c r="V33" s="66"/>
      <c r="W33" s="66"/>
      <c r="X33" s="30"/>
      <c r="Y33" s="66"/>
      <c r="Z33" s="66"/>
      <c r="AA33" s="30"/>
      <c r="AB33" s="66"/>
      <c r="AC33" s="66"/>
      <c r="AD33" s="30"/>
      <c r="AE33" s="30"/>
      <c r="AF33" s="30"/>
      <c r="AG33" s="30"/>
      <c r="AH33" s="30"/>
      <c r="AI33" s="30"/>
      <c r="AJ33" s="30"/>
      <c r="AK33" s="30"/>
      <c r="AL33" s="30"/>
    </row>
    <row r="34" spans="1:38">
      <c r="E34" s="66"/>
      <c r="F34" s="30"/>
      <c r="G34" s="30"/>
      <c r="H34" s="30"/>
      <c r="I34" s="30"/>
      <c r="J34" s="30"/>
      <c r="K34" s="30"/>
      <c r="L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row>
    <row r="35" spans="1:38">
      <c r="A35" s="2" t="s">
        <v>149</v>
      </c>
      <c r="C35" s="71">
        <f>ROUND(C57*12,6)</f>
        <v>3.5052E-2</v>
      </c>
      <c r="E35" s="30"/>
      <c r="F35" s="30"/>
      <c r="G35" s="30"/>
      <c r="H35" s="30"/>
      <c r="I35" s="30"/>
      <c r="J35" s="30"/>
      <c r="K35" s="30"/>
      <c r="L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row>
    <row r="37" spans="1:38" hidden="1"/>
    <row r="38" spans="1:38" s="574" customFormat="1" ht="12.75" hidden="1">
      <c r="B38" s="574" t="s">
        <v>629</v>
      </c>
      <c r="C38" s="583">
        <v>2.7000000000000001E-3</v>
      </c>
    </row>
    <row r="39" spans="1:38" s="574" customFormat="1" ht="12.75" hidden="1">
      <c r="B39" s="574" t="s">
        <v>53</v>
      </c>
      <c r="C39" s="583">
        <v>2.7000000000000001E-3</v>
      </c>
    </row>
    <row r="40" spans="1:38" s="574" customFormat="1" ht="12.75" hidden="1">
      <c r="B40" s="574" t="s">
        <v>625</v>
      </c>
      <c r="C40" s="583">
        <v>2.7000000000000001E-3</v>
      </c>
    </row>
    <row r="41" spans="1:38" s="574" customFormat="1" ht="12.75" hidden="1">
      <c r="B41" s="574" t="s">
        <v>37</v>
      </c>
      <c r="C41" s="583">
        <v>2.8999999999999998E-3</v>
      </c>
    </row>
    <row r="42" spans="1:38" s="574" customFormat="1" ht="12.75" hidden="1">
      <c r="B42" s="574" t="s">
        <v>625</v>
      </c>
      <c r="C42" s="583">
        <v>2.8999999999999998E-3</v>
      </c>
    </row>
    <row r="43" spans="1:38" s="574" customFormat="1" ht="12.75" hidden="1">
      <c r="B43" s="574" t="s">
        <v>624</v>
      </c>
      <c r="C43" s="583">
        <v>2.8999999999999998E-3</v>
      </c>
    </row>
    <row r="44" spans="1:38" s="574" customFormat="1" ht="12.75" hidden="1">
      <c r="B44" s="574" t="s">
        <v>624</v>
      </c>
      <c r="C44" s="583">
        <v>2.8999999999999998E-3</v>
      </c>
    </row>
    <row r="45" spans="1:38" s="574" customFormat="1" ht="12.75" hidden="1">
      <c r="B45" s="574" t="s">
        <v>37</v>
      </c>
      <c r="C45" s="583">
        <v>2.8999999999999998E-3</v>
      </c>
    </row>
    <row r="46" spans="1:38" s="574" customFormat="1" ht="12.75" hidden="1">
      <c r="B46" s="574" t="s">
        <v>626</v>
      </c>
      <c r="C46" s="583">
        <v>2.8999999999999998E-3</v>
      </c>
    </row>
    <row r="47" spans="1:38" s="574" customFormat="1" ht="12.75" hidden="1">
      <c r="B47" s="574" t="s">
        <v>627</v>
      </c>
      <c r="C47" s="583">
        <v>2.8999999999999998E-3</v>
      </c>
    </row>
    <row r="48" spans="1:38" s="574" customFormat="1" ht="12.75" hidden="1">
      <c r="B48" s="574" t="s">
        <v>628</v>
      </c>
      <c r="C48" s="583">
        <v>2.8999999999999998E-3</v>
      </c>
    </row>
    <row r="49" spans="2:5" s="574" customFormat="1" ht="12.75" hidden="1">
      <c r="B49" s="574" t="s">
        <v>391</v>
      </c>
      <c r="C49" s="583">
        <v>2.8999999999999998E-3</v>
      </c>
    </row>
    <row r="50" spans="2:5" s="574" customFormat="1" ht="12.75" hidden="1">
      <c r="B50" s="574" t="s">
        <v>630</v>
      </c>
      <c r="C50" s="583">
        <v>2.8999999999999998E-3</v>
      </c>
    </row>
    <row r="51" spans="2:5" s="574" customFormat="1" ht="12.75" hidden="1">
      <c r="B51" s="574" t="s">
        <v>53</v>
      </c>
      <c r="C51" s="583">
        <v>2.8999999999999998E-3</v>
      </c>
    </row>
    <row r="52" spans="2:5" s="574" customFormat="1" ht="12.75" hidden="1">
      <c r="B52" s="574" t="s">
        <v>625</v>
      </c>
      <c r="C52" s="583">
        <v>2.8999999999999998E-3</v>
      </c>
    </row>
    <row r="53" spans="2:5" s="574" customFormat="1" ht="12.75" hidden="1">
      <c r="B53" s="574" t="s">
        <v>37</v>
      </c>
      <c r="C53" s="583">
        <v>3.0999999999999999E-3</v>
      </c>
    </row>
    <row r="54" spans="2:5" s="574" customFormat="1" ht="12.75" hidden="1">
      <c r="B54" s="574" t="s">
        <v>625</v>
      </c>
      <c r="C54" s="583">
        <v>3.0999999999999999E-3</v>
      </c>
    </row>
    <row r="55" spans="2:5" s="574" customFormat="1" ht="12.75" hidden="1">
      <c r="B55" s="574" t="s">
        <v>624</v>
      </c>
      <c r="C55" s="583">
        <v>3.0999999999999999E-3</v>
      </c>
    </row>
    <row r="56" spans="2:5" s="574" customFormat="1" ht="12.75" hidden="1">
      <c r="B56" s="574" t="s">
        <v>624</v>
      </c>
      <c r="C56" s="583">
        <v>3.3E-3</v>
      </c>
    </row>
    <row r="57" spans="2:5" s="574" customFormat="1" ht="12.75" hidden="1">
      <c r="B57" s="574" t="s">
        <v>631</v>
      </c>
      <c r="C57" s="583">
        <f>ROUND(SUM(C38:C56)/19,6)</f>
        <v>2.921E-3</v>
      </c>
      <c r="E57" s="584">
        <f>ROUND(C57*12,6)</f>
        <v>3.5052E-2</v>
      </c>
    </row>
    <row r="58" spans="2:5" s="574" customFormat="1" ht="12.75"/>
  </sheetData>
  <phoneticPr fontId="4" type="noConversion"/>
  <pageMargins left="0.5" right="0.25" top="1" bottom="1" header="0.5" footer="0.5"/>
  <pageSetup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59999389629810485"/>
    <pageSetUpPr fitToPage="1"/>
  </sheetPr>
  <dimension ref="A1:AL60"/>
  <sheetViews>
    <sheetView showGridLines="0" workbookViewId="0">
      <selection activeCell="E52" sqref="E52"/>
    </sheetView>
  </sheetViews>
  <sheetFormatPr defaultRowHeight="15.75"/>
  <cols>
    <col min="1" max="1" width="18.125" style="2" customWidth="1"/>
    <col min="2" max="2" width="11.75" style="2" bestFit="1" customWidth="1"/>
    <col min="3" max="3" width="11.125" style="2" customWidth="1"/>
    <col min="4" max="4" width="2.375" style="2" customWidth="1"/>
    <col min="5" max="5" width="9" style="2"/>
    <col min="6" max="6" width="14.75" style="2" bestFit="1" customWidth="1"/>
    <col min="7" max="7" width="1.625" style="2" customWidth="1"/>
    <col min="8" max="8" width="11.125" style="2" bestFit="1" customWidth="1"/>
    <col min="9" max="9" width="1.625" style="2" customWidth="1"/>
    <col min="10" max="10" width="11.75" style="2" bestFit="1" customWidth="1"/>
    <col min="11" max="11" width="9" style="2"/>
    <col min="12" max="12" width="39.5" style="2" bestFit="1" customWidth="1"/>
    <col min="13" max="16384" width="9" style="2"/>
  </cols>
  <sheetData>
    <row r="1" spans="1:14" ht="18.75">
      <c r="A1" s="38" t="s">
        <v>112</v>
      </c>
    </row>
    <row r="2" spans="1:14">
      <c r="E2" s="3"/>
      <c r="F2" s="3" t="s">
        <v>173</v>
      </c>
      <c r="G2" s="3"/>
      <c r="H2" s="3" t="s">
        <v>96</v>
      </c>
      <c r="I2" s="3"/>
      <c r="J2" s="3" t="s">
        <v>11</v>
      </c>
    </row>
    <row r="3" spans="1:14">
      <c r="A3" s="174" t="s">
        <v>185</v>
      </c>
      <c r="B3" s="174"/>
      <c r="C3" s="78"/>
      <c r="E3" s="3"/>
      <c r="F3" s="3" t="s">
        <v>97</v>
      </c>
      <c r="G3" s="3"/>
      <c r="H3" s="3" t="s">
        <v>98</v>
      </c>
      <c r="I3" s="3"/>
      <c r="J3" s="3" t="s">
        <v>99</v>
      </c>
    </row>
    <row r="4" spans="1:14">
      <c r="A4" s="30"/>
      <c r="B4" s="30"/>
      <c r="E4" s="3" t="s">
        <v>101</v>
      </c>
      <c r="F4" s="3" t="s">
        <v>100</v>
      </c>
      <c r="G4" s="3"/>
      <c r="H4" s="3" t="s">
        <v>100</v>
      </c>
      <c r="I4" s="3"/>
      <c r="J4" s="3" t="s">
        <v>50</v>
      </c>
    </row>
    <row r="5" spans="1:14">
      <c r="A5" s="28" t="s">
        <v>29</v>
      </c>
      <c r="B5" s="31">
        <f>C31</f>
        <v>-1956</v>
      </c>
      <c r="E5" s="67"/>
      <c r="F5" s="22"/>
      <c r="G5" s="32"/>
      <c r="H5" s="32"/>
      <c r="I5" s="32"/>
      <c r="J5" s="22"/>
    </row>
    <row r="6" spans="1:14">
      <c r="A6" s="30"/>
      <c r="B6" s="30"/>
      <c r="E6" s="67">
        <v>1366</v>
      </c>
      <c r="F6" s="136">
        <f>'Att GG True Up Combined'!F82</f>
        <v>910344</v>
      </c>
      <c r="G6" s="32"/>
      <c r="H6" s="184">
        <f t="shared" ref="H6:H14" si="0">F6/$F$15</f>
        <v>0.41745800858813109</v>
      </c>
      <c r="I6" s="32"/>
      <c r="J6" s="22">
        <f t="shared" ref="J6:J14" si="1">ROUND(H6*$B$5,1)</f>
        <v>-816.5</v>
      </c>
      <c r="L6" s="183"/>
      <c r="N6" s="21"/>
    </row>
    <row r="7" spans="1:14">
      <c r="A7" s="30"/>
      <c r="B7" s="30"/>
      <c r="E7" s="67">
        <v>1456</v>
      </c>
      <c r="F7" s="22">
        <f>'Att GG True Up Combined'!F122</f>
        <v>449684</v>
      </c>
      <c r="G7" s="32"/>
      <c r="H7" s="184">
        <f t="shared" si="0"/>
        <v>0.20621236272655735</v>
      </c>
      <c r="I7" s="32"/>
      <c r="J7" s="22">
        <f t="shared" si="1"/>
        <v>-403.4</v>
      </c>
      <c r="L7" s="183"/>
      <c r="N7" s="21"/>
    </row>
    <row r="8" spans="1:14" s="163" customFormat="1">
      <c r="A8" s="30"/>
      <c r="B8" s="30"/>
      <c r="E8" s="67">
        <v>1457</v>
      </c>
      <c r="F8" s="22">
        <f>'Att GG True Up Combined'!F162</f>
        <v>604313</v>
      </c>
      <c r="G8" s="32"/>
      <c r="H8" s="184">
        <f t="shared" si="0"/>
        <v>0.27712084832098555</v>
      </c>
      <c r="I8" s="32"/>
      <c r="J8" s="22">
        <f t="shared" si="1"/>
        <v>-542</v>
      </c>
      <c r="L8" s="183"/>
      <c r="N8" s="21"/>
    </row>
    <row r="9" spans="1:14" s="163" customFormat="1">
      <c r="A9" s="30"/>
      <c r="B9" s="30"/>
      <c r="E9" s="67">
        <v>1458</v>
      </c>
      <c r="F9" s="22">
        <f>'Att GG True Up Combined'!F368</f>
        <v>63410</v>
      </c>
      <c r="G9" s="32"/>
      <c r="H9" s="184">
        <f t="shared" si="0"/>
        <v>2.9078032397174464E-2</v>
      </c>
      <c r="I9" s="32"/>
      <c r="J9" s="22">
        <f t="shared" si="1"/>
        <v>-56.9</v>
      </c>
      <c r="L9" s="183"/>
      <c r="N9" s="21"/>
    </row>
    <row r="10" spans="1:14" s="163" customFormat="1">
      <c r="A10" s="30"/>
      <c r="B10" s="30"/>
      <c r="E10" s="67">
        <v>2765</v>
      </c>
      <c r="F10" s="22">
        <f>'Att GG True Up Combined'!F410</f>
        <v>16862</v>
      </c>
      <c r="G10" s="32"/>
      <c r="H10" s="184">
        <f t="shared" si="0"/>
        <v>7.7324362447745753E-3</v>
      </c>
      <c r="I10" s="32"/>
      <c r="J10" s="22">
        <f t="shared" si="1"/>
        <v>-15.1</v>
      </c>
      <c r="L10" s="183"/>
      <c r="N10" s="21"/>
    </row>
    <row r="11" spans="1:14" s="163" customFormat="1">
      <c r="A11" s="30"/>
      <c r="B11" s="30"/>
      <c r="E11" s="67">
        <v>2109</v>
      </c>
      <c r="F11" s="22">
        <f>'Att GG True Up Combined'!F452</f>
        <v>5763</v>
      </c>
      <c r="G11" s="32"/>
      <c r="H11" s="184">
        <f t="shared" si="0"/>
        <v>2.6427487889121026E-3</v>
      </c>
      <c r="I11" s="32"/>
      <c r="J11" s="22">
        <f t="shared" si="1"/>
        <v>-5.2</v>
      </c>
      <c r="L11" s="183"/>
      <c r="N11" s="21"/>
    </row>
    <row r="12" spans="1:14" s="163" customFormat="1">
      <c r="A12" s="30"/>
      <c r="B12" s="30"/>
      <c r="E12" s="67">
        <v>2119</v>
      </c>
      <c r="F12" s="22">
        <f>'Att GG True Up Combined'!F494</f>
        <v>28631</v>
      </c>
      <c r="G12" s="32"/>
      <c r="H12" s="184">
        <f t="shared" si="0"/>
        <v>1.3129366749148432E-2</v>
      </c>
      <c r="I12" s="32"/>
      <c r="J12" s="22">
        <f t="shared" si="1"/>
        <v>-25.7</v>
      </c>
      <c r="L12" s="183"/>
      <c r="N12" s="21"/>
    </row>
    <row r="13" spans="1:14">
      <c r="A13" s="30"/>
      <c r="B13" s="30"/>
      <c r="E13" s="67">
        <v>9523</v>
      </c>
      <c r="F13" s="22">
        <f>'Att GG True Up Combined'!F856</f>
        <v>101677</v>
      </c>
      <c r="G13" s="32"/>
      <c r="H13" s="184">
        <f t="shared" si="0"/>
        <v>4.662619618431648E-2</v>
      </c>
      <c r="I13" s="32"/>
      <c r="J13" s="22">
        <f t="shared" si="1"/>
        <v>-91.2</v>
      </c>
      <c r="L13" s="183"/>
      <c r="N13" s="21"/>
    </row>
    <row r="14" spans="1:14">
      <c r="A14" s="30"/>
      <c r="B14" s="30"/>
      <c r="E14" s="67"/>
      <c r="F14" s="22"/>
      <c r="G14" s="32"/>
      <c r="H14" s="184">
        <f t="shared" si="0"/>
        <v>0</v>
      </c>
      <c r="I14" s="32"/>
      <c r="J14" s="22">
        <f t="shared" si="1"/>
        <v>0</v>
      </c>
      <c r="L14" s="183"/>
      <c r="N14" s="21"/>
    </row>
    <row r="15" spans="1:14" ht="16.5" thickBot="1">
      <c r="A15" s="30"/>
      <c r="B15" s="30"/>
      <c r="F15" s="62">
        <f>ROUND(SUM(F5:F14),0)</f>
        <v>2180684</v>
      </c>
      <c r="G15" s="64"/>
      <c r="H15" s="182">
        <f>SUM(H5:H14)</f>
        <v>1</v>
      </c>
      <c r="I15" s="64"/>
      <c r="J15" s="178">
        <f>SUM(J6:J14)</f>
        <v>-1956.0000000000002</v>
      </c>
    </row>
    <row r="16" spans="1:14" ht="16.5" thickTop="1">
      <c r="A16" s="30"/>
      <c r="B16" s="30"/>
    </row>
    <row r="17" spans="1:38">
      <c r="A17" s="30"/>
      <c r="B17" s="30"/>
      <c r="F17" s="31">
        <f>'Att GG True Up Combined'!F870</f>
        <v>2128723.9699999997</v>
      </c>
    </row>
    <row r="18" spans="1:38">
      <c r="A18" s="30"/>
      <c r="B18" s="30"/>
      <c r="F18" s="21"/>
    </row>
    <row r="20" spans="1:38">
      <c r="A20" s="2" t="s">
        <v>102</v>
      </c>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row>
    <row r="21" spans="1:38">
      <c r="B21" s="37" t="s">
        <v>147</v>
      </c>
      <c r="E21" s="30"/>
      <c r="F21" s="30"/>
      <c r="G21" s="30"/>
      <c r="H21" s="30"/>
      <c r="I21" s="30"/>
      <c r="J21" s="63"/>
      <c r="K21" s="30"/>
      <c r="L21" s="30"/>
      <c r="M21" s="63"/>
      <c r="N21" s="30"/>
      <c r="O21" s="30"/>
      <c r="P21" s="63"/>
      <c r="Q21" s="30"/>
      <c r="R21" s="30"/>
      <c r="S21" s="63"/>
      <c r="T21" s="30"/>
      <c r="U21" s="30"/>
      <c r="V21" s="63"/>
      <c r="W21" s="30"/>
      <c r="X21" s="30"/>
      <c r="Y21" s="63"/>
      <c r="Z21" s="30"/>
      <c r="AA21" s="30"/>
      <c r="AB21" s="63"/>
      <c r="AC21" s="30"/>
      <c r="AD21" s="30"/>
      <c r="AE21" s="30"/>
      <c r="AF21" s="30"/>
      <c r="AG21" s="30"/>
      <c r="AH21" s="30"/>
      <c r="AI21" s="30"/>
      <c r="AJ21" s="30"/>
      <c r="AK21" s="30"/>
      <c r="AL21" s="30"/>
    </row>
    <row r="22" spans="1:38">
      <c r="B22" s="36" t="s">
        <v>103</v>
      </c>
      <c r="C22" s="3" t="s">
        <v>50</v>
      </c>
      <c r="E22" s="63"/>
      <c r="F22" s="30"/>
      <c r="G22" s="30"/>
      <c r="H22" s="30"/>
      <c r="I22" s="30"/>
      <c r="J22" s="63"/>
      <c r="K22" s="63"/>
      <c r="L22" s="30"/>
      <c r="M22" s="63"/>
      <c r="N22" s="63"/>
      <c r="O22" s="30"/>
      <c r="P22" s="63"/>
      <c r="Q22" s="63"/>
      <c r="R22" s="30"/>
      <c r="S22" s="63"/>
      <c r="T22" s="63"/>
      <c r="U22" s="30"/>
      <c r="V22" s="63"/>
      <c r="W22" s="63"/>
      <c r="X22" s="30"/>
      <c r="Y22" s="63"/>
      <c r="Z22" s="63"/>
      <c r="AA22" s="30"/>
      <c r="AB22" s="63"/>
      <c r="AC22" s="63"/>
      <c r="AD22" s="30"/>
      <c r="AE22" s="30"/>
      <c r="AF22" s="30"/>
      <c r="AG22" s="30"/>
      <c r="AH22" s="30"/>
      <c r="AI22" s="30"/>
      <c r="AJ22" s="30"/>
      <c r="AK22" s="30"/>
      <c r="AL22" s="30"/>
    </row>
    <row r="23" spans="1:38">
      <c r="A23" s="486" t="s">
        <v>632</v>
      </c>
      <c r="B23" s="176">
        <f>'Att GG True Up Combined'!K79+'Att GG True Up Combined'!K119+'Att GG True Up Combined'!K159+'Att GG True Up Combined'!K365+'Att GG True Up Combined'!K407+'Att GG True Up Combined'!K449+'Att GG True Up Combined'!K491+'Att GG True Up Combined'!K853</f>
        <v>-118832.99000000005</v>
      </c>
      <c r="C23" s="33">
        <f>ROUND(B23*$C$33/4,0)</f>
        <v>-243</v>
      </c>
      <c r="E23" s="65"/>
      <c r="F23" s="30"/>
      <c r="G23" s="30"/>
      <c r="H23" s="30"/>
      <c r="I23" s="30"/>
      <c r="J23" s="65"/>
      <c r="K23" s="65"/>
      <c r="L23" s="30"/>
      <c r="M23" s="65"/>
      <c r="N23" s="65"/>
      <c r="O23" s="30"/>
      <c r="P23" s="65"/>
      <c r="Q23" s="65"/>
      <c r="R23" s="30"/>
      <c r="S23" s="65"/>
      <c r="T23" s="65"/>
      <c r="U23" s="30"/>
      <c r="V23" s="65"/>
      <c r="W23" s="65"/>
      <c r="X23" s="30"/>
      <c r="Y23" s="65"/>
      <c r="Z23" s="65"/>
      <c r="AA23" s="30"/>
      <c r="AB23" s="65"/>
      <c r="AC23" s="65"/>
      <c r="AD23" s="30"/>
      <c r="AE23" s="30"/>
      <c r="AF23" s="30"/>
      <c r="AG23" s="30"/>
      <c r="AH23" s="30"/>
      <c r="AI23" s="30"/>
      <c r="AJ23" s="30"/>
      <c r="AK23" s="30"/>
      <c r="AL23" s="30"/>
    </row>
    <row r="24" spans="1:38">
      <c r="A24" s="486" t="s">
        <v>633</v>
      </c>
      <c r="B24" s="33">
        <f t="shared" ref="B24:B30" si="2">B23+C23</f>
        <v>-119075.99000000005</v>
      </c>
      <c r="C24" s="33">
        <f t="shared" ref="C24:C30" si="3">ROUND(B24*$C$33/4,0)</f>
        <v>-243</v>
      </c>
      <c r="E24" s="65"/>
      <c r="F24" s="30"/>
      <c r="G24" s="30"/>
      <c r="H24" s="30"/>
      <c r="I24" s="30"/>
      <c r="J24" s="65"/>
      <c r="K24" s="65"/>
      <c r="L24" s="30"/>
      <c r="M24" s="65"/>
      <c r="N24" s="65"/>
      <c r="O24" s="30"/>
      <c r="P24" s="65"/>
      <c r="Q24" s="65"/>
      <c r="R24" s="30"/>
      <c r="S24" s="65"/>
      <c r="T24" s="65"/>
      <c r="U24" s="30"/>
      <c r="V24" s="65"/>
      <c r="W24" s="65"/>
      <c r="X24" s="30"/>
      <c r="Y24" s="65"/>
      <c r="Z24" s="65"/>
      <c r="AA24" s="30"/>
      <c r="AB24" s="65"/>
      <c r="AC24" s="65"/>
      <c r="AD24" s="30"/>
      <c r="AE24" s="30"/>
      <c r="AF24" s="30"/>
      <c r="AG24" s="30"/>
      <c r="AH24" s="30"/>
      <c r="AI24" s="30"/>
      <c r="AJ24" s="30"/>
      <c r="AK24" s="30"/>
      <c r="AL24" s="30"/>
    </row>
    <row r="25" spans="1:38">
      <c r="A25" s="486" t="s">
        <v>634</v>
      </c>
      <c r="B25" s="33">
        <f t="shared" si="2"/>
        <v>-119318.99000000005</v>
      </c>
      <c r="C25" s="33">
        <f t="shared" si="3"/>
        <v>-244</v>
      </c>
      <c r="E25" s="65"/>
      <c r="F25" s="30"/>
      <c r="G25" s="30"/>
      <c r="H25" s="30"/>
      <c r="I25" s="30"/>
      <c r="J25" s="65"/>
      <c r="K25" s="65"/>
      <c r="L25" s="30"/>
      <c r="M25" s="65"/>
      <c r="N25" s="65"/>
      <c r="O25" s="30"/>
      <c r="P25" s="65"/>
      <c r="Q25" s="65"/>
      <c r="R25" s="30"/>
      <c r="S25" s="65"/>
      <c r="T25" s="65"/>
      <c r="U25" s="30"/>
      <c r="V25" s="65"/>
      <c r="W25" s="65"/>
      <c r="X25" s="30"/>
      <c r="Y25" s="65"/>
      <c r="Z25" s="65"/>
      <c r="AA25" s="30"/>
      <c r="AB25" s="65"/>
      <c r="AC25" s="65"/>
      <c r="AD25" s="30"/>
      <c r="AE25" s="30"/>
      <c r="AF25" s="30"/>
      <c r="AG25" s="30"/>
      <c r="AH25" s="30"/>
      <c r="AI25" s="30"/>
      <c r="AJ25" s="30"/>
      <c r="AK25" s="30"/>
      <c r="AL25" s="30"/>
    </row>
    <row r="26" spans="1:38">
      <c r="A26" s="486" t="s">
        <v>635</v>
      </c>
      <c r="B26" s="33">
        <f t="shared" si="2"/>
        <v>-119562.99000000005</v>
      </c>
      <c r="C26" s="33">
        <f t="shared" si="3"/>
        <v>-244</v>
      </c>
      <c r="E26" s="65"/>
      <c r="F26" s="30"/>
      <c r="G26" s="30"/>
      <c r="H26" s="30"/>
      <c r="I26" s="30"/>
      <c r="J26" s="65"/>
      <c r="K26" s="65"/>
      <c r="L26" s="30"/>
      <c r="M26" s="65"/>
      <c r="N26" s="65"/>
      <c r="O26" s="30"/>
      <c r="P26" s="65"/>
      <c r="Q26" s="65"/>
      <c r="R26" s="30"/>
      <c r="S26" s="65"/>
      <c r="T26" s="65"/>
      <c r="U26" s="30"/>
      <c r="V26" s="65"/>
      <c r="W26" s="65"/>
      <c r="X26" s="30"/>
      <c r="Y26" s="65"/>
      <c r="Z26" s="65"/>
      <c r="AA26" s="30"/>
      <c r="AB26" s="65"/>
      <c r="AC26" s="65"/>
      <c r="AD26" s="30"/>
      <c r="AE26" s="30"/>
      <c r="AF26" s="30"/>
      <c r="AG26" s="30"/>
      <c r="AH26" s="30"/>
      <c r="AI26" s="30"/>
      <c r="AJ26" s="30"/>
      <c r="AK26" s="30"/>
      <c r="AL26" s="30"/>
    </row>
    <row r="27" spans="1:38">
      <c r="A27" s="486" t="s">
        <v>636</v>
      </c>
      <c r="B27" s="33">
        <f t="shared" si="2"/>
        <v>-119806.99000000005</v>
      </c>
      <c r="C27" s="33">
        <f t="shared" si="3"/>
        <v>-245</v>
      </c>
      <c r="E27" s="65"/>
      <c r="F27" s="30"/>
      <c r="G27" s="30"/>
      <c r="H27" s="30"/>
      <c r="I27" s="30"/>
      <c r="J27" s="65"/>
      <c r="K27" s="65"/>
      <c r="L27" s="30"/>
      <c r="M27" s="65"/>
      <c r="N27" s="65"/>
      <c r="O27" s="30"/>
      <c r="P27" s="65"/>
      <c r="Q27" s="65"/>
      <c r="R27" s="30"/>
      <c r="S27" s="65"/>
      <c r="T27" s="65"/>
      <c r="U27" s="30"/>
      <c r="V27" s="65"/>
      <c r="W27" s="65"/>
      <c r="X27" s="30"/>
      <c r="Y27" s="65"/>
      <c r="Z27" s="65"/>
      <c r="AA27" s="30"/>
      <c r="AB27" s="65"/>
      <c r="AC27" s="65"/>
      <c r="AD27" s="30"/>
      <c r="AE27" s="30"/>
      <c r="AF27" s="30"/>
      <c r="AG27" s="30"/>
      <c r="AH27" s="30"/>
      <c r="AI27" s="30"/>
      <c r="AJ27" s="30"/>
      <c r="AK27" s="30"/>
      <c r="AL27" s="30"/>
    </row>
    <row r="28" spans="1:38">
      <c r="A28" s="486" t="s">
        <v>637</v>
      </c>
      <c r="B28" s="33">
        <f t="shared" si="2"/>
        <v>-120051.99000000005</v>
      </c>
      <c r="C28" s="33">
        <f t="shared" si="3"/>
        <v>-245</v>
      </c>
      <c r="E28" s="65"/>
      <c r="F28" s="30"/>
      <c r="G28" s="30"/>
      <c r="H28" s="30"/>
      <c r="I28" s="30"/>
      <c r="J28" s="65"/>
      <c r="K28" s="65"/>
      <c r="L28" s="30"/>
      <c r="M28" s="65"/>
      <c r="N28" s="65"/>
      <c r="O28" s="30"/>
      <c r="P28" s="65"/>
      <c r="Q28" s="65"/>
      <c r="R28" s="30"/>
      <c r="S28" s="65"/>
      <c r="T28" s="65"/>
      <c r="U28" s="30"/>
      <c r="V28" s="65"/>
      <c r="W28" s="65"/>
      <c r="X28" s="30"/>
      <c r="Y28" s="65"/>
      <c r="Z28" s="65"/>
      <c r="AA28" s="30"/>
      <c r="AB28" s="65"/>
      <c r="AC28" s="65"/>
      <c r="AD28" s="30"/>
      <c r="AE28" s="30"/>
      <c r="AF28" s="30"/>
      <c r="AG28" s="30"/>
      <c r="AH28" s="30"/>
      <c r="AI28" s="30"/>
      <c r="AJ28" s="30"/>
      <c r="AK28" s="30"/>
      <c r="AL28" s="30"/>
    </row>
    <row r="29" spans="1:38">
      <c r="A29" s="486" t="s">
        <v>638</v>
      </c>
      <c r="B29" s="33">
        <f t="shared" si="2"/>
        <v>-120296.99000000005</v>
      </c>
      <c r="C29" s="33">
        <f t="shared" si="3"/>
        <v>-246</v>
      </c>
      <c r="E29" s="65"/>
      <c r="F29" s="30"/>
      <c r="G29" s="30"/>
      <c r="H29" s="30"/>
      <c r="I29" s="30"/>
      <c r="J29" s="65"/>
      <c r="K29" s="65"/>
      <c r="L29" s="30"/>
      <c r="M29" s="65"/>
      <c r="N29" s="65"/>
      <c r="O29" s="30"/>
      <c r="P29" s="65"/>
      <c r="Q29" s="65"/>
      <c r="R29" s="30"/>
      <c r="S29" s="65"/>
      <c r="T29" s="65"/>
      <c r="U29" s="30"/>
      <c r="V29" s="65"/>
      <c r="W29" s="65"/>
      <c r="X29" s="30"/>
      <c r="Y29" s="65"/>
      <c r="Z29" s="65"/>
      <c r="AA29" s="30"/>
      <c r="AB29" s="65"/>
      <c r="AC29" s="65"/>
      <c r="AD29" s="30"/>
      <c r="AE29" s="30"/>
      <c r="AF29" s="30"/>
      <c r="AG29" s="30"/>
      <c r="AH29" s="30"/>
      <c r="AI29" s="30"/>
      <c r="AJ29" s="30"/>
      <c r="AK29" s="30"/>
      <c r="AL29" s="30"/>
    </row>
    <row r="30" spans="1:38">
      <c r="A30" s="486" t="s">
        <v>639</v>
      </c>
      <c r="B30" s="33">
        <f t="shared" si="2"/>
        <v>-120542.99000000005</v>
      </c>
      <c r="C30" s="33">
        <f t="shared" si="3"/>
        <v>-246</v>
      </c>
      <c r="E30" s="65"/>
      <c r="F30" s="30"/>
      <c r="G30" s="30"/>
      <c r="H30" s="30"/>
      <c r="I30" s="30"/>
      <c r="J30" s="65"/>
      <c r="K30" s="65"/>
      <c r="L30" s="30"/>
      <c r="M30" s="65"/>
      <c r="N30" s="65"/>
      <c r="O30" s="30"/>
      <c r="P30" s="65"/>
      <c r="Q30" s="65"/>
      <c r="R30" s="30"/>
      <c r="S30" s="65"/>
      <c r="T30" s="65"/>
      <c r="U30" s="30"/>
      <c r="V30" s="65"/>
      <c r="W30" s="65"/>
      <c r="X30" s="30"/>
      <c r="Y30" s="65"/>
      <c r="Z30" s="65"/>
      <c r="AA30" s="30"/>
      <c r="AB30" s="65"/>
      <c r="AC30" s="65"/>
      <c r="AD30" s="30"/>
      <c r="AE30" s="30"/>
      <c r="AF30" s="30"/>
      <c r="AG30" s="30"/>
      <c r="AH30" s="30"/>
      <c r="AI30" s="30"/>
      <c r="AJ30" s="30"/>
      <c r="AK30" s="30"/>
      <c r="AL30" s="30"/>
    </row>
    <row r="31" spans="1:38">
      <c r="A31" s="2" t="s">
        <v>104</v>
      </c>
      <c r="B31" s="34"/>
      <c r="C31" s="35">
        <f>SUM(C23:C30)</f>
        <v>-1956</v>
      </c>
      <c r="E31" s="66"/>
      <c r="F31" s="30"/>
      <c r="G31" s="30"/>
      <c r="H31" s="30"/>
      <c r="I31" s="30"/>
      <c r="J31" s="66"/>
      <c r="K31" s="66"/>
      <c r="L31" s="30"/>
      <c r="M31" s="66"/>
      <c r="N31" s="66"/>
      <c r="O31" s="30"/>
      <c r="P31" s="66"/>
      <c r="Q31" s="66"/>
      <c r="R31" s="30"/>
      <c r="S31" s="66"/>
      <c r="T31" s="66"/>
      <c r="U31" s="30"/>
      <c r="V31" s="66"/>
      <c r="W31" s="66"/>
      <c r="X31" s="30"/>
      <c r="Y31" s="66"/>
      <c r="Z31" s="66"/>
      <c r="AA31" s="30"/>
      <c r="AB31" s="66"/>
      <c r="AC31" s="66"/>
      <c r="AD31" s="30"/>
      <c r="AE31" s="30"/>
      <c r="AF31" s="30"/>
      <c r="AG31" s="30"/>
      <c r="AH31" s="30"/>
      <c r="AI31" s="30"/>
      <c r="AJ31" s="30"/>
      <c r="AK31" s="30"/>
      <c r="AL31" s="30"/>
    </row>
    <row r="32" spans="1:38">
      <c r="E32" s="66"/>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row>
    <row r="33" spans="1:38">
      <c r="A33" s="2" t="s">
        <v>183</v>
      </c>
      <c r="C33" s="538">
        <v>8.1754441205837153E-3</v>
      </c>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row>
    <row r="35" spans="1:38">
      <c r="A35" s="72" t="s">
        <v>695</v>
      </c>
    </row>
    <row r="37" spans="1:38">
      <c r="B37" s="34"/>
    </row>
    <row r="39" spans="1:38">
      <c r="C39" s="660" t="s">
        <v>700</v>
      </c>
    </row>
    <row r="40" spans="1:38">
      <c r="A40" s="659" t="s">
        <v>697</v>
      </c>
      <c r="C40" s="538">
        <v>6.999591032777544E-3</v>
      </c>
    </row>
    <row r="41" spans="1:38">
      <c r="A41" s="2" t="s">
        <v>525</v>
      </c>
      <c r="C41" s="538">
        <v>6.3576638666503048E-3</v>
      </c>
    </row>
    <row r="42" spans="1:38">
      <c r="A42" s="2" t="s">
        <v>616</v>
      </c>
      <c r="C42" s="538">
        <v>6.864793215877958E-3</v>
      </c>
    </row>
    <row r="43" spans="1:38">
      <c r="A43" s="2" t="s">
        <v>527</v>
      </c>
      <c r="C43" s="538">
        <v>6.1672978313344635E-3</v>
      </c>
    </row>
    <row r="44" spans="1:38">
      <c r="A44" s="2" t="s">
        <v>59</v>
      </c>
      <c r="C44" s="538">
        <v>6.2090939589732712E-3</v>
      </c>
    </row>
    <row r="45" spans="1:38">
      <c r="A45" s="2" t="s">
        <v>528</v>
      </c>
      <c r="C45" s="538">
        <v>6.4999999999999997E-3</v>
      </c>
    </row>
    <row r="46" spans="1:38">
      <c r="A46" s="2" t="s">
        <v>529</v>
      </c>
      <c r="C46" s="538">
        <v>6.2661333333333333E-3</v>
      </c>
    </row>
    <row r="47" spans="1:38">
      <c r="A47" s="2" t="s">
        <v>617</v>
      </c>
      <c r="C47" s="538">
        <v>6.2000000000000006E-3</v>
      </c>
    </row>
    <row r="48" spans="1:38">
      <c r="A48" s="2" t="s">
        <v>531</v>
      </c>
      <c r="C48" s="538">
        <v>6.0000000000000001E-3</v>
      </c>
    </row>
    <row r="49" spans="1:3">
      <c r="A49" s="2" t="s">
        <v>532</v>
      </c>
      <c r="C49" s="538">
        <v>6.4924333333333337E-3</v>
      </c>
    </row>
    <row r="50" spans="1:3">
      <c r="A50" s="2" t="s">
        <v>533</v>
      </c>
      <c r="C50" s="538">
        <v>6.6000636451000894E-3</v>
      </c>
    </row>
    <row r="51" spans="1:3">
      <c r="A51" s="2" t="s">
        <v>620</v>
      </c>
      <c r="C51" s="538">
        <v>8.7263446387682853E-3</v>
      </c>
    </row>
    <row r="52" spans="1:3">
      <c r="A52" s="659" t="s">
        <v>698</v>
      </c>
      <c r="C52" s="538">
        <v>9.3946966172749214E-3</v>
      </c>
    </row>
    <row r="53" spans="1:3">
      <c r="A53" s="2" t="s">
        <v>525</v>
      </c>
      <c r="C53" s="538">
        <v>8.4131971631266952E-3</v>
      </c>
    </row>
    <row r="54" spans="1:3">
      <c r="A54" s="2" t="s">
        <v>616</v>
      </c>
      <c r="C54" s="538">
        <v>9.9849222222077177E-3</v>
      </c>
    </row>
    <row r="55" spans="1:3">
      <c r="A55" s="2" t="s">
        <v>527</v>
      </c>
      <c r="C55" s="538">
        <v>1.1057261780105757E-2</v>
      </c>
    </row>
    <row r="56" spans="1:3">
      <c r="A56" s="2" t="s">
        <v>59</v>
      </c>
      <c r="C56" s="538">
        <v>1.1717826161902908E-2</v>
      </c>
    </row>
    <row r="57" spans="1:3">
      <c r="A57" s="2" t="s">
        <v>528</v>
      </c>
      <c r="C57" s="538">
        <v>1.2093898189634142E-2</v>
      </c>
    </row>
    <row r="58" spans="1:3">
      <c r="A58" s="2" t="s">
        <v>529</v>
      </c>
      <c r="C58" s="538">
        <v>1.3288221300689896E-2</v>
      </c>
    </row>
    <row r="59" spans="1:3">
      <c r="C59" s="661">
        <f>SUM(C40:C58)</f>
        <v>0.15533343829109059</v>
      </c>
    </row>
    <row r="60" spans="1:3">
      <c r="A60" s="486" t="s">
        <v>699</v>
      </c>
      <c r="C60" s="538">
        <f>C59/19</f>
        <v>8.1754441205837153E-3</v>
      </c>
    </row>
  </sheetData>
  <phoneticPr fontId="4" type="noConversion"/>
  <pageMargins left="0.5" right="0.25" top="1" bottom="0.5" header="0.5" footer="0.5"/>
  <pageSetup scale="9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5" tint="0.59999389629810485"/>
  </sheetPr>
  <dimension ref="A1:I151"/>
  <sheetViews>
    <sheetView showGridLines="0" topLeftCell="A65" zoomScaleNormal="100" workbookViewId="0">
      <selection activeCell="B83" sqref="B83"/>
    </sheetView>
  </sheetViews>
  <sheetFormatPr defaultRowHeight="15.75"/>
  <cols>
    <col min="1" max="1" width="31.25" style="2" customWidth="1"/>
    <col min="2" max="2" width="16" style="2" customWidth="1"/>
    <col min="3" max="3" width="12.625" style="2" customWidth="1"/>
    <col min="4" max="4" width="10.125" style="2" bestFit="1" customWidth="1"/>
    <col min="5" max="5" width="22.875" style="2" bestFit="1" customWidth="1"/>
    <col min="6" max="6" width="9" style="2"/>
    <col min="7" max="7" width="13.75" style="86" bestFit="1" customWidth="1"/>
    <col min="8" max="16384" width="9" style="2"/>
  </cols>
  <sheetData>
    <row r="1" spans="1:9">
      <c r="A1" s="39" t="s">
        <v>128</v>
      </c>
      <c r="D1" s="171" t="s">
        <v>189</v>
      </c>
    </row>
    <row r="2" spans="1:9">
      <c r="A2" s="39" t="s">
        <v>130</v>
      </c>
      <c r="B2" s="40"/>
      <c r="E2" s="78"/>
    </row>
    <row r="3" spans="1:9">
      <c r="A3" s="39" t="s">
        <v>667</v>
      </c>
      <c r="B3" s="41"/>
      <c r="E3" s="2" t="s">
        <v>281</v>
      </c>
      <c r="F3" s="163"/>
      <c r="H3" s="163"/>
      <c r="I3" s="163"/>
    </row>
    <row r="4" spans="1:9">
      <c r="A4" s="160" t="s">
        <v>22</v>
      </c>
      <c r="B4" s="501">
        <f t="shared" ref="B4" si="0">+B75</f>
        <v>2906083</v>
      </c>
      <c r="C4" s="86">
        <v>2906083</v>
      </c>
      <c r="D4" s="34">
        <f>C4-B4</f>
        <v>0</v>
      </c>
      <c r="E4" s="2" t="s">
        <v>235</v>
      </c>
      <c r="F4" s="163"/>
      <c r="H4" s="163"/>
      <c r="I4" s="163"/>
    </row>
    <row r="5" spans="1:9">
      <c r="A5" s="160" t="s">
        <v>28</v>
      </c>
      <c r="B5" s="552">
        <v>9888917</v>
      </c>
      <c r="C5" s="86">
        <v>9888917</v>
      </c>
      <c r="D5" s="34">
        <f t="shared" ref="D5:D39" si="1">C5-B5</f>
        <v>0</v>
      </c>
      <c r="E5" s="2" t="s">
        <v>236</v>
      </c>
      <c r="F5" s="163"/>
      <c r="H5" s="163"/>
      <c r="I5" s="163"/>
    </row>
    <row r="6" spans="1:9">
      <c r="A6" s="160" t="s">
        <v>24</v>
      </c>
      <c r="B6" s="502">
        <f>+B113</f>
        <v>6995394</v>
      </c>
      <c r="C6" s="86">
        <v>6995394</v>
      </c>
      <c r="D6" s="34">
        <f t="shared" si="1"/>
        <v>0</v>
      </c>
      <c r="E6" s="2" t="s">
        <v>237</v>
      </c>
      <c r="F6" s="163"/>
      <c r="H6" s="163"/>
      <c r="I6" s="163"/>
    </row>
    <row r="7" spans="1:9">
      <c r="A7" s="160" t="s">
        <v>25</v>
      </c>
      <c r="B7" s="552">
        <v>6317790</v>
      </c>
      <c r="C7" s="86">
        <v>6317790</v>
      </c>
      <c r="D7" s="34">
        <f t="shared" si="1"/>
        <v>0</v>
      </c>
      <c r="E7" s="2" t="s">
        <v>238</v>
      </c>
      <c r="F7" s="163"/>
      <c r="H7" s="163"/>
      <c r="I7" s="163"/>
    </row>
    <row r="8" spans="1:9">
      <c r="A8" s="160" t="s">
        <v>176</v>
      </c>
      <c r="B8" s="552">
        <v>1</v>
      </c>
      <c r="C8" s="86">
        <v>1</v>
      </c>
      <c r="D8" s="34">
        <f t="shared" si="1"/>
        <v>0</v>
      </c>
      <c r="E8" s="2" t="s">
        <v>239</v>
      </c>
      <c r="F8" s="163"/>
      <c r="H8" s="163"/>
      <c r="I8" s="163"/>
    </row>
    <row r="9" spans="1:9">
      <c r="A9" s="160" t="s">
        <v>190</v>
      </c>
      <c r="B9" s="552">
        <v>1</v>
      </c>
      <c r="C9" s="86">
        <v>1</v>
      </c>
      <c r="D9" s="34">
        <f t="shared" si="1"/>
        <v>0</v>
      </c>
      <c r="E9" s="2" t="s">
        <v>240</v>
      </c>
      <c r="F9" s="163"/>
      <c r="H9" s="163"/>
      <c r="I9" s="163"/>
    </row>
    <row r="10" spans="1:9">
      <c r="A10" s="160" t="s">
        <v>177</v>
      </c>
      <c r="B10" s="501">
        <f>B47</f>
        <v>6366433</v>
      </c>
      <c r="C10" s="86">
        <v>6366433</v>
      </c>
      <c r="D10" s="34">
        <f t="shared" si="1"/>
        <v>0</v>
      </c>
      <c r="E10" s="2" t="s">
        <v>241</v>
      </c>
      <c r="F10" s="163"/>
      <c r="H10" s="163"/>
      <c r="I10" s="163"/>
    </row>
    <row r="11" spans="1:9">
      <c r="A11" s="160" t="s">
        <v>23</v>
      </c>
      <c r="B11" s="552">
        <v>263417</v>
      </c>
      <c r="C11" s="86">
        <v>263417</v>
      </c>
      <c r="D11" s="34">
        <f t="shared" si="1"/>
        <v>0</v>
      </c>
      <c r="E11" s="2" t="s">
        <v>242</v>
      </c>
      <c r="F11" s="163"/>
      <c r="H11" s="163"/>
      <c r="I11" s="163"/>
    </row>
    <row r="12" spans="1:9">
      <c r="A12" s="160" t="s">
        <v>26</v>
      </c>
      <c r="B12" s="552">
        <v>289000</v>
      </c>
      <c r="C12" s="86">
        <v>289000</v>
      </c>
      <c r="D12" s="34">
        <f t="shared" si="1"/>
        <v>0</v>
      </c>
      <c r="E12" s="2" t="s">
        <v>243</v>
      </c>
      <c r="F12" s="163"/>
      <c r="H12" s="163"/>
      <c r="I12" s="163"/>
    </row>
    <row r="13" spans="1:9">
      <c r="A13" s="160" t="s">
        <v>32</v>
      </c>
      <c r="B13" s="497">
        <f t="shared" ref="B13" si="2">+B67</f>
        <v>1024066</v>
      </c>
      <c r="C13" s="86">
        <v>1024066</v>
      </c>
      <c r="D13" s="34">
        <f t="shared" si="1"/>
        <v>0</v>
      </c>
      <c r="E13" s="2" t="s">
        <v>244</v>
      </c>
      <c r="F13" s="163"/>
      <c r="H13" s="163"/>
      <c r="I13" s="163"/>
    </row>
    <row r="14" spans="1:9">
      <c r="A14" s="160" t="s">
        <v>16</v>
      </c>
      <c r="B14" s="552">
        <v>557960</v>
      </c>
      <c r="C14" s="86">
        <v>557960</v>
      </c>
      <c r="D14" s="34">
        <f t="shared" si="1"/>
        <v>0</v>
      </c>
      <c r="E14" s="2" t="s">
        <v>191</v>
      </c>
      <c r="F14" s="163"/>
      <c r="H14" s="163"/>
      <c r="I14" s="163"/>
    </row>
    <row r="15" spans="1:9">
      <c r="A15" s="160" t="s">
        <v>21</v>
      </c>
      <c r="B15" s="497">
        <f t="shared" ref="B15" si="3">+B60</f>
        <v>8517000</v>
      </c>
      <c r="C15" s="86">
        <v>8517000</v>
      </c>
      <c r="D15" s="34">
        <f t="shared" si="1"/>
        <v>0</v>
      </c>
      <c r="E15" s="2" t="s">
        <v>192</v>
      </c>
      <c r="F15" s="163"/>
      <c r="H15" s="163"/>
      <c r="I15" s="163"/>
    </row>
    <row r="16" spans="1:9">
      <c r="A16" s="160" t="s">
        <v>18</v>
      </c>
      <c r="B16" s="552">
        <v>2357583</v>
      </c>
      <c r="C16" s="86">
        <v>2357583</v>
      </c>
      <c r="D16" s="34">
        <f t="shared" si="1"/>
        <v>0</v>
      </c>
      <c r="E16" s="2" t="s">
        <v>193</v>
      </c>
      <c r="F16" s="163"/>
      <c r="H16" s="163"/>
      <c r="I16" s="163"/>
    </row>
    <row r="17" spans="1:9">
      <c r="A17" s="160" t="s">
        <v>69</v>
      </c>
      <c r="B17" s="503">
        <f>B121</f>
        <v>6726000</v>
      </c>
      <c r="C17" s="86">
        <v>6726000</v>
      </c>
      <c r="D17" s="34">
        <f t="shared" si="1"/>
        <v>0</v>
      </c>
      <c r="E17" s="2" t="s">
        <v>194</v>
      </c>
      <c r="F17" s="163"/>
      <c r="H17" s="163"/>
      <c r="I17" s="163"/>
    </row>
    <row r="18" spans="1:9">
      <c r="A18" s="160" t="s">
        <v>70</v>
      </c>
      <c r="B18" s="503">
        <f>+B57</f>
        <v>7155779</v>
      </c>
      <c r="C18" s="86">
        <v>7155779</v>
      </c>
      <c r="D18" s="34">
        <f t="shared" si="1"/>
        <v>0</v>
      </c>
      <c r="E18" s="2" t="s">
        <v>195</v>
      </c>
      <c r="F18" s="163"/>
      <c r="H18" s="163"/>
      <c r="I18" s="163"/>
    </row>
    <row r="19" spans="1:9">
      <c r="A19" s="160" t="s">
        <v>30</v>
      </c>
      <c r="B19" s="497">
        <f>B78</f>
        <v>1613993</v>
      </c>
      <c r="C19" s="86">
        <v>1613993</v>
      </c>
      <c r="D19" s="34">
        <f t="shared" si="1"/>
        <v>0</v>
      </c>
      <c r="E19" s="2" t="s">
        <v>196</v>
      </c>
      <c r="F19" s="163"/>
      <c r="H19" s="163"/>
      <c r="I19" s="163"/>
    </row>
    <row r="20" spans="1:9">
      <c r="A20" s="160" t="s">
        <v>34</v>
      </c>
      <c r="B20" s="552">
        <v>607426</v>
      </c>
      <c r="C20" s="86">
        <v>607426</v>
      </c>
      <c r="D20" s="34">
        <f t="shared" si="1"/>
        <v>0</v>
      </c>
      <c r="E20" s="2" t="s">
        <v>197</v>
      </c>
      <c r="F20" s="163"/>
      <c r="H20" s="163"/>
      <c r="I20" s="163"/>
    </row>
    <row r="21" spans="1:9">
      <c r="A21" s="160" t="s">
        <v>29</v>
      </c>
      <c r="B21" s="497">
        <f t="shared" ref="B21" si="4">+B96</f>
        <v>7814323</v>
      </c>
      <c r="C21" s="86">
        <v>7814323</v>
      </c>
      <c r="D21" s="34">
        <f t="shared" si="1"/>
        <v>0</v>
      </c>
      <c r="E21" s="2" t="s">
        <v>198</v>
      </c>
      <c r="F21" s="163"/>
      <c r="H21" s="163"/>
      <c r="I21" s="163"/>
    </row>
    <row r="22" spans="1:9">
      <c r="A22" s="160" t="s">
        <v>19</v>
      </c>
      <c r="B22" s="552">
        <v>2912833</v>
      </c>
      <c r="C22" s="86">
        <v>2912833</v>
      </c>
      <c r="D22" s="34">
        <f t="shared" si="1"/>
        <v>0</v>
      </c>
      <c r="E22" s="2" t="s">
        <v>199</v>
      </c>
      <c r="F22" s="163"/>
      <c r="H22" s="163"/>
      <c r="I22" s="163"/>
    </row>
    <row r="23" spans="1:9">
      <c r="A23" s="160" t="s">
        <v>33</v>
      </c>
      <c r="B23" s="497">
        <f>+B85</f>
        <v>1363463</v>
      </c>
      <c r="C23" s="86">
        <v>1363463</v>
      </c>
      <c r="D23" s="34">
        <f t="shared" si="1"/>
        <v>0</v>
      </c>
      <c r="E23" s="2" t="s">
        <v>200</v>
      </c>
      <c r="F23" s="163"/>
      <c r="H23" s="163"/>
      <c r="I23" s="163"/>
    </row>
    <row r="24" spans="1:9">
      <c r="A24" s="160" t="s">
        <v>27</v>
      </c>
      <c r="B24" s="552">
        <v>462083</v>
      </c>
      <c r="C24" s="86">
        <v>462083</v>
      </c>
      <c r="D24" s="34">
        <f t="shared" si="1"/>
        <v>0</v>
      </c>
      <c r="E24" s="2" t="s">
        <v>201</v>
      </c>
      <c r="F24" s="163"/>
      <c r="H24" s="163"/>
      <c r="I24" s="163"/>
    </row>
    <row r="25" spans="1:9">
      <c r="A25" s="160" t="s">
        <v>31</v>
      </c>
      <c r="B25" s="503">
        <f>+B117</f>
        <v>261807</v>
      </c>
      <c r="C25" s="86">
        <v>261807</v>
      </c>
      <c r="D25" s="34">
        <f t="shared" si="1"/>
        <v>0</v>
      </c>
      <c r="E25" s="2" t="s">
        <v>202</v>
      </c>
      <c r="F25" s="163"/>
      <c r="H25" s="163"/>
      <c r="I25" s="163"/>
    </row>
    <row r="26" spans="1:9">
      <c r="A26" s="160" t="s">
        <v>178</v>
      </c>
      <c r="B26" s="552">
        <v>1012333</v>
      </c>
      <c r="C26" s="86">
        <v>1012333</v>
      </c>
      <c r="D26" s="34">
        <f t="shared" si="1"/>
        <v>0</v>
      </c>
      <c r="E26" s="2" t="s">
        <v>203</v>
      </c>
      <c r="F26" s="163"/>
      <c r="H26" s="163"/>
      <c r="I26" s="163"/>
    </row>
    <row r="27" spans="1:9">
      <c r="A27" s="160" t="s">
        <v>110</v>
      </c>
      <c r="B27" s="502">
        <f>+B106</f>
        <v>4201111</v>
      </c>
      <c r="C27" s="86">
        <v>4201111</v>
      </c>
      <c r="D27" s="34">
        <f t="shared" si="1"/>
        <v>0</v>
      </c>
      <c r="E27" s="2" t="s">
        <v>204</v>
      </c>
      <c r="F27" s="163"/>
      <c r="H27" s="163"/>
      <c r="I27" s="163"/>
    </row>
    <row r="28" spans="1:9">
      <c r="A28" s="160" t="s">
        <v>111</v>
      </c>
      <c r="B28" s="552">
        <v>120869</v>
      </c>
      <c r="C28" s="86">
        <v>120869</v>
      </c>
      <c r="D28" s="34">
        <f t="shared" si="1"/>
        <v>0</v>
      </c>
      <c r="E28" s="2" t="s">
        <v>205</v>
      </c>
      <c r="F28" s="163"/>
      <c r="H28" s="163"/>
      <c r="I28" s="163"/>
    </row>
    <row r="29" spans="1:9">
      <c r="A29" s="160" t="s">
        <v>118</v>
      </c>
      <c r="B29" s="503">
        <f>+B109</f>
        <v>802225</v>
      </c>
      <c r="C29" s="86">
        <v>802225</v>
      </c>
      <c r="D29" s="34">
        <f t="shared" si="1"/>
        <v>0</v>
      </c>
      <c r="E29" s="2" t="s">
        <v>206</v>
      </c>
      <c r="F29" s="163"/>
      <c r="H29" s="163"/>
      <c r="I29" s="163"/>
    </row>
    <row r="30" spans="1:9">
      <c r="A30" s="160" t="s">
        <v>119</v>
      </c>
      <c r="B30" s="552">
        <v>1187875</v>
      </c>
      <c r="C30" s="86">
        <v>1187875</v>
      </c>
      <c r="D30" s="34">
        <f t="shared" si="1"/>
        <v>0</v>
      </c>
      <c r="E30" s="2" t="s">
        <v>207</v>
      </c>
      <c r="F30" s="163"/>
      <c r="H30" s="163"/>
      <c r="I30" s="163"/>
    </row>
    <row r="31" spans="1:9">
      <c r="A31" s="504" t="s">
        <v>260</v>
      </c>
      <c r="B31" s="503">
        <f>B127</f>
        <v>5460500</v>
      </c>
      <c r="C31" s="86">
        <v>5460500</v>
      </c>
      <c r="D31" s="34">
        <f t="shared" si="1"/>
        <v>0</v>
      </c>
      <c r="E31" s="486" t="s">
        <v>576</v>
      </c>
      <c r="F31" s="163"/>
      <c r="H31" s="163"/>
      <c r="I31" s="163"/>
    </row>
    <row r="32" spans="1:9">
      <c r="A32" s="504" t="s">
        <v>262</v>
      </c>
      <c r="B32" s="503">
        <f>B131</f>
        <v>11049315</v>
      </c>
      <c r="C32" s="86">
        <v>11049315</v>
      </c>
      <c r="D32" s="34">
        <f t="shared" si="1"/>
        <v>0</v>
      </c>
      <c r="E32" s="486" t="s">
        <v>577</v>
      </c>
      <c r="F32" s="163"/>
      <c r="H32" s="163"/>
      <c r="I32" s="163"/>
    </row>
    <row r="33" spans="1:9">
      <c r="A33" s="504" t="s">
        <v>266</v>
      </c>
      <c r="B33" s="503">
        <f>B134</f>
        <v>3136167</v>
      </c>
      <c r="C33" s="86">
        <v>3136167</v>
      </c>
      <c r="D33" s="34">
        <f t="shared" si="1"/>
        <v>0</v>
      </c>
      <c r="E33" s="486" t="s">
        <v>578</v>
      </c>
      <c r="F33" s="163"/>
      <c r="H33" s="163"/>
      <c r="I33" s="163"/>
    </row>
    <row r="34" spans="1:9">
      <c r="A34" s="504" t="s">
        <v>268</v>
      </c>
      <c r="B34" s="503">
        <f>B140</f>
        <v>3336417</v>
      </c>
      <c r="C34" s="86">
        <v>3336417</v>
      </c>
      <c r="D34" s="34">
        <f t="shared" si="1"/>
        <v>0</v>
      </c>
      <c r="E34" s="486" t="s">
        <v>579</v>
      </c>
      <c r="F34" s="163"/>
      <c r="H34" s="163"/>
      <c r="I34" s="163"/>
    </row>
    <row r="35" spans="1:9">
      <c r="A35" s="504" t="s">
        <v>263</v>
      </c>
      <c r="B35" s="503">
        <f>B143</f>
        <v>1624749</v>
      </c>
      <c r="C35" s="86">
        <v>1624749</v>
      </c>
      <c r="D35" s="34">
        <f t="shared" si="1"/>
        <v>0</v>
      </c>
      <c r="E35" s="486" t="s">
        <v>580</v>
      </c>
      <c r="F35" s="163"/>
      <c r="H35" s="163"/>
      <c r="I35" s="163"/>
    </row>
    <row r="36" spans="1:9">
      <c r="A36" s="504" t="s">
        <v>267</v>
      </c>
      <c r="B36" s="552">
        <v>689834</v>
      </c>
      <c r="C36" s="86">
        <v>689834</v>
      </c>
      <c r="D36" s="34">
        <f t="shared" si="1"/>
        <v>0</v>
      </c>
      <c r="E36" s="486" t="s">
        <v>581</v>
      </c>
      <c r="F36" s="163"/>
      <c r="H36" s="163"/>
      <c r="I36" s="163"/>
    </row>
    <row r="37" spans="1:9" s="163" customFormat="1">
      <c r="A37" s="504" t="s">
        <v>273</v>
      </c>
      <c r="B37" s="552">
        <v>367750</v>
      </c>
      <c r="C37" s="86">
        <v>367750</v>
      </c>
      <c r="D37" s="34">
        <f t="shared" si="1"/>
        <v>0</v>
      </c>
      <c r="E37" s="486" t="s">
        <v>582</v>
      </c>
      <c r="G37" s="86"/>
    </row>
    <row r="38" spans="1:9">
      <c r="A38" s="504" t="s">
        <v>605</v>
      </c>
      <c r="B38" s="542">
        <v>966101</v>
      </c>
      <c r="C38" s="86">
        <v>966101</v>
      </c>
      <c r="D38" s="34">
        <f t="shared" si="1"/>
        <v>0</v>
      </c>
      <c r="E38" s="486" t="s">
        <v>607</v>
      </c>
      <c r="F38" s="163"/>
      <c r="H38" s="163"/>
      <c r="I38" s="163"/>
    </row>
    <row r="39" spans="1:9" ht="16.5" thickBot="1">
      <c r="A39" s="158" t="s">
        <v>71</v>
      </c>
      <c r="B39" s="161">
        <f>SUM(B4:B38)-B18-B8-B9</f>
        <v>101200817</v>
      </c>
      <c r="C39" s="86">
        <v>101200817</v>
      </c>
      <c r="D39" s="34">
        <f t="shared" si="1"/>
        <v>0</v>
      </c>
      <c r="F39" s="163"/>
      <c r="H39" s="163"/>
      <c r="I39" s="163"/>
    </row>
    <row r="40" spans="1:9" ht="16.5" thickTop="1">
      <c r="A40" s="162"/>
      <c r="B40" s="162"/>
      <c r="F40" s="163"/>
      <c r="H40" s="163"/>
      <c r="I40" s="163"/>
    </row>
    <row r="41" spans="1:9" s="163" customFormat="1">
      <c r="A41" s="162"/>
      <c r="B41" s="162"/>
      <c r="G41" s="86"/>
    </row>
    <row r="42" spans="1:9" s="163" customFormat="1">
      <c r="A42" s="162"/>
      <c r="B42" s="162"/>
      <c r="G42" s="86"/>
    </row>
    <row r="43" spans="1:9">
      <c r="A43" s="162"/>
      <c r="B43" s="162"/>
      <c r="F43" s="163"/>
      <c r="H43" s="163"/>
      <c r="I43" s="163"/>
    </row>
    <row r="44" spans="1:9">
      <c r="A44" s="198" t="s">
        <v>68</v>
      </c>
      <c r="B44" s="552">
        <v>5369583</v>
      </c>
      <c r="C44" s="185"/>
      <c r="F44" s="163"/>
      <c r="H44" s="163"/>
      <c r="I44" s="163"/>
    </row>
    <row r="45" spans="1:9">
      <c r="A45" s="199" t="s">
        <v>72</v>
      </c>
      <c r="B45" s="552">
        <v>507250</v>
      </c>
      <c r="C45" s="186"/>
      <c r="F45" s="163"/>
      <c r="H45" s="163"/>
      <c r="I45" s="163"/>
    </row>
    <row r="46" spans="1:9">
      <c r="A46" s="199" t="s">
        <v>73</v>
      </c>
      <c r="B46" s="553">
        <v>489600</v>
      </c>
      <c r="C46" s="186"/>
      <c r="F46" s="163"/>
      <c r="H46" s="163"/>
      <c r="I46" s="163"/>
    </row>
    <row r="47" spans="1:9">
      <c r="A47" s="44" t="s">
        <v>74</v>
      </c>
      <c r="B47" s="495">
        <f t="shared" ref="B47" si="5">SUM(B44:B46)</f>
        <v>6366433</v>
      </c>
      <c r="C47" s="186"/>
      <c r="F47" s="163"/>
      <c r="H47" s="163"/>
      <c r="I47" s="163"/>
    </row>
    <row r="48" spans="1:9">
      <c r="A48" s="45" t="s">
        <v>20</v>
      </c>
      <c r="B48" s="552">
        <v>0</v>
      </c>
      <c r="C48" s="186"/>
      <c r="F48" s="163"/>
      <c r="H48" s="163"/>
      <c r="I48" s="163"/>
    </row>
    <row r="49" spans="1:9">
      <c r="A49" s="46" t="s">
        <v>75</v>
      </c>
      <c r="B49" s="554"/>
      <c r="C49" s="186"/>
      <c r="F49" s="163"/>
      <c r="H49" s="163"/>
      <c r="I49" s="163"/>
    </row>
    <row r="50" spans="1:9">
      <c r="A50" s="47" t="s">
        <v>76</v>
      </c>
      <c r="B50" s="495">
        <f>B121</f>
        <v>6726000</v>
      </c>
      <c r="C50" s="186"/>
      <c r="F50" s="163"/>
      <c r="H50" s="163"/>
      <c r="I50" s="163"/>
    </row>
    <row r="51" spans="1:9">
      <c r="A51" s="48" t="s">
        <v>77</v>
      </c>
      <c r="B51" s="555">
        <v>0</v>
      </c>
      <c r="C51" s="186"/>
      <c r="F51" s="163"/>
      <c r="H51" s="163"/>
      <c r="I51" s="163"/>
    </row>
    <row r="52" spans="1:9">
      <c r="A52" s="48" t="s">
        <v>78</v>
      </c>
      <c r="B52" s="555">
        <v>0</v>
      </c>
      <c r="C52" s="186"/>
      <c r="F52" s="163"/>
      <c r="H52" s="163"/>
      <c r="I52" s="163"/>
    </row>
    <row r="53" spans="1:9">
      <c r="A53" s="48" t="s">
        <v>79</v>
      </c>
      <c r="B53" s="555">
        <v>0</v>
      </c>
      <c r="C53" s="186"/>
      <c r="F53" s="163"/>
      <c r="H53" s="163"/>
      <c r="I53" s="163"/>
    </row>
    <row r="54" spans="1:9">
      <c r="A54" s="48" t="s">
        <v>80</v>
      </c>
      <c r="B54" s="555">
        <v>0</v>
      </c>
      <c r="C54" s="186"/>
      <c r="F54" s="163"/>
      <c r="H54" s="163"/>
      <c r="I54" s="163"/>
    </row>
    <row r="55" spans="1:9">
      <c r="A55" s="48" t="s">
        <v>81</v>
      </c>
      <c r="B55" s="555">
        <v>0</v>
      </c>
      <c r="C55" s="186"/>
      <c r="F55" s="163"/>
      <c r="H55" s="163"/>
      <c r="I55" s="163"/>
    </row>
    <row r="56" spans="1:9">
      <c r="A56" s="48" t="s">
        <v>82</v>
      </c>
      <c r="B56" s="555">
        <v>0</v>
      </c>
      <c r="C56" s="188"/>
      <c r="F56" s="163"/>
      <c r="H56" s="163"/>
      <c r="I56" s="163"/>
    </row>
    <row r="57" spans="1:9">
      <c r="A57" s="49" t="s">
        <v>83</v>
      </c>
      <c r="B57" s="498">
        <f>B124</f>
        <v>7155779</v>
      </c>
      <c r="C57" s="188"/>
      <c r="F57" s="163"/>
      <c r="H57" s="163"/>
      <c r="I57" s="163"/>
    </row>
    <row r="58" spans="1:9">
      <c r="A58" s="200" t="s">
        <v>84</v>
      </c>
      <c r="B58" s="552">
        <v>8517000</v>
      </c>
      <c r="C58" s="188"/>
      <c r="F58" s="163"/>
      <c r="H58" s="163"/>
      <c r="I58" s="163"/>
    </row>
    <row r="59" spans="1:9">
      <c r="A59" s="46" t="s">
        <v>77</v>
      </c>
      <c r="B59" s="556">
        <v>0</v>
      </c>
      <c r="C59" s="188"/>
      <c r="F59" s="163"/>
      <c r="H59" s="163"/>
      <c r="I59" s="163"/>
    </row>
    <row r="60" spans="1:9">
      <c r="A60" s="49" t="s">
        <v>21</v>
      </c>
      <c r="B60" s="498">
        <f t="shared" ref="B60" si="6">SUM(B58:B59)</f>
        <v>8517000</v>
      </c>
      <c r="C60" s="188"/>
      <c r="F60" s="163"/>
      <c r="H60" s="163"/>
      <c r="I60" s="163"/>
    </row>
    <row r="61" spans="1:9">
      <c r="A61" s="200" t="s">
        <v>85</v>
      </c>
      <c r="B61" s="552">
        <v>838318</v>
      </c>
      <c r="C61" s="188"/>
    </row>
    <row r="62" spans="1:9">
      <c r="A62" s="201" t="s">
        <v>31</v>
      </c>
      <c r="B62" s="552">
        <v>43800</v>
      </c>
      <c r="C62" s="188"/>
    </row>
    <row r="63" spans="1:9">
      <c r="A63" s="46" t="s">
        <v>86</v>
      </c>
      <c r="B63" s="552">
        <v>0</v>
      </c>
      <c r="C63" s="188"/>
    </row>
    <row r="64" spans="1:9" s="163" customFormat="1">
      <c r="A64" s="522" t="s">
        <v>594</v>
      </c>
      <c r="B64" s="552">
        <v>37123</v>
      </c>
      <c r="C64" s="188"/>
      <c r="G64" s="86"/>
    </row>
    <row r="65" spans="1:5">
      <c r="A65" s="201" t="s">
        <v>179</v>
      </c>
      <c r="B65" s="552">
        <v>46075</v>
      </c>
      <c r="C65" s="188"/>
    </row>
    <row r="66" spans="1:5">
      <c r="A66" s="202" t="s">
        <v>87</v>
      </c>
      <c r="B66" s="553">
        <v>58750</v>
      </c>
      <c r="C66" s="188"/>
    </row>
    <row r="67" spans="1:5">
      <c r="A67" s="49" t="s">
        <v>32</v>
      </c>
      <c r="B67" s="498">
        <f>SUM(B61:B66)</f>
        <v>1024066</v>
      </c>
      <c r="C67" s="188"/>
      <c r="E67" s="163"/>
    </row>
    <row r="68" spans="1:5">
      <c r="A68" s="202" t="s">
        <v>88</v>
      </c>
      <c r="B68" s="552">
        <f>2906083-B69-B70-B71-B72-B73-B74</f>
        <v>2738038</v>
      </c>
      <c r="C68" s="188"/>
      <c r="E68" s="163"/>
    </row>
    <row r="69" spans="1:5">
      <c r="A69" s="201" t="s">
        <v>31</v>
      </c>
      <c r="B69" s="552">
        <v>29600</v>
      </c>
      <c r="C69" s="188"/>
      <c r="E69" s="163"/>
    </row>
    <row r="70" spans="1:5">
      <c r="A70" s="201" t="s">
        <v>105</v>
      </c>
      <c r="B70" s="552">
        <v>5629</v>
      </c>
      <c r="C70" s="188"/>
    </row>
    <row r="71" spans="1:5">
      <c r="A71" s="203" t="s">
        <v>89</v>
      </c>
      <c r="B71" s="552">
        <v>3287</v>
      </c>
      <c r="C71" s="188"/>
    </row>
    <row r="72" spans="1:5">
      <c r="A72" s="201" t="s">
        <v>90</v>
      </c>
      <c r="B72" s="552">
        <v>10606</v>
      </c>
      <c r="C72" s="188"/>
    </row>
    <row r="73" spans="1:5">
      <c r="A73" s="204" t="s">
        <v>32</v>
      </c>
      <c r="B73" s="552">
        <v>118923</v>
      </c>
      <c r="C73" s="188"/>
    </row>
    <row r="74" spans="1:5">
      <c r="A74" s="205" t="s">
        <v>254</v>
      </c>
      <c r="B74" s="552">
        <v>0</v>
      </c>
      <c r="C74" s="188"/>
    </row>
    <row r="75" spans="1:5">
      <c r="A75" s="49" t="s">
        <v>22</v>
      </c>
      <c r="B75" s="498">
        <f>SUM(B68:B74)</f>
        <v>2906083</v>
      </c>
      <c r="C75" s="188"/>
    </row>
    <row r="76" spans="1:5">
      <c r="A76" s="206" t="s">
        <v>91</v>
      </c>
      <c r="B76" s="552">
        <v>1427000</v>
      </c>
      <c r="C76" s="188"/>
    </row>
    <row r="77" spans="1:5">
      <c r="A77" s="207" t="s">
        <v>32</v>
      </c>
      <c r="B77" s="553">
        <v>186993</v>
      </c>
      <c r="C77" s="188"/>
      <c r="D77" s="34"/>
    </row>
    <row r="78" spans="1:5">
      <c r="A78" s="172" t="s">
        <v>30</v>
      </c>
      <c r="B78" s="498">
        <f t="shared" ref="B78" si="7">SUM(B76:B77)</f>
        <v>1613993</v>
      </c>
      <c r="C78" s="188"/>
    </row>
    <row r="79" spans="1:5">
      <c r="A79" s="208" t="s">
        <v>92</v>
      </c>
      <c r="B79" s="494">
        <v>1027064</v>
      </c>
      <c r="C79" s="188"/>
    </row>
    <row r="80" spans="1:5">
      <c r="A80" s="209" t="s">
        <v>120</v>
      </c>
      <c r="B80" s="494">
        <v>103559</v>
      </c>
      <c r="C80" s="188"/>
      <c r="E80" s="163"/>
    </row>
    <row r="81" spans="1:7">
      <c r="A81" s="209" t="s">
        <v>255</v>
      </c>
      <c r="B81" s="496">
        <v>0</v>
      </c>
      <c r="C81" s="188"/>
      <c r="E81" s="163"/>
    </row>
    <row r="82" spans="1:7">
      <c r="A82" s="209" t="s">
        <v>256</v>
      </c>
      <c r="B82" s="496">
        <v>0</v>
      </c>
      <c r="C82" s="188"/>
      <c r="E82" s="163"/>
    </row>
    <row r="83" spans="1:7" s="163" customFormat="1">
      <c r="A83" s="209" t="s">
        <v>609</v>
      </c>
      <c r="B83" s="643">
        <f>75506*0+89940</f>
        <v>89940</v>
      </c>
      <c r="C83" s="188"/>
      <c r="G83" s="86"/>
    </row>
    <row r="84" spans="1:7">
      <c r="A84" s="209" t="s">
        <v>32</v>
      </c>
      <c r="B84" s="499">
        <v>142900</v>
      </c>
      <c r="C84" s="188"/>
      <c r="E84" s="163"/>
    </row>
    <row r="85" spans="1:7">
      <c r="A85" s="172" t="s">
        <v>33</v>
      </c>
      <c r="B85" s="498">
        <f>SUM(B79:B84)</f>
        <v>1363463</v>
      </c>
      <c r="C85" s="188"/>
      <c r="D85" s="34"/>
      <c r="E85" s="163"/>
    </row>
    <row r="86" spans="1:7">
      <c r="A86" s="208" t="s">
        <v>87</v>
      </c>
      <c r="B86" s="552">
        <f>7240583-58750-6840-8783-9922-12195-292333</f>
        <v>6851760</v>
      </c>
      <c r="C86" s="188"/>
      <c r="E86" s="163"/>
    </row>
    <row r="87" spans="1:7">
      <c r="A87" s="203" t="s">
        <v>31</v>
      </c>
      <c r="B87" s="552">
        <v>129200</v>
      </c>
      <c r="C87" s="188"/>
      <c r="E87" s="163"/>
    </row>
    <row r="88" spans="1:7">
      <c r="A88" s="203" t="s">
        <v>121</v>
      </c>
      <c r="B88" s="552">
        <v>6840</v>
      </c>
      <c r="C88" s="188"/>
      <c r="E88" s="163"/>
    </row>
    <row r="89" spans="1:7">
      <c r="A89" s="203" t="s">
        <v>257</v>
      </c>
      <c r="B89" s="552">
        <v>0</v>
      </c>
      <c r="C89" s="188"/>
      <c r="E89" s="163"/>
    </row>
    <row r="90" spans="1:7">
      <c r="A90" s="203" t="s">
        <v>93</v>
      </c>
      <c r="B90" s="552">
        <v>8783</v>
      </c>
      <c r="C90" s="188"/>
      <c r="E90" s="163"/>
    </row>
    <row r="91" spans="1:7">
      <c r="A91" s="203" t="s">
        <v>94</v>
      </c>
      <c r="B91" s="552">
        <v>9922</v>
      </c>
      <c r="C91" s="188"/>
      <c r="E91" s="163"/>
    </row>
    <row r="92" spans="1:7">
      <c r="A92" s="490" t="s">
        <v>553</v>
      </c>
      <c r="B92" s="552">
        <v>12195</v>
      </c>
      <c r="C92" s="188"/>
      <c r="E92" s="163"/>
    </row>
    <row r="93" spans="1:7" s="163" customFormat="1">
      <c r="A93" s="490" t="s">
        <v>593</v>
      </c>
      <c r="B93" s="552">
        <v>76308</v>
      </c>
      <c r="C93" s="188"/>
      <c r="G93" s="86"/>
    </row>
    <row r="94" spans="1:7" s="163" customFormat="1">
      <c r="A94" s="203" t="s">
        <v>258</v>
      </c>
      <c r="B94" s="552">
        <v>0</v>
      </c>
      <c r="C94" s="188"/>
      <c r="G94" s="86"/>
    </row>
    <row r="95" spans="1:7">
      <c r="A95" s="209" t="s">
        <v>32</v>
      </c>
      <c r="B95" s="552">
        <v>719315</v>
      </c>
      <c r="C95" s="188"/>
      <c r="E95" s="163"/>
    </row>
    <row r="96" spans="1:7">
      <c r="A96" s="172" t="s">
        <v>29</v>
      </c>
      <c r="B96" s="498">
        <f>SUM(B86:B95)</f>
        <v>7814323</v>
      </c>
      <c r="C96" s="188"/>
      <c r="E96" s="163"/>
    </row>
    <row r="97" spans="1:7">
      <c r="A97" s="208" t="s">
        <v>110</v>
      </c>
      <c r="B97" s="552">
        <v>3953108</v>
      </c>
      <c r="C97" s="188"/>
      <c r="E97" s="163"/>
    </row>
    <row r="98" spans="1:7">
      <c r="A98" s="203" t="s">
        <v>122</v>
      </c>
      <c r="B98" s="552">
        <v>81672</v>
      </c>
      <c r="C98" s="188"/>
      <c r="E98" s="163"/>
    </row>
    <row r="99" spans="1:7" s="163" customFormat="1">
      <c r="A99" s="490" t="s">
        <v>554</v>
      </c>
      <c r="B99" s="552">
        <v>104673</v>
      </c>
      <c r="C99" s="188"/>
      <c r="G99" s="86"/>
    </row>
    <row r="100" spans="1:7">
      <c r="A100" s="203" t="s">
        <v>123</v>
      </c>
      <c r="B100" s="552">
        <v>19118</v>
      </c>
      <c r="C100" s="188"/>
      <c r="E100" s="163"/>
    </row>
    <row r="101" spans="1:7">
      <c r="A101" s="203" t="s">
        <v>124</v>
      </c>
      <c r="B101" s="552">
        <v>0</v>
      </c>
      <c r="C101" s="188"/>
      <c r="E101" s="163"/>
    </row>
    <row r="102" spans="1:7">
      <c r="A102" s="203" t="s">
        <v>125</v>
      </c>
      <c r="B102" s="552">
        <v>7294</v>
      </c>
      <c r="C102" s="188"/>
      <c r="E102" s="163"/>
    </row>
    <row r="103" spans="1:7">
      <c r="A103" s="203" t="s">
        <v>126</v>
      </c>
      <c r="B103" s="552">
        <v>30851</v>
      </c>
      <c r="C103" s="188"/>
      <c r="E103" s="163"/>
    </row>
    <row r="104" spans="1:7">
      <c r="A104" s="203" t="s">
        <v>127</v>
      </c>
      <c r="B104" s="552">
        <v>4395</v>
      </c>
      <c r="C104" s="188"/>
      <c r="E104" s="163"/>
    </row>
    <row r="105" spans="1:7">
      <c r="A105" s="203" t="s">
        <v>105</v>
      </c>
      <c r="B105" s="552">
        <v>0</v>
      </c>
      <c r="C105" s="188"/>
      <c r="E105" s="163"/>
    </row>
    <row r="106" spans="1:7">
      <c r="A106" s="172" t="s">
        <v>110</v>
      </c>
      <c r="B106" s="498">
        <f>SUM(B97:B105)</f>
        <v>4201111</v>
      </c>
      <c r="C106" s="188"/>
      <c r="E106" s="163"/>
    </row>
    <row r="107" spans="1:7">
      <c r="A107" s="203" t="s">
        <v>118</v>
      </c>
      <c r="B107" s="552">
        <f>802225-B108</f>
        <v>780154</v>
      </c>
      <c r="C107" s="188"/>
      <c r="E107" s="163"/>
    </row>
    <row r="108" spans="1:7">
      <c r="A108" s="203" t="s">
        <v>121</v>
      </c>
      <c r="B108" s="552">
        <v>22071</v>
      </c>
      <c r="C108" s="188"/>
      <c r="E108" s="163"/>
    </row>
    <row r="109" spans="1:7">
      <c r="A109" s="172" t="s">
        <v>118</v>
      </c>
      <c r="B109" s="498">
        <f>SUM(B107:B108)</f>
        <v>802225</v>
      </c>
      <c r="C109" s="188"/>
      <c r="E109" s="163"/>
    </row>
    <row r="110" spans="1:7">
      <c r="A110" s="209" t="s">
        <v>24</v>
      </c>
      <c r="B110" s="556">
        <v>6995394</v>
      </c>
      <c r="C110" s="188"/>
      <c r="E110" s="163"/>
    </row>
    <row r="111" spans="1:7">
      <c r="A111" s="209" t="s">
        <v>186</v>
      </c>
      <c r="B111" s="556">
        <v>0</v>
      </c>
      <c r="C111" s="188"/>
      <c r="E111" s="163"/>
    </row>
    <row r="112" spans="1:7">
      <c r="A112" s="209" t="s">
        <v>259</v>
      </c>
      <c r="B112" s="553">
        <v>0</v>
      </c>
      <c r="C112" s="188"/>
      <c r="E112" s="163"/>
    </row>
    <row r="113" spans="1:7">
      <c r="A113" s="172" t="s">
        <v>24</v>
      </c>
      <c r="B113" s="495">
        <f>SUM(B110:B112)</f>
        <v>6995394</v>
      </c>
      <c r="C113" s="188"/>
      <c r="E113" s="163"/>
    </row>
    <row r="114" spans="1:7">
      <c r="A114" s="203" t="s">
        <v>31</v>
      </c>
      <c r="B114" s="552">
        <v>58800</v>
      </c>
      <c r="C114" s="188"/>
    </row>
    <row r="115" spans="1:7" s="163" customFormat="1">
      <c r="A115" s="490" t="s">
        <v>32</v>
      </c>
      <c r="B115" s="557">
        <v>3308</v>
      </c>
      <c r="C115" s="188"/>
      <c r="G115" s="86"/>
    </row>
    <row r="116" spans="1:7">
      <c r="A116" s="490" t="s">
        <v>555</v>
      </c>
      <c r="B116" s="553">
        <v>199699</v>
      </c>
      <c r="C116" s="188"/>
    </row>
    <row r="117" spans="1:7">
      <c r="A117" s="172" t="s">
        <v>31</v>
      </c>
      <c r="B117" s="495">
        <f>SUM(B114:B116)</f>
        <v>261807</v>
      </c>
      <c r="C117" s="188"/>
    </row>
    <row r="118" spans="1:7">
      <c r="A118" s="173"/>
      <c r="B118" s="500"/>
      <c r="C118" s="188"/>
    </row>
    <row r="119" spans="1:7">
      <c r="A119" s="209" t="s">
        <v>20</v>
      </c>
      <c r="B119" s="557">
        <v>6547000</v>
      </c>
      <c r="C119" s="188"/>
    </row>
    <row r="120" spans="1:7">
      <c r="A120" s="203" t="s">
        <v>106</v>
      </c>
      <c r="B120" s="553">
        <v>179000</v>
      </c>
      <c r="C120" s="188"/>
    </row>
    <row r="121" spans="1:7">
      <c r="A121" s="57" t="s">
        <v>107</v>
      </c>
      <c r="B121" s="495">
        <f>B119+B120</f>
        <v>6726000</v>
      </c>
      <c r="C121" s="188"/>
    </row>
    <row r="122" spans="1:7">
      <c r="A122" s="189" t="str">
        <f>A121</f>
        <v>Mi Joint Zone (Zone 13)</v>
      </c>
      <c r="B122" s="557">
        <f>B121</f>
        <v>6726000</v>
      </c>
      <c r="C122" s="188"/>
    </row>
    <row r="123" spans="1:7">
      <c r="A123" s="209" t="s">
        <v>108</v>
      </c>
      <c r="B123" s="557">
        <v>429779</v>
      </c>
      <c r="C123" s="188"/>
      <c r="E123" s="34"/>
    </row>
    <row r="124" spans="1:7">
      <c r="A124" s="57" t="s">
        <v>109</v>
      </c>
      <c r="B124" s="495">
        <f>B122+B123</f>
        <v>7155779</v>
      </c>
      <c r="C124" s="188"/>
      <c r="E124" s="163"/>
    </row>
    <row r="125" spans="1:7">
      <c r="A125" s="56" t="s">
        <v>260</v>
      </c>
      <c r="B125" s="552">
        <v>5460500</v>
      </c>
      <c r="C125" s="188"/>
      <c r="E125" s="163"/>
    </row>
    <row r="126" spans="1:7">
      <c r="A126" s="56" t="s">
        <v>261</v>
      </c>
      <c r="B126" s="553">
        <v>0</v>
      </c>
      <c r="C126" s="188"/>
      <c r="E126" s="163"/>
    </row>
    <row r="127" spans="1:7">
      <c r="A127" s="57" t="s">
        <v>260</v>
      </c>
      <c r="B127" s="495">
        <f>SUM(B125:B126)</f>
        <v>5460500</v>
      </c>
      <c r="C127" s="188"/>
      <c r="E127" s="163"/>
    </row>
    <row r="128" spans="1:7">
      <c r="A128" s="517" t="s">
        <v>592</v>
      </c>
      <c r="B128" s="552">
        <v>11049315</v>
      </c>
      <c r="C128" s="188"/>
      <c r="E128" s="163"/>
    </row>
    <row r="129" spans="1:7">
      <c r="A129" s="56" t="s">
        <v>263</v>
      </c>
      <c r="B129" s="552">
        <v>0</v>
      </c>
      <c r="C129" s="188"/>
      <c r="E129" s="163"/>
    </row>
    <row r="130" spans="1:7">
      <c r="A130" s="56" t="s">
        <v>264</v>
      </c>
      <c r="B130" s="552"/>
      <c r="C130" s="188"/>
      <c r="E130" s="163"/>
    </row>
    <row r="131" spans="1:7">
      <c r="A131" s="57" t="s">
        <v>262</v>
      </c>
      <c r="B131" s="495">
        <f>SUM(B128:B130)</f>
        <v>11049315</v>
      </c>
      <c r="C131" s="188"/>
      <c r="E131" s="163"/>
    </row>
    <row r="132" spans="1:7">
      <c r="A132" s="558" t="s">
        <v>591</v>
      </c>
      <c r="B132" s="552">
        <v>3136167</v>
      </c>
      <c r="C132" s="188"/>
      <c r="E132" s="163"/>
    </row>
    <row r="133" spans="1:7">
      <c r="A133" s="558" t="s">
        <v>608</v>
      </c>
      <c r="B133" s="553">
        <v>0</v>
      </c>
      <c r="C133" s="188"/>
      <c r="E133" s="163"/>
    </row>
    <row r="134" spans="1:7">
      <c r="A134" s="57" t="s">
        <v>266</v>
      </c>
      <c r="B134" s="495">
        <f>SUM(B132:B133)</f>
        <v>3136167</v>
      </c>
      <c r="C134" s="188"/>
      <c r="E134" s="163"/>
    </row>
    <row r="135" spans="1:7">
      <c r="A135" s="56" t="s">
        <v>268</v>
      </c>
      <c r="B135" s="552">
        <v>3336417</v>
      </c>
      <c r="C135" s="188"/>
      <c r="E135" s="163"/>
    </row>
    <row r="136" spans="1:7">
      <c r="A136" s="56" t="s">
        <v>269</v>
      </c>
      <c r="B136" s="552">
        <v>0</v>
      </c>
      <c r="C136" s="188"/>
      <c r="E136" s="163"/>
    </row>
    <row r="137" spans="1:7">
      <c r="A137" s="56" t="s">
        <v>270</v>
      </c>
      <c r="B137" s="552">
        <v>0</v>
      </c>
      <c r="C137" s="188"/>
      <c r="E137" s="163"/>
    </row>
    <row r="138" spans="1:7">
      <c r="A138" s="56" t="s">
        <v>271</v>
      </c>
      <c r="B138" s="552">
        <v>0</v>
      </c>
      <c r="C138" s="188"/>
      <c r="E138" s="163"/>
    </row>
    <row r="139" spans="1:7">
      <c r="A139" s="56" t="s">
        <v>272</v>
      </c>
      <c r="B139" s="552">
        <v>0</v>
      </c>
      <c r="C139" s="188"/>
      <c r="E139" s="163"/>
    </row>
    <row r="140" spans="1:7">
      <c r="A140" s="57" t="s">
        <v>268</v>
      </c>
      <c r="B140" s="495">
        <f>SUM(B135:B139)</f>
        <v>3336417</v>
      </c>
      <c r="C140" s="188"/>
      <c r="E140" s="163"/>
    </row>
    <row r="141" spans="1:7">
      <c r="A141" s="56" t="s">
        <v>556</v>
      </c>
      <c r="B141" s="552">
        <v>1624749</v>
      </c>
      <c r="C141" s="188"/>
      <c r="E141" s="163"/>
    </row>
    <row r="142" spans="1:7">
      <c r="A142" s="56" t="s">
        <v>557</v>
      </c>
      <c r="B142" s="552">
        <v>0</v>
      </c>
      <c r="C142" s="188"/>
      <c r="E142" s="163"/>
    </row>
    <row r="143" spans="1:7" s="163" customFormat="1">
      <c r="A143" s="56" t="s">
        <v>558</v>
      </c>
      <c r="B143" s="495">
        <f>B141+B142</f>
        <v>1624749</v>
      </c>
      <c r="C143" s="188"/>
      <c r="G143" s="86"/>
    </row>
    <row r="144" spans="1:7" s="163" customFormat="1">
      <c r="A144" s="56"/>
      <c r="B144" s="187"/>
      <c r="C144" s="188"/>
      <c r="G144" s="86"/>
    </row>
    <row r="145" spans="1:5" ht="39">
      <c r="A145" s="526" t="s">
        <v>595</v>
      </c>
      <c r="B145" s="527" t="s">
        <v>596</v>
      </c>
      <c r="C145" s="523" t="s">
        <v>597</v>
      </c>
      <c r="D145" s="491"/>
      <c r="E145" s="163"/>
    </row>
    <row r="146" spans="1:5">
      <c r="A146" s="492" t="s">
        <v>187</v>
      </c>
      <c r="B146" s="491">
        <f>+B62+B69+B87+B114</f>
        <v>261400</v>
      </c>
      <c r="C146"/>
      <c r="D146" s="491"/>
      <c r="E146" s="163"/>
    </row>
    <row r="147" spans="1:5">
      <c r="A147" s="524" t="s">
        <v>188</v>
      </c>
      <c r="B147" s="559">
        <f>+B66+B96-B95-B87-B93</f>
        <v>6948250</v>
      </c>
      <c r="C147" s="560">
        <v>292333</v>
      </c>
      <c r="D147" s="525">
        <f>B147+C147</f>
        <v>7240583</v>
      </c>
      <c r="E147" s="163"/>
    </row>
    <row r="148" spans="1:5">
      <c r="A148" s="492" t="s">
        <v>180</v>
      </c>
      <c r="B148" s="559">
        <f>+B61+B73+B84+B95+B77+B115</f>
        <v>2009757</v>
      </c>
      <c r="C148"/>
      <c r="D148"/>
      <c r="E148" s="163"/>
    </row>
    <row r="149" spans="1:5">
      <c r="A149" s="493" t="s">
        <v>559</v>
      </c>
      <c r="B149" s="559">
        <f>B133+B36</f>
        <v>689834</v>
      </c>
      <c r="C149"/>
      <c r="D149"/>
    </row>
    <row r="150" spans="1:5">
      <c r="A150" s="493" t="s">
        <v>598</v>
      </c>
      <c r="B150" s="559">
        <f>B88+B108</f>
        <v>28911</v>
      </c>
      <c r="C150"/>
      <c r="D150"/>
    </row>
    <row r="151" spans="1:5">
      <c r="A151" s="493" t="s">
        <v>599</v>
      </c>
      <c r="B151" s="559">
        <f>B141+B129</f>
        <v>1624749</v>
      </c>
      <c r="C151"/>
      <c r="D151"/>
    </row>
  </sheetData>
  <phoneticPr fontId="4" type="noConversion"/>
  <pageMargins left="0.25" right="0.25" top="0.5" bottom="0.5" header="0.5" footer="0.5"/>
  <pageSetup fitToHeight="3" orientation="portrait" r:id="rId1"/>
  <headerFooter alignWithMargins="0"/>
  <rowBreaks count="2" manualBreakCount="2">
    <brk id="42" max="4" man="1"/>
    <brk id="96" max="4"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59999389629810485"/>
    <pageSetUpPr fitToPage="1"/>
  </sheetPr>
  <dimension ref="A1:R147"/>
  <sheetViews>
    <sheetView showGridLines="0" topLeftCell="A16" zoomScaleNormal="100" workbookViewId="0">
      <selection activeCell="N39" sqref="N39"/>
    </sheetView>
  </sheetViews>
  <sheetFormatPr defaultRowHeight="15.75"/>
  <cols>
    <col min="1" max="1" width="24.875" style="2" customWidth="1"/>
    <col min="2" max="2" width="15.375" style="2" customWidth="1"/>
    <col min="3" max="6" width="12.625" style="2" customWidth="1"/>
    <col min="7" max="12" width="12.5" style="2" customWidth="1"/>
    <col min="13" max="13" width="13.625" style="2" customWidth="1"/>
    <col min="14" max="14" width="14.75" style="2" bestFit="1" customWidth="1"/>
    <col min="15" max="15" width="4.125" style="2" customWidth="1"/>
    <col min="16" max="16" width="11" style="2" bestFit="1" customWidth="1"/>
    <col min="17" max="17" width="14.75" style="163" bestFit="1" customWidth="1"/>
    <col min="18" max="18" width="11" style="2" customWidth="1"/>
    <col min="19" max="16384" width="9" style="2"/>
  </cols>
  <sheetData>
    <row r="1" spans="1:18">
      <c r="A1" s="39" t="s">
        <v>128</v>
      </c>
      <c r="B1" s="40"/>
      <c r="C1" s="40"/>
      <c r="D1" s="40"/>
      <c r="E1" s="40"/>
      <c r="F1" s="40"/>
      <c r="G1" s="40"/>
      <c r="H1" s="40"/>
      <c r="I1" s="40"/>
      <c r="J1" s="40"/>
      <c r="K1" s="40"/>
      <c r="L1" s="40"/>
      <c r="M1" s="40"/>
      <c r="N1" s="60" t="s">
        <v>280</v>
      </c>
      <c r="O1" s="40"/>
      <c r="Q1" s="60"/>
    </row>
    <row r="2" spans="1:18">
      <c r="A2" s="39" t="s">
        <v>129</v>
      </c>
      <c r="B2" s="40"/>
      <c r="C2" s="40"/>
      <c r="D2" s="40"/>
      <c r="E2" s="40"/>
      <c r="F2" s="40"/>
      <c r="G2" s="40"/>
      <c r="H2" s="40"/>
      <c r="I2" s="40"/>
      <c r="J2" s="40"/>
      <c r="K2" s="40"/>
      <c r="L2" s="40"/>
      <c r="M2" s="40"/>
      <c r="O2" s="40"/>
    </row>
    <row r="3" spans="1:18">
      <c r="A3" s="39" t="s">
        <v>668</v>
      </c>
      <c r="B3" s="41" t="s">
        <v>55</v>
      </c>
      <c r="C3" s="41" t="s">
        <v>56</v>
      </c>
      <c r="D3" s="41" t="s">
        <v>57</v>
      </c>
      <c r="E3" s="41" t="s">
        <v>58</v>
      </c>
      <c r="F3" s="41" t="s">
        <v>59</v>
      </c>
      <c r="G3" s="41" t="s">
        <v>60</v>
      </c>
      <c r="H3" s="41" t="s">
        <v>61</v>
      </c>
      <c r="I3" s="41" t="s">
        <v>62</v>
      </c>
      <c r="J3" s="41" t="s">
        <v>63</v>
      </c>
      <c r="K3" s="41" t="s">
        <v>64</v>
      </c>
      <c r="L3" s="41" t="s">
        <v>65</v>
      </c>
      <c r="M3" s="41" t="s">
        <v>66</v>
      </c>
      <c r="N3" s="41" t="s">
        <v>67</v>
      </c>
      <c r="O3" s="40"/>
      <c r="Q3" s="41"/>
    </row>
    <row r="4" spans="1:18">
      <c r="A4" s="158" t="s">
        <v>22</v>
      </c>
      <c r="B4" s="159">
        <f t="shared" ref="B4:M4" si="0">+B73</f>
        <v>2945000</v>
      </c>
      <c r="C4" s="159">
        <f t="shared" si="0"/>
        <v>2945000</v>
      </c>
      <c r="D4" s="159">
        <f t="shared" si="0"/>
        <v>2945000</v>
      </c>
      <c r="E4" s="159">
        <f t="shared" si="0"/>
        <v>2945000</v>
      </c>
      <c r="F4" s="159">
        <f t="shared" si="0"/>
        <v>2945000</v>
      </c>
      <c r="G4" s="159">
        <f t="shared" si="0"/>
        <v>2945000</v>
      </c>
      <c r="H4" s="159">
        <f t="shared" si="0"/>
        <v>2945000</v>
      </c>
      <c r="I4" s="159">
        <f t="shared" si="0"/>
        <v>2945000</v>
      </c>
      <c r="J4" s="159">
        <f t="shared" si="0"/>
        <v>2945000</v>
      </c>
      <c r="K4" s="159">
        <f t="shared" si="0"/>
        <v>2945000</v>
      </c>
      <c r="L4" s="159">
        <f t="shared" si="0"/>
        <v>2945000</v>
      </c>
      <c r="M4" s="159">
        <f t="shared" si="0"/>
        <v>2945000</v>
      </c>
      <c r="N4" s="164">
        <f>SUM(B4:M4)/12</f>
        <v>2945000</v>
      </c>
      <c r="O4" s="162"/>
      <c r="P4" s="2" t="s">
        <v>208</v>
      </c>
      <c r="Q4" s="164"/>
      <c r="R4" s="34"/>
    </row>
    <row r="5" spans="1:18">
      <c r="A5" s="158" t="s">
        <v>28</v>
      </c>
      <c r="B5" s="542">
        <v>9645109</v>
      </c>
      <c r="C5" s="33">
        <f>+B5</f>
        <v>9645109</v>
      </c>
      <c r="D5" s="33">
        <f t="shared" ref="D5:M5" si="1">+C5</f>
        <v>9645109</v>
      </c>
      <c r="E5" s="33">
        <f t="shared" si="1"/>
        <v>9645109</v>
      </c>
      <c r="F5" s="33">
        <f t="shared" si="1"/>
        <v>9645109</v>
      </c>
      <c r="G5" s="33">
        <f t="shared" si="1"/>
        <v>9645109</v>
      </c>
      <c r="H5" s="33">
        <f t="shared" si="1"/>
        <v>9645109</v>
      </c>
      <c r="I5" s="33">
        <f t="shared" si="1"/>
        <v>9645109</v>
      </c>
      <c r="J5" s="33">
        <f t="shared" si="1"/>
        <v>9645109</v>
      </c>
      <c r="K5" s="33">
        <f t="shared" si="1"/>
        <v>9645109</v>
      </c>
      <c r="L5" s="33">
        <f t="shared" si="1"/>
        <v>9645109</v>
      </c>
      <c r="M5" s="33">
        <f t="shared" si="1"/>
        <v>9645109</v>
      </c>
      <c r="N5" s="164">
        <f t="shared" ref="N5:N38" si="2">SUM(B5:M5)/12</f>
        <v>9645109</v>
      </c>
      <c r="O5" s="162"/>
      <c r="P5" s="2" t="s">
        <v>209</v>
      </c>
      <c r="Q5" s="164"/>
      <c r="R5" s="34"/>
    </row>
    <row r="6" spans="1:18">
      <c r="A6" s="158" t="s">
        <v>24</v>
      </c>
      <c r="B6" s="33">
        <f>+B111</f>
        <v>7118197</v>
      </c>
      <c r="C6" s="33">
        <f t="shared" ref="C6:L6" si="3">+C111</f>
        <v>7118197</v>
      </c>
      <c r="D6" s="33">
        <f t="shared" si="3"/>
        <v>7118197</v>
      </c>
      <c r="E6" s="33">
        <f t="shared" si="3"/>
        <v>7118197</v>
      </c>
      <c r="F6" s="33">
        <f t="shared" si="3"/>
        <v>7118197</v>
      </c>
      <c r="G6" s="33">
        <f t="shared" si="3"/>
        <v>7118197</v>
      </c>
      <c r="H6" s="33">
        <f t="shared" si="3"/>
        <v>7118197</v>
      </c>
      <c r="I6" s="33">
        <f t="shared" si="3"/>
        <v>7118197</v>
      </c>
      <c r="J6" s="33">
        <f t="shared" si="3"/>
        <v>7118197</v>
      </c>
      <c r="K6" s="33">
        <f t="shared" si="3"/>
        <v>7118197</v>
      </c>
      <c r="L6" s="33">
        <f t="shared" si="3"/>
        <v>7118197</v>
      </c>
      <c r="M6" s="33">
        <f>+M111</f>
        <v>7118197</v>
      </c>
      <c r="N6" s="164">
        <f t="shared" si="2"/>
        <v>7118197</v>
      </c>
      <c r="O6" s="162"/>
      <c r="P6" s="2" t="s">
        <v>210</v>
      </c>
      <c r="Q6" s="164"/>
      <c r="R6" s="34"/>
    </row>
    <row r="7" spans="1:18">
      <c r="A7" s="158" t="s">
        <v>25</v>
      </c>
      <c r="B7" s="542">
        <v>6949405</v>
      </c>
      <c r="C7" s="542">
        <v>6949405</v>
      </c>
      <c r="D7" s="542">
        <v>6949405</v>
      </c>
      <c r="E7" s="542">
        <v>6949405</v>
      </c>
      <c r="F7" s="542">
        <v>6949405</v>
      </c>
      <c r="G7" s="542">
        <v>6518000</v>
      </c>
      <c r="H7" s="542">
        <v>6518000</v>
      </c>
      <c r="I7" s="542">
        <v>6518000</v>
      </c>
      <c r="J7" s="542">
        <v>6518000</v>
      </c>
      <c r="K7" s="542">
        <v>6518000</v>
      </c>
      <c r="L7" s="542">
        <v>6518000</v>
      </c>
      <c r="M7" s="542">
        <v>6518000</v>
      </c>
      <c r="N7" s="164">
        <f t="shared" si="2"/>
        <v>6697752.083333333</v>
      </c>
      <c r="O7" s="162"/>
      <c r="P7" s="2" t="s">
        <v>211</v>
      </c>
      <c r="Q7" s="164"/>
      <c r="R7" s="34"/>
    </row>
    <row r="8" spans="1:18">
      <c r="A8" s="158" t="s">
        <v>176</v>
      </c>
      <c r="B8" s="542">
        <v>1</v>
      </c>
      <c r="C8" s="542">
        <v>1</v>
      </c>
      <c r="D8" s="542">
        <v>1</v>
      </c>
      <c r="E8" s="542">
        <v>1</v>
      </c>
      <c r="F8" s="542">
        <v>1</v>
      </c>
      <c r="G8" s="542">
        <v>1</v>
      </c>
      <c r="H8" s="542">
        <v>1</v>
      </c>
      <c r="I8" s="542">
        <v>1</v>
      </c>
      <c r="J8" s="542">
        <v>1</v>
      </c>
      <c r="K8" s="542">
        <v>1</v>
      </c>
      <c r="L8" s="542">
        <v>1</v>
      </c>
      <c r="M8" s="542">
        <v>1</v>
      </c>
      <c r="N8" s="164">
        <f t="shared" si="2"/>
        <v>1</v>
      </c>
      <c r="O8" s="162"/>
      <c r="P8" s="2" t="s">
        <v>212</v>
      </c>
      <c r="Q8" s="164"/>
      <c r="R8" s="34"/>
    </row>
    <row r="9" spans="1:18">
      <c r="A9" s="160" t="s">
        <v>190</v>
      </c>
      <c r="B9" s="542">
        <v>1</v>
      </c>
      <c r="C9" s="542">
        <v>1</v>
      </c>
      <c r="D9" s="542">
        <v>1</v>
      </c>
      <c r="E9" s="542">
        <v>1</v>
      </c>
      <c r="F9" s="542">
        <v>1</v>
      </c>
      <c r="G9" s="542">
        <v>1</v>
      </c>
      <c r="H9" s="542">
        <v>1</v>
      </c>
      <c r="I9" s="542">
        <v>1</v>
      </c>
      <c r="J9" s="542">
        <v>1</v>
      </c>
      <c r="K9" s="542">
        <v>1</v>
      </c>
      <c r="L9" s="542">
        <v>1</v>
      </c>
      <c r="M9" s="542">
        <v>1</v>
      </c>
      <c r="N9" s="164">
        <f>SUM(B9:M9)/12</f>
        <v>1</v>
      </c>
      <c r="O9" s="162"/>
      <c r="P9" s="2" t="s">
        <v>213</v>
      </c>
      <c r="Q9" s="164"/>
      <c r="R9" s="34"/>
    </row>
    <row r="10" spans="1:18">
      <c r="A10" s="158" t="s">
        <v>177</v>
      </c>
      <c r="B10" s="159">
        <f t="shared" ref="B10:M10" si="4">+B45</f>
        <v>6395303</v>
      </c>
      <c r="C10" s="159">
        <f t="shared" si="4"/>
        <v>6395303</v>
      </c>
      <c r="D10" s="159">
        <f t="shared" si="4"/>
        <v>6395303</v>
      </c>
      <c r="E10" s="159">
        <f t="shared" si="4"/>
        <v>6395303</v>
      </c>
      <c r="F10" s="159">
        <f t="shared" si="4"/>
        <v>6395303</v>
      </c>
      <c r="G10" s="159">
        <f t="shared" si="4"/>
        <v>6174646</v>
      </c>
      <c r="H10" s="159">
        <f t="shared" si="4"/>
        <v>6174646</v>
      </c>
      <c r="I10" s="159">
        <f t="shared" si="4"/>
        <v>6174646</v>
      </c>
      <c r="J10" s="159">
        <f t="shared" si="4"/>
        <v>6174646</v>
      </c>
      <c r="K10" s="159">
        <f t="shared" si="4"/>
        <v>6174646</v>
      </c>
      <c r="L10" s="159">
        <f t="shared" si="4"/>
        <v>6174646</v>
      </c>
      <c r="M10" s="159">
        <f t="shared" si="4"/>
        <v>6174646</v>
      </c>
      <c r="N10" s="164">
        <f t="shared" si="2"/>
        <v>6266586.416666667</v>
      </c>
      <c r="O10" s="162"/>
      <c r="P10" s="2" t="s">
        <v>214</v>
      </c>
      <c r="Q10" s="164"/>
      <c r="R10" s="34"/>
    </row>
    <row r="11" spans="1:18">
      <c r="A11" s="158" t="s">
        <v>23</v>
      </c>
      <c r="B11" s="542">
        <v>277000</v>
      </c>
      <c r="C11" s="542">
        <v>277000</v>
      </c>
      <c r="D11" s="542">
        <v>277000</v>
      </c>
      <c r="E11" s="542">
        <v>277000</v>
      </c>
      <c r="F11" s="542">
        <v>277000</v>
      </c>
      <c r="G11" s="542">
        <v>267083</v>
      </c>
      <c r="H11" s="542">
        <v>267083</v>
      </c>
      <c r="I11" s="542">
        <v>267083</v>
      </c>
      <c r="J11" s="542">
        <v>267083</v>
      </c>
      <c r="K11" s="542">
        <v>267083</v>
      </c>
      <c r="L11" s="542">
        <v>267083</v>
      </c>
      <c r="M11" s="542">
        <v>267083</v>
      </c>
      <c r="N11" s="164">
        <f t="shared" si="2"/>
        <v>271215.08333333331</v>
      </c>
      <c r="O11" s="162"/>
      <c r="P11" s="2" t="s">
        <v>215</v>
      </c>
      <c r="Q11" s="164"/>
      <c r="R11" s="34"/>
    </row>
    <row r="12" spans="1:18">
      <c r="A12" s="158" t="s">
        <v>26</v>
      </c>
      <c r="B12" s="542">
        <v>314000</v>
      </c>
      <c r="C12" s="542">
        <v>314000</v>
      </c>
      <c r="D12" s="542">
        <v>314000</v>
      </c>
      <c r="E12" s="542">
        <v>314000</v>
      </c>
      <c r="F12" s="542">
        <v>314000</v>
      </c>
      <c r="G12" s="542">
        <v>315000</v>
      </c>
      <c r="H12" s="542">
        <v>315000</v>
      </c>
      <c r="I12" s="542">
        <v>315000</v>
      </c>
      <c r="J12" s="542">
        <v>315000</v>
      </c>
      <c r="K12" s="542">
        <v>315000</v>
      </c>
      <c r="L12" s="542">
        <v>315000</v>
      </c>
      <c r="M12" s="542">
        <v>315000</v>
      </c>
      <c r="N12" s="164">
        <f t="shared" si="2"/>
        <v>314583.33333333331</v>
      </c>
      <c r="O12" s="162"/>
      <c r="P12" s="2" t="s">
        <v>216</v>
      </c>
      <c r="Q12" s="164"/>
      <c r="R12" s="34"/>
    </row>
    <row r="13" spans="1:18">
      <c r="A13" s="158" t="s">
        <v>32</v>
      </c>
      <c r="B13" s="159">
        <f t="shared" ref="B13:M13" si="5">+B65</f>
        <v>1067059</v>
      </c>
      <c r="C13" s="159">
        <f t="shared" si="5"/>
        <v>1067059</v>
      </c>
      <c r="D13" s="159">
        <f t="shared" si="5"/>
        <v>1067059</v>
      </c>
      <c r="E13" s="159">
        <f t="shared" si="5"/>
        <v>1067059</v>
      </c>
      <c r="F13" s="159">
        <f t="shared" si="5"/>
        <v>1067059</v>
      </c>
      <c r="G13" s="159">
        <f t="shared" si="5"/>
        <v>1067851</v>
      </c>
      <c r="H13" s="159">
        <f t="shared" si="5"/>
        <v>1067851</v>
      </c>
      <c r="I13" s="159">
        <f t="shared" si="5"/>
        <v>1067851</v>
      </c>
      <c r="J13" s="159">
        <f t="shared" si="5"/>
        <v>1067851</v>
      </c>
      <c r="K13" s="159">
        <f t="shared" si="5"/>
        <v>1067851</v>
      </c>
      <c r="L13" s="159">
        <f t="shared" si="5"/>
        <v>1067851</v>
      </c>
      <c r="M13" s="159">
        <f t="shared" si="5"/>
        <v>1067851</v>
      </c>
      <c r="N13" s="164">
        <f t="shared" si="2"/>
        <v>1067521</v>
      </c>
      <c r="O13" s="162"/>
      <c r="P13" s="2" t="s">
        <v>217</v>
      </c>
      <c r="Q13" s="164"/>
      <c r="R13" s="34"/>
    </row>
    <row r="14" spans="1:18">
      <c r="A14" s="158" t="s">
        <v>16</v>
      </c>
      <c r="B14" s="542">
        <v>594580</v>
      </c>
      <c r="C14" s="542">
        <v>594580</v>
      </c>
      <c r="D14" s="542">
        <v>594580</v>
      </c>
      <c r="E14" s="542">
        <v>594580</v>
      </c>
      <c r="F14" s="542">
        <v>594580</v>
      </c>
      <c r="G14" s="542">
        <v>568945</v>
      </c>
      <c r="H14" s="542">
        <v>568945</v>
      </c>
      <c r="I14" s="542">
        <v>568945</v>
      </c>
      <c r="J14" s="542">
        <v>568945</v>
      </c>
      <c r="K14" s="542">
        <v>568945</v>
      </c>
      <c r="L14" s="542">
        <v>568945</v>
      </c>
      <c r="M14" s="542">
        <v>568945</v>
      </c>
      <c r="N14" s="164">
        <f t="shared" si="2"/>
        <v>579626.25</v>
      </c>
      <c r="O14" s="162"/>
      <c r="P14" s="2" t="s">
        <v>218</v>
      </c>
      <c r="Q14" s="164"/>
      <c r="R14" s="34"/>
    </row>
    <row r="15" spans="1:18">
      <c r="A15" s="160" t="s">
        <v>21</v>
      </c>
      <c r="B15" s="159">
        <f t="shared" ref="B15:M15" si="6">+B58</f>
        <v>8586625</v>
      </c>
      <c r="C15" s="159">
        <f t="shared" si="6"/>
        <v>8586625</v>
      </c>
      <c r="D15" s="159">
        <f t="shared" si="6"/>
        <v>8586625</v>
      </c>
      <c r="E15" s="159">
        <f t="shared" si="6"/>
        <v>8586625</v>
      </c>
      <c r="F15" s="159">
        <f t="shared" si="6"/>
        <v>8586625</v>
      </c>
      <c r="G15" s="159">
        <f t="shared" si="6"/>
        <v>8586625</v>
      </c>
      <c r="H15" s="159">
        <f t="shared" si="6"/>
        <v>8586625</v>
      </c>
      <c r="I15" s="159">
        <f t="shared" si="6"/>
        <v>8586625</v>
      </c>
      <c r="J15" s="159">
        <f t="shared" si="6"/>
        <v>8586625</v>
      </c>
      <c r="K15" s="159">
        <f t="shared" si="6"/>
        <v>8586625</v>
      </c>
      <c r="L15" s="159">
        <f t="shared" si="6"/>
        <v>8586625</v>
      </c>
      <c r="M15" s="159">
        <f t="shared" si="6"/>
        <v>8586625</v>
      </c>
      <c r="N15" s="164">
        <f t="shared" si="2"/>
        <v>8586625</v>
      </c>
      <c r="O15" s="162"/>
      <c r="P15" s="2" t="s">
        <v>219</v>
      </c>
      <c r="Q15" s="164"/>
      <c r="R15" s="34"/>
    </row>
    <row r="16" spans="1:18">
      <c r="A16" s="158" t="s">
        <v>18</v>
      </c>
      <c r="B16" s="542">
        <v>2431583</v>
      </c>
      <c r="C16" s="542">
        <v>2431583</v>
      </c>
      <c r="D16" s="542">
        <v>2431583</v>
      </c>
      <c r="E16" s="542">
        <v>2431583</v>
      </c>
      <c r="F16" s="542">
        <v>2431583</v>
      </c>
      <c r="G16" s="542">
        <v>2322500</v>
      </c>
      <c r="H16" s="542">
        <v>2322500</v>
      </c>
      <c r="I16" s="542">
        <v>2322500</v>
      </c>
      <c r="J16" s="542">
        <v>2322500</v>
      </c>
      <c r="K16" s="542">
        <v>2322500</v>
      </c>
      <c r="L16" s="542">
        <v>2322500</v>
      </c>
      <c r="M16" s="542">
        <v>2322500</v>
      </c>
      <c r="N16" s="164">
        <f t="shared" si="2"/>
        <v>2367951.25</v>
      </c>
      <c r="O16" s="162"/>
      <c r="P16" s="2" t="s">
        <v>220</v>
      </c>
      <c r="Q16" s="164"/>
      <c r="R16" s="34"/>
    </row>
    <row r="17" spans="1:18">
      <c r="A17" s="160" t="s">
        <v>69</v>
      </c>
      <c r="B17" s="159">
        <f>B119</f>
        <v>6755500</v>
      </c>
      <c r="C17" s="159">
        <f t="shared" ref="C17:L17" si="7">C119</f>
        <v>6755500</v>
      </c>
      <c r="D17" s="159">
        <f t="shared" si="7"/>
        <v>6755500</v>
      </c>
      <c r="E17" s="159">
        <f t="shared" si="7"/>
        <v>6755500</v>
      </c>
      <c r="F17" s="159">
        <f t="shared" si="7"/>
        <v>6755500</v>
      </c>
      <c r="G17" s="159">
        <f t="shared" si="7"/>
        <v>6755500</v>
      </c>
      <c r="H17" s="159">
        <f t="shared" si="7"/>
        <v>6755500</v>
      </c>
      <c r="I17" s="159">
        <f t="shared" si="7"/>
        <v>6755500</v>
      </c>
      <c r="J17" s="159">
        <f t="shared" si="7"/>
        <v>6755500</v>
      </c>
      <c r="K17" s="159">
        <f t="shared" si="7"/>
        <v>6755500</v>
      </c>
      <c r="L17" s="159">
        <f t="shared" si="7"/>
        <v>6755500</v>
      </c>
      <c r="M17" s="159">
        <f>M119</f>
        <v>6755500</v>
      </c>
      <c r="N17" s="164">
        <f t="shared" si="2"/>
        <v>6755500</v>
      </c>
      <c r="O17" s="162"/>
      <c r="P17" s="2" t="s">
        <v>221</v>
      </c>
      <c r="Q17" s="164"/>
      <c r="R17" s="34"/>
    </row>
    <row r="18" spans="1:18">
      <c r="A18" s="160" t="s">
        <v>70</v>
      </c>
      <c r="B18" s="33">
        <f t="shared" ref="B18:M18" si="8">+B55</f>
        <v>7237891</v>
      </c>
      <c r="C18" s="33">
        <f t="shared" si="8"/>
        <v>7237891</v>
      </c>
      <c r="D18" s="33">
        <f t="shared" si="8"/>
        <v>7237891</v>
      </c>
      <c r="E18" s="33">
        <f t="shared" si="8"/>
        <v>7237891</v>
      </c>
      <c r="F18" s="33">
        <f t="shared" si="8"/>
        <v>7237891</v>
      </c>
      <c r="G18" s="33">
        <f t="shared" si="8"/>
        <v>7237891</v>
      </c>
      <c r="H18" s="33">
        <f t="shared" si="8"/>
        <v>7237891</v>
      </c>
      <c r="I18" s="33">
        <f t="shared" si="8"/>
        <v>7237891</v>
      </c>
      <c r="J18" s="33">
        <f t="shared" si="8"/>
        <v>7237891</v>
      </c>
      <c r="K18" s="33">
        <f t="shared" si="8"/>
        <v>7237891</v>
      </c>
      <c r="L18" s="33">
        <f t="shared" si="8"/>
        <v>7237891</v>
      </c>
      <c r="M18" s="33">
        <f t="shared" si="8"/>
        <v>7237891</v>
      </c>
      <c r="N18" s="164">
        <f t="shared" si="2"/>
        <v>7237891</v>
      </c>
      <c r="O18" s="162"/>
      <c r="P18" s="2" t="s">
        <v>222</v>
      </c>
      <c r="Q18" s="164"/>
      <c r="R18" s="34"/>
    </row>
    <row r="19" spans="1:18">
      <c r="A19" s="158" t="s">
        <v>30</v>
      </c>
      <c r="B19" s="159">
        <f t="shared" ref="B19:M19" si="9">+B76</f>
        <v>1659834</v>
      </c>
      <c r="C19" s="159">
        <f t="shared" si="9"/>
        <v>1659834</v>
      </c>
      <c r="D19" s="159">
        <f t="shared" si="9"/>
        <v>1659834</v>
      </c>
      <c r="E19" s="159">
        <f t="shared" si="9"/>
        <v>1659834</v>
      </c>
      <c r="F19" s="159">
        <f t="shared" si="9"/>
        <v>1659834</v>
      </c>
      <c r="G19" s="159">
        <f t="shared" si="9"/>
        <v>1659834</v>
      </c>
      <c r="H19" s="159">
        <f t="shared" si="9"/>
        <v>1659834</v>
      </c>
      <c r="I19" s="159">
        <f t="shared" si="9"/>
        <v>1659834</v>
      </c>
      <c r="J19" s="159">
        <f t="shared" si="9"/>
        <v>1659834</v>
      </c>
      <c r="K19" s="159">
        <f t="shared" si="9"/>
        <v>1659834</v>
      </c>
      <c r="L19" s="159">
        <f t="shared" si="9"/>
        <v>1659834</v>
      </c>
      <c r="M19" s="159">
        <f t="shared" si="9"/>
        <v>1659834</v>
      </c>
      <c r="N19" s="164">
        <f t="shared" si="2"/>
        <v>1659834</v>
      </c>
      <c r="O19" s="162"/>
      <c r="P19" s="2" t="s">
        <v>223</v>
      </c>
      <c r="Q19" s="164"/>
      <c r="R19" s="34"/>
    </row>
    <row r="20" spans="1:18">
      <c r="A20" s="158" t="s">
        <v>34</v>
      </c>
      <c r="B20" s="542">
        <v>540717</v>
      </c>
      <c r="C20" s="542">
        <v>540717</v>
      </c>
      <c r="D20" s="542">
        <v>540717</v>
      </c>
      <c r="E20" s="542">
        <v>540717</v>
      </c>
      <c r="F20" s="542">
        <v>540717</v>
      </c>
      <c r="G20" s="542">
        <v>540717</v>
      </c>
      <c r="H20" s="542">
        <v>540717</v>
      </c>
      <c r="I20" s="542">
        <v>540717</v>
      </c>
      <c r="J20" s="542">
        <v>540717</v>
      </c>
      <c r="K20" s="542">
        <v>540717</v>
      </c>
      <c r="L20" s="542">
        <v>540717</v>
      </c>
      <c r="M20" s="542">
        <v>540717</v>
      </c>
      <c r="N20" s="164">
        <f t="shared" si="2"/>
        <v>540717</v>
      </c>
      <c r="O20" s="162"/>
      <c r="P20" s="2" t="s">
        <v>224</v>
      </c>
      <c r="Q20" s="164"/>
      <c r="R20" s="34"/>
    </row>
    <row r="21" spans="1:18">
      <c r="A21" s="158" t="s">
        <v>29</v>
      </c>
      <c r="B21" s="159">
        <f>+B94</f>
        <v>8155028</v>
      </c>
      <c r="C21" s="159">
        <f t="shared" ref="C21:L21" si="10">+C94</f>
        <v>8155028</v>
      </c>
      <c r="D21" s="159">
        <f t="shared" si="10"/>
        <v>8155028</v>
      </c>
      <c r="E21" s="159">
        <f t="shared" si="10"/>
        <v>8155028</v>
      </c>
      <c r="F21" s="159">
        <f t="shared" si="10"/>
        <v>8155028</v>
      </c>
      <c r="G21" s="159">
        <f t="shared" si="10"/>
        <v>8154228</v>
      </c>
      <c r="H21" s="159">
        <f t="shared" si="10"/>
        <v>8154228</v>
      </c>
      <c r="I21" s="159">
        <f t="shared" si="10"/>
        <v>8154228</v>
      </c>
      <c r="J21" s="159">
        <f t="shared" si="10"/>
        <v>8154228</v>
      </c>
      <c r="K21" s="159">
        <f t="shared" si="10"/>
        <v>8154228</v>
      </c>
      <c r="L21" s="159">
        <f t="shared" si="10"/>
        <v>8154228</v>
      </c>
      <c r="M21" s="159">
        <f>+M94</f>
        <v>8154228</v>
      </c>
      <c r="N21" s="164">
        <f t="shared" si="2"/>
        <v>8154561.333333333</v>
      </c>
      <c r="O21" s="162"/>
      <c r="P21" s="2" t="s">
        <v>225</v>
      </c>
      <c r="Q21" s="164"/>
      <c r="R21" s="34"/>
    </row>
    <row r="22" spans="1:18">
      <c r="A22" s="158" t="s">
        <v>19</v>
      </c>
      <c r="B22" s="542">
        <v>2988489</v>
      </c>
      <c r="C22" s="542">
        <v>2988489</v>
      </c>
      <c r="D22" s="542">
        <v>2988489</v>
      </c>
      <c r="E22" s="542">
        <v>2988489</v>
      </c>
      <c r="F22" s="542">
        <v>2988489</v>
      </c>
      <c r="G22" s="542">
        <v>2988489</v>
      </c>
      <c r="H22" s="542">
        <v>2988489</v>
      </c>
      <c r="I22" s="542">
        <v>2988489</v>
      </c>
      <c r="J22" s="542">
        <v>2988489</v>
      </c>
      <c r="K22" s="542">
        <v>2988489</v>
      </c>
      <c r="L22" s="542">
        <v>2988489</v>
      </c>
      <c r="M22" s="542">
        <v>2988489</v>
      </c>
      <c r="N22" s="164">
        <f t="shared" si="2"/>
        <v>2988489</v>
      </c>
      <c r="O22" s="162"/>
      <c r="P22" s="2" t="s">
        <v>226</v>
      </c>
      <c r="Q22" s="164"/>
      <c r="R22" s="34"/>
    </row>
    <row r="23" spans="1:18">
      <c r="A23" s="158" t="s">
        <v>33</v>
      </c>
      <c r="B23" s="159">
        <f>+B82</f>
        <v>1002041</v>
      </c>
      <c r="C23" s="159">
        <f t="shared" ref="C23:L23" si="11">+C82</f>
        <v>1002041</v>
      </c>
      <c r="D23" s="159">
        <f t="shared" si="11"/>
        <v>1002041</v>
      </c>
      <c r="E23" s="159">
        <f t="shared" si="11"/>
        <v>1002041</v>
      </c>
      <c r="F23" s="159">
        <f t="shared" si="11"/>
        <v>1002041</v>
      </c>
      <c r="G23" s="159">
        <f t="shared" si="11"/>
        <v>1002041</v>
      </c>
      <c r="H23" s="159">
        <f t="shared" si="11"/>
        <v>1002041</v>
      </c>
      <c r="I23" s="159">
        <f t="shared" si="11"/>
        <v>1002041</v>
      </c>
      <c r="J23" s="159">
        <f t="shared" si="11"/>
        <v>1002041</v>
      </c>
      <c r="K23" s="159">
        <f t="shared" si="11"/>
        <v>1002041</v>
      </c>
      <c r="L23" s="159">
        <f t="shared" si="11"/>
        <v>1002041</v>
      </c>
      <c r="M23" s="159">
        <f>+M82</f>
        <v>1002041</v>
      </c>
      <c r="N23" s="164">
        <f t="shared" si="2"/>
        <v>1002041</v>
      </c>
      <c r="O23" s="162"/>
      <c r="P23" s="2" t="s">
        <v>227</v>
      </c>
      <c r="Q23" s="164"/>
      <c r="R23" s="34"/>
    </row>
    <row r="24" spans="1:18">
      <c r="A24" s="158" t="s">
        <v>27</v>
      </c>
      <c r="B24" s="542">
        <v>476667</v>
      </c>
      <c r="C24" s="542">
        <v>476667</v>
      </c>
      <c r="D24" s="542">
        <v>476667</v>
      </c>
      <c r="E24" s="542">
        <v>476667</v>
      </c>
      <c r="F24" s="542">
        <v>476667</v>
      </c>
      <c r="G24" s="542">
        <v>462000</v>
      </c>
      <c r="H24" s="542">
        <v>462000</v>
      </c>
      <c r="I24" s="542">
        <v>462000</v>
      </c>
      <c r="J24" s="542">
        <v>462000</v>
      </c>
      <c r="K24" s="542">
        <v>462000</v>
      </c>
      <c r="L24" s="542">
        <v>462000</v>
      </c>
      <c r="M24" s="542">
        <v>462000</v>
      </c>
      <c r="N24" s="164">
        <f t="shared" si="2"/>
        <v>468111.25</v>
      </c>
      <c r="O24" s="162"/>
      <c r="P24" s="2" t="s">
        <v>228</v>
      </c>
      <c r="Q24" s="164"/>
      <c r="R24" s="34"/>
    </row>
    <row r="25" spans="1:18">
      <c r="A25" s="158" t="s">
        <v>31</v>
      </c>
      <c r="B25" s="33">
        <f>+B115</f>
        <v>261219</v>
      </c>
      <c r="C25" s="33">
        <f t="shared" ref="C25:L25" si="12">+C115</f>
        <v>261219</v>
      </c>
      <c r="D25" s="33">
        <f t="shared" si="12"/>
        <v>261219</v>
      </c>
      <c r="E25" s="33">
        <f t="shared" si="12"/>
        <v>261219</v>
      </c>
      <c r="F25" s="33">
        <f t="shared" si="12"/>
        <v>270335</v>
      </c>
      <c r="G25" s="33">
        <f t="shared" si="12"/>
        <v>274335</v>
      </c>
      <c r="H25" s="33">
        <f t="shared" si="12"/>
        <v>274335</v>
      </c>
      <c r="I25" s="33">
        <f t="shared" si="12"/>
        <v>274335</v>
      </c>
      <c r="J25" s="33">
        <f t="shared" si="12"/>
        <v>274335</v>
      </c>
      <c r="K25" s="33">
        <f t="shared" si="12"/>
        <v>274335</v>
      </c>
      <c r="L25" s="33">
        <f t="shared" si="12"/>
        <v>274335</v>
      </c>
      <c r="M25" s="33">
        <f>+M115</f>
        <v>274335</v>
      </c>
      <c r="N25" s="164">
        <f t="shared" si="2"/>
        <v>269629.66666666669</v>
      </c>
      <c r="O25" s="162"/>
      <c r="P25" s="2" t="s">
        <v>229</v>
      </c>
      <c r="Q25" s="164"/>
      <c r="R25" s="34"/>
    </row>
    <row r="26" spans="1:18">
      <c r="A26" s="158" t="s">
        <v>178</v>
      </c>
      <c r="B26" s="542">
        <v>1016210</v>
      </c>
      <c r="C26" s="33">
        <f t="shared" ref="C26:M26" si="13">+B26</f>
        <v>1016210</v>
      </c>
      <c r="D26" s="33">
        <f t="shared" si="13"/>
        <v>1016210</v>
      </c>
      <c r="E26" s="33">
        <f t="shared" si="13"/>
        <v>1016210</v>
      </c>
      <c r="F26" s="33">
        <f t="shared" si="13"/>
        <v>1016210</v>
      </c>
      <c r="G26" s="33">
        <f t="shared" si="13"/>
        <v>1016210</v>
      </c>
      <c r="H26" s="33">
        <f t="shared" si="13"/>
        <v>1016210</v>
      </c>
      <c r="I26" s="33">
        <f t="shared" si="13"/>
        <v>1016210</v>
      </c>
      <c r="J26" s="33">
        <f t="shared" si="13"/>
        <v>1016210</v>
      </c>
      <c r="K26" s="33">
        <f t="shared" si="13"/>
        <v>1016210</v>
      </c>
      <c r="L26" s="33">
        <f t="shared" si="13"/>
        <v>1016210</v>
      </c>
      <c r="M26" s="33">
        <f t="shared" si="13"/>
        <v>1016210</v>
      </c>
      <c r="N26" s="164">
        <f t="shared" si="2"/>
        <v>1016210</v>
      </c>
      <c r="O26" s="162"/>
      <c r="P26" s="2" t="s">
        <v>230</v>
      </c>
      <c r="Q26" s="164"/>
      <c r="R26" s="34"/>
    </row>
    <row r="27" spans="1:18">
      <c r="A27" s="158" t="s">
        <v>110</v>
      </c>
      <c r="B27" s="159">
        <f>+B104</f>
        <v>4296759</v>
      </c>
      <c r="C27" s="159">
        <f t="shared" ref="C27:L27" si="14">+C104</f>
        <v>4296759</v>
      </c>
      <c r="D27" s="159">
        <f t="shared" si="14"/>
        <v>4296759</v>
      </c>
      <c r="E27" s="159">
        <f t="shared" si="14"/>
        <v>4296759</v>
      </c>
      <c r="F27" s="159">
        <f t="shared" si="14"/>
        <v>4296759</v>
      </c>
      <c r="G27" s="159">
        <f t="shared" si="14"/>
        <v>4290218</v>
      </c>
      <c r="H27" s="159">
        <f t="shared" si="14"/>
        <v>4290218</v>
      </c>
      <c r="I27" s="159">
        <f t="shared" si="14"/>
        <v>4290218</v>
      </c>
      <c r="J27" s="159">
        <f t="shared" si="14"/>
        <v>4290218</v>
      </c>
      <c r="K27" s="159">
        <f t="shared" si="14"/>
        <v>4290218</v>
      </c>
      <c r="L27" s="159">
        <f t="shared" si="14"/>
        <v>4290218</v>
      </c>
      <c r="M27" s="159">
        <f>+M104</f>
        <v>4290218</v>
      </c>
      <c r="N27" s="164">
        <f t="shared" si="2"/>
        <v>4292943.416666667</v>
      </c>
      <c r="O27" s="162"/>
      <c r="P27" s="2" t="s">
        <v>231</v>
      </c>
      <c r="Q27" s="164"/>
      <c r="R27" s="34"/>
    </row>
    <row r="28" spans="1:18">
      <c r="A28" s="158" t="s">
        <v>111</v>
      </c>
      <c r="B28" s="542">
        <v>120458</v>
      </c>
      <c r="C28" s="542">
        <v>120458</v>
      </c>
      <c r="D28" s="542">
        <v>120458</v>
      </c>
      <c r="E28" s="542">
        <v>120458</v>
      </c>
      <c r="F28" s="542">
        <v>120458</v>
      </c>
      <c r="G28" s="542">
        <v>121537</v>
      </c>
      <c r="H28" s="542">
        <v>121537</v>
      </c>
      <c r="I28" s="542">
        <v>121537</v>
      </c>
      <c r="J28" s="542">
        <v>121537</v>
      </c>
      <c r="K28" s="542">
        <v>121537</v>
      </c>
      <c r="L28" s="542">
        <v>121537</v>
      </c>
      <c r="M28" s="542">
        <v>121537</v>
      </c>
      <c r="N28" s="164">
        <f t="shared" si="2"/>
        <v>121087.41666666667</v>
      </c>
      <c r="O28" s="162"/>
      <c r="P28" s="2" t="s">
        <v>232</v>
      </c>
      <c r="Q28" s="164"/>
      <c r="R28" s="34"/>
    </row>
    <row r="29" spans="1:18">
      <c r="A29" s="158" t="s">
        <v>118</v>
      </c>
      <c r="B29" s="159">
        <f>+B107</f>
        <v>878575</v>
      </c>
      <c r="C29" s="159">
        <f t="shared" ref="C29:L29" si="15">+C107</f>
        <v>878575</v>
      </c>
      <c r="D29" s="159">
        <f t="shared" si="15"/>
        <v>878575</v>
      </c>
      <c r="E29" s="159">
        <f t="shared" si="15"/>
        <v>878575</v>
      </c>
      <c r="F29" s="159">
        <f t="shared" si="15"/>
        <v>878575</v>
      </c>
      <c r="G29" s="159">
        <f t="shared" si="15"/>
        <v>878575</v>
      </c>
      <c r="H29" s="159">
        <f t="shared" si="15"/>
        <v>878575</v>
      </c>
      <c r="I29" s="159">
        <f t="shared" si="15"/>
        <v>878575</v>
      </c>
      <c r="J29" s="159">
        <f t="shared" si="15"/>
        <v>878575</v>
      </c>
      <c r="K29" s="159">
        <f t="shared" si="15"/>
        <v>878575</v>
      </c>
      <c r="L29" s="159">
        <f t="shared" si="15"/>
        <v>878575</v>
      </c>
      <c r="M29" s="159">
        <f>+M107</f>
        <v>878575</v>
      </c>
      <c r="N29" s="164">
        <f t="shared" si="2"/>
        <v>878575</v>
      </c>
      <c r="O29" s="162"/>
      <c r="P29" s="2" t="s">
        <v>233</v>
      </c>
      <c r="Q29" s="164"/>
      <c r="R29" s="34"/>
    </row>
    <row r="30" spans="1:18">
      <c r="A30" s="158" t="s">
        <v>119</v>
      </c>
      <c r="B30" s="542">
        <v>1501167</v>
      </c>
      <c r="C30" s="542">
        <v>1501167</v>
      </c>
      <c r="D30" s="542">
        <v>1501167</v>
      </c>
      <c r="E30" s="542">
        <v>1501167</v>
      </c>
      <c r="F30" s="542">
        <v>1501167</v>
      </c>
      <c r="G30" s="542">
        <v>1403083</v>
      </c>
      <c r="H30" s="542">
        <v>1403083</v>
      </c>
      <c r="I30" s="542">
        <v>1403083</v>
      </c>
      <c r="J30" s="542">
        <v>1403083</v>
      </c>
      <c r="K30" s="542">
        <v>1403083</v>
      </c>
      <c r="L30" s="542">
        <v>1403083</v>
      </c>
      <c r="M30" s="542">
        <v>1403083</v>
      </c>
      <c r="N30" s="164">
        <f t="shared" si="2"/>
        <v>1443951.3333333333</v>
      </c>
      <c r="O30" s="162"/>
      <c r="P30" s="2" t="s">
        <v>234</v>
      </c>
      <c r="Q30" s="164"/>
      <c r="R30" s="34"/>
    </row>
    <row r="31" spans="1:18">
      <c r="A31" s="158" t="s">
        <v>260</v>
      </c>
      <c r="B31" s="489">
        <f>B125</f>
        <v>5844083</v>
      </c>
      <c r="C31" s="489">
        <f t="shared" ref="C31:M31" si="16">C125</f>
        <v>5844083</v>
      </c>
      <c r="D31" s="489">
        <f t="shared" si="16"/>
        <v>5844083</v>
      </c>
      <c r="E31" s="489">
        <f t="shared" si="16"/>
        <v>5844083</v>
      </c>
      <c r="F31" s="489">
        <f t="shared" si="16"/>
        <v>5844083</v>
      </c>
      <c r="G31" s="489">
        <f t="shared" si="16"/>
        <v>5580833</v>
      </c>
      <c r="H31" s="489">
        <f t="shared" si="16"/>
        <v>5580833</v>
      </c>
      <c r="I31" s="489">
        <f t="shared" si="16"/>
        <v>5580833</v>
      </c>
      <c r="J31" s="489">
        <f t="shared" si="16"/>
        <v>5580833</v>
      </c>
      <c r="K31" s="489">
        <f t="shared" si="16"/>
        <v>5580833</v>
      </c>
      <c r="L31" s="489">
        <f t="shared" si="16"/>
        <v>5580833</v>
      </c>
      <c r="M31" s="489">
        <f t="shared" si="16"/>
        <v>5580833</v>
      </c>
      <c r="N31" s="164">
        <f t="shared" si="2"/>
        <v>5690520.5</v>
      </c>
      <c r="O31" s="162"/>
      <c r="P31" s="486" t="s">
        <v>583</v>
      </c>
      <c r="Q31" s="164"/>
      <c r="R31" s="34"/>
    </row>
    <row r="32" spans="1:18">
      <c r="A32" s="158" t="s">
        <v>262</v>
      </c>
      <c r="B32" s="489">
        <f t="shared" ref="B32:L32" si="17">B131</f>
        <v>11650500</v>
      </c>
      <c r="C32" s="489">
        <f t="shared" si="17"/>
        <v>11650500</v>
      </c>
      <c r="D32" s="489">
        <f t="shared" si="17"/>
        <v>11650500</v>
      </c>
      <c r="E32" s="489">
        <f t="shared" si="17"/>
        <v>11650500</v>
      </c>
      <c r="F32" s="489">
        <f t="shared" si="17"/>
        <v>11650500</v>
      </c>
      <c r="G32" s="489">
        <f t="shared" si="17"/>
        <v>11630500</v>
      </c>
      <c r="H32" s="489">
        <f t="shared" si="17"/>
        <v>11630500</v>
      </c>
      <c r="I32" s="489">
        <f t="shared" si="17"/>
        <v>11630500</v>
      </c>
      <c r="J32" s="489">
        <f t="shared" si="17"/>
        <v>10690098</v>
      </c>
      <c r="K32" s="489">
        <f t="shared" si="17"/>
        <v>10690098</v>
      </c>
      <c r="L32" s="489">
        <f t="shared" si="17"/>
        <v>10690098</v>
      </c>
      <c r="M32" s="489">
        <f>M131</f>
        <v>10690098</v>
      </c>
      <c r="N32" s="164">
        <f t="shared" si="2"/>
        <v>11325366</v>
      </c>
      <c r="O32" s="162"/>
      <c r="P32" s="486" t="s">
        <v>584</v>
      </c>
      <c r="Q32" s="164"/>
      <c r="R32" s="34"/>
    </row>
    <row r="33" spans="1:18">
      <c r="A33" s="158" t="s">
        <v>266</v>
      </c>
      <c r="B33" s="489">
        <f t="shared" ref="B33:L33" si="18">B134</f>
        <v>3047784</v>
      </c>
      <c r="C33" s="489">
        <f t="shared" si="18"/>
        <v>3047784</v>
      </c>
      <c r="D33" s="489">
        <f t="shared" si="18"/>
        <v>3047784</v>
      </c>
      <c r="E33" s="489">
        <f t="shared" si="18"/>
        <v>3047784</v>
      </c>
      <c r="F33" s="489">
        <f t="shared" si="18"/>
        <v>3047784</v>
      </c>
      <c r="G33" s="489">
        <f t="shared" si="18"/>
        <v>3055417</v>
      </c>
      <c r="H33" s="489">
        <f t="shared" si="18"/>
        <v>3055417</v>
      </c>
      <c r="I33" s="489">
        <f t="shared" si="18"/>
        <v>3055417</v>
      </c>
      <c r="J33" s="489">
        <f t="shared" si="18"/>
        <v>3055417</v>
      </c>
      <c r="K33" s="489">
        <f t="shared" si="18"/>
        <v>3055417</v>
      </c>
      <c r="L33" s="489">
        <f t="shared" si="18"/>
        <v>3055417</v>
      </c>
      <c r="M33" s="489">
        <f>M134</f>
        <v>3055417</v>
      </c>
      <c r="N33" s="164">
        <f t="shared" si="2"/>
        <v>3052236.5833333335</v>
      </c>
      <c r="O33" s="162"/>
      <c r="P33" s="486" t="s">
        <v>585</v>
      </c>
      <c r="Q33" s="164"/>
      <c r="R33" s="34"/>
    </row>
    <row r="34" spans="1:18">
      <c r="A34" s="158" t="s">
        <v>268</v>
      </c>
      <c r="B34" s="489">
        <f t="shared" ref="B34:L34" si="19">B140</f>
        <v>3563667</v>
      </c>
      <c r="C34" s="489">
        <f t="shared" si="19"/>
        <v>3563667</v>
      </c>
      <c r="D34" s="489">
        <f t="shared" si="19"/>
        <v>3563667</v>
      </c>
      <c r="E34" s="489">
        <f t="shared" si="19"/>
        <v>3563667</v>
      </c>
      <c r="F34" s="489">
        <f t="shared" si="19"/>
        <v>3563667</v>
      </c>
      <c r="G34" s="489">
        <f t="shared" si="19"/>
        <v>3556667</v>
      </c>
      <c r="H34" s="489">
        <f t="shared" si="19"/>
        <v>3556667</v>
      </c>
      <c r="I34" s="489">
        <f t="shared" si="19"/>
        <v>3556667</v>
      </c>
      <c r="J34" s="489">
        <f t="shared" si="19"/>
        <v>3556667</v>
      </c>
      <c r="K34" s="489">
        <f t="shared" si="19"/>
        <v>3556667</v>
      </c>
      <c r="L34" s="489">
        <f t="shared" si="19"/>
        <v>3556667</v>
      </c>
      <c r="M34" s="489">
        <f>M140</f>
        <v>3556667</v>
      </c>
      <c r="N34" s="164">
        <f t="shared" si="2"/>
        <v>3559583.6666666665</v>
      </c>
      <c r="O34" s="162"/>
      <c r="P34" s="486" t="s">
        <v>586</v>
      </c>
      <c r="Q34" s="164"/>
      <c r="R34" s="34"/>
    </row>
    <row r="35" spans="1:18">
      <c r="A35" s="158" t="s">
        <v>263</v>
      </c>
      <c r="B35" s="489">
        <f>B143</f>
        <v>1670417</v>
      </c>
      <c r="C35" s="489">
        <f t="shared" ref="C35:M35" si="20">C143</f>
        <v>1670417</v>
      </c>
      <c r="D35" s="489">
        <f t="shared" si="20"/>
        <v>1670417</v>
      </c>
      <c r="E35" s="489">
        <f t="shared" si="20"/>
        <v>1670417</v>
      </c>
      <c r="F35" s="489">
        <f t="shared" si="20"/>
        <v>1670417</v>
      </c>
      <c r="G35" s="489">
        <f t="shared" si="20"/>
        <v>1662666</v>
      </c>
      <c r="H35" s="489">
        <f t="shared" si="20"/>
        <v>1662666</v>
      </c>
      <c r="I35" s="489">
        <f t="shared" si="20"/>
        <v>1662666</v>
      </c>
      <c r="J35" s="489">
        <f t="shared" si="20"/>
        <v>1662666</v>
      </c>
      <c r="K35" s="489">
        <f t="shared" si="20"/>
        <v>1662666</v>
      </c>
      <c r="L35" s="489">
        <f t="shared" si="20"/>
        <v>1662666</v>
      </c>
      <c r="M35" s="489">
        <f t="shared" si="20"/>
        <v>1662666</v>
      </c>
      <c r="N35" s="164">
        <f t="shared" si="2"/>
        <v>1665895.5833333333</v>
      </c>
      <c r="O35" s="162"/>
      <c r="P35" s="486" t="s">
        <v>587</v>
      </c>
      <c r="Q35" s="164"/>
      <c r="R35" s="34"/>
    </row>
    <row r="36" spans="1:18">
      <c r="A36" s="158" t="s">
        <v>267</v>
      </c>
      <c r="B36" s="542">
        <v>726333</v>
      </c>
      <c r="C36" s="542">
        <v>726333</v>
      </c>
      <c r="D36" s="542">
        <v>726333</v>
      </c>
      <c r="E36" s="542">
        <v>726333</v>
      </c>
      <c r="F36" s="542">
        <v>726333</v>
      </c>
      <c r="G36" s="542">
        <v>725500</v>
      </c>
      <c r="H36" s="542">
        <v>725500</v>
      </c>
      <c r="I36" s="542">
        <v>725500</v>
      </c>
      <c r="J36" s="542">
        <v>725500</v>
      </c>
      <c r="K36" s="542">
        <v>725500</v>
      </c>
      <c r="L36" s="542">
        <v>725500</v>
      </c>
      <c r="M36" s="542">
        <v>725500</v>
      </c>
      <c r="N36" s="164">
        <f t="shared" si="2"/>
        <v>725847.08333333337</v>
      </c>
      <c r="O36" s="162"/>
      <c r="P36" s="486" t="s">
        <v>588</v>
      </c>
      <c r="Q36" s="164"/>
      <c r="R36" s="34"/>
    </row>
    <row r="37" spans="1:18">
      <c r="A37" s="158" t="s">
        <v>273</v>
      </c>
      <c r="B37" s="542">
        <v>377667</v>
      </c>
      <c r="C37" s="542">
        <v>377667</v>
      </c>
      <c r="D37" s="542">
        <v>377667</v>
      </c>
      <c r="E37" s="542">
        <v>377667</v>
      </c>
      <c r="F37" s="542">
        <v>377667</v>
      </c>
      <c r="G37" s="542">
        <v>382667</v>
      </c>
      <c r="H37" s="542">
        <v>382667</v>
      </c>
      <c r="I37" s="542">
        <v>382667</v>
      </c>
      <c r="J37" s="542">
        <v>382667</v>
      </c>
      <c r="K37" s="542">
        <v>382667</v>
      </c>
      <c r="L37" s="542">
        <v>382667</v>
      </c>
      <c r="M37" s="542">
        <v>382667</v>
      </c>
      <c r="N37" s="164">
        <f t="shared" si="2"/>
        <v>380583.66666666669</v>
      </c>
      <c r="O37" s="162"/>
      <c r="P37" s="486" t="s">
        <v>589</v>
      </c>
      <c r="Q37" s="164"/>
      <c r="R37" s="34"/>
    </row>
    <row r="38" spans="1:18">
      <c r="A38" s="158" t="s">
        <v>605</v>
      </c>
      <c r="B38" s="551"/>
      <c r="C38" s="551"/>
      <c r="D38" s="551"/>
      <c r="E38" s="551"/>
      <c r="F38" s="551"/>
      <c r="G38" s="551"/>
      <c r="H38" s="551"/>
      <c r="I38" s="551"/>
      <c r="J38" s="542">
        <v>940402</v>
      </c>
      <c r="K38" s="542">
        <v>940402</v>
      </c>
      <c r="L38" s="542">
        <v>940402</v>
      </c>
      <c r="M38" s="542">
        <v>940402</v>
      </c>
      <c r="N38" s="164">
        <f t="shared" si="2"/>
        <v>313467.33333333331</v>
      </c>
      <c r="O38" s="162"/>
      <c r="P38" s="486" t="s">
        <v>606</v>
      </c>
      <c r="Q38" s="164"/>
      <c r="R38" s="34"/>
    </row>
    <row r="39" spans="1:18" ht="16.5" thickBot="1">
      <c r="A39" s="158" t="s">
        <v>71</v>
      </c>
      <c r="B39" s="161">
        <f>SUM(B4:B38)-B18-B8-B9</f>
        <v>102856976</v>
      </c>
      <c r="C39" s="161">
        <f t="shared" ref="C39:L39" si="21">SUM(C4:C38)-C18-C8-C9</f>
        <v>102856976</v>
      </c>
      <c r="D39" s="161">
        <f t="shared" si="21"/>
        <v>102856976</v>
      </c>
      <c r="E39" s="161">
        <f t="shared" si="21"/>
        <v>102856976</v>
      </c>
      <c r="F39" s="161">
        <f t="shared" si="21"/>
        <v>102866092</v>
      </c>
      <c r="G39" s="161">
        <f t="shared" si="21"/>
        <v>101669973</v>
      </c>
      <c r="H39" s="161">
        <f t="shared" si="21"/>
        <v>101669973</v>
      </c>
      <c r="I39" s="161">
        <f t="shared" si="21"/>
        <v>101669973</v>
      </c>
      <c r="J39" s="161">
        <f t="shared" si="21"/>
        <v>101669973</v>
      </c>
      <c r="K39" s="161">
        <f t="shared" si="21"/>
        <v>101669973</v>
      </c>
      <c r="L39" s="161">
        <f t="shared" si="21"/>
        <v>101669973</v>
      </c>
      <c r="M39" s="161">
        <f>SUM(M4:M38)-M18-M8-M9</f>
        <v>101669973</v>
      </c>
      <c r="N39" s="161">
        <f>SUM(N4:N38)-N18-N8-N9</f>
        <v>102165317.25</v>
      </c>
      <c r="O39" s="162"/>
      <c r="Q39" s="164"/>
      <c r="R39" s="34"/>
    </row>
    <row r="40" spans="1:18" ht="16.5" thickTop="1">
      <c r="A40" s="162"/>
      <c r="B40" s="518"/>
      <c r="C40" s="518"/>
      <c r="D40" s="518"/>
      <c r="E40" s="518"/>
      <c r="F40" s="518"/>
      <c r="G40" s="518"/>
      <c r="H40" s="518"/>
      <c r="I40" s="518"/>
      <c r="J40" s="518"/>
      <c r="K40" s="518"/>
      <c r="L40" s="518"/>
      <c r="M40" s="518"/>
      <c r="N40" s="519"/>
      <c r="O40" s="162"/>
      <c r="Q40" s="164"/>
    </row>
    <row r="41" spans="1:18">
      <c r="A41" s="162"/>
      <c r="B41" s="210"/>
      <c r="C41" s="520"/>
      <c r="D41" s="520"/>
      <c r="E41" s="520"/>
      <c r="F41" s="520"/>
      <c r="G41" s="520"/>
      <c r="H41" s="520"/>
      <c r="I41" s="520"/>
      <c r="J41" s="520"/>
      <c r="K41" s="520"/>
      <c r="L41" s="520"/>
      <c r="M41" s="520"/>
      <c r="N41" s="521"/>
      <c r="O41" s="162"/>
      <c r="Q41" s="164"/>
    </row>
    <row r="42" spans="1:18">
      <c r="A42" s="42" t="s">
        <v>68</v>
      </c>
      <c r="B42" s="542">
        <v>5385333</v>
      </c>
      <c r="C42" s="542">
        <v>5385333</v>
      </c>
      <c r="D42" s="542">
        <v>5385333</v>
      </c>
      <c r="E42" s="542">
        <v>5385333</v>
      </c>
      <c r="F42" s="542">
        <v>5385333</v>
      </c>
      <c r="G42" s="542">
        <v>5212000</v>
      </c>
      <c r="H42" s="542">
        <v>5212000</v>
      </c>
      <c r="I42" s="542">
        <v>5212000</v>
      </c>
      <c r="J42" s="542">
        <v>5212000</v>
      </c>
      <c r="K42" s="542">
        <v>5212000</v>
      </c>
      <c r="L42" s="542">
        <v>5212000</v>
      </c>
      <c r="M42" s="542">
        <v>5212000</v>
      </c>
      <c r="N42" s="162"/>
      <c r="O42" s="162"/>
      <c r="Q42" s="162"/>
    </row>
    <row r="43" spans="1:18">
      <c r="A43" s="43" t="s">
        <v>72</v>
      </c>
      <c r="B43" s="542">
        <v>513333</v>
      </c>
      <c r="C43" s="542">
        <v>513333</v>
      </c>
      <c r="D43" s="542">
        <v>513333</v>
      </c>
      <c r="E43" s="542">
        <v>513333</v>
      </c>
      <c r="F43" s="542">
        <v>513333</v>
      </c>
      <c r="G43" s="542">
        <v>491583</v>
      </c>
      <c r="H43" s="542">
        <v>491583</v>
      </c>
      <c r="I43" s="542">
        <v>491583</v>
      </c>
      <c r="J43" s="542">
        <v>491583</v>
      </c>
      <c r="K43" s="542">
        <v>491583</v>
      </c>
      <c r="L43" s="542">
        <v>491583</v>
      </c>
      <c r="M43" s="542">
        <v>491583</v>
      </c>
      <c r="N43" s="162"/>
      <c r="O43" s="162"/>
      <c r="Q43" s="162"/>
    </row>
    <row r="44" spans="1:18">
      <c r="A44" s="43" t="s">
        <v>73</v>
      </c>
      <c r="B44" s="543">
        <v>496637</v>
      </c>
      <c r="C44" s="543">
        <v>496637</v>
      </c>
      <c r="D44" s="543">
        <v>496637</v>
      </c>
      <c r="E44" s="543">
        <v>496637</v>
      </c>
      <c r="F44" s="543">
        <v>496637</v>
      </c>
      <c r="G44" s="543">
        <v>471063</v>
      </c>
      <c r="H44" s="543">
        <v>471063</v>
      </c>
      <c r="I44" s="543">
        <v>471063</v>
      </c>
      <c r="J44" s="543">
        <v>471063</v>
      </c>
      <c r="K44" s="543">
        <v>471063</v>
      </c>
      <c r="L44" s="543">
        <v>471063</v>
      </c>
      <c r="M44" s="543">
        <v>471063</v>
      </c>
      <c r="N44" s="162"/>
      <c r="O44" s="162"/>
      <c r="Q44" s="162"/>
    </row>
    <row r="45" spans="1:18" s="163" customFormat="1">
      <c r="A45" s="54" t="s">
        <v>74</v>
      </c>
      <c r="B45" s="104">
        <f t="shared" ref="B45:M45" si="22">SUM(B42:B44)</f>
        <v>6395303</v>
      </c>
      <c r="C45" s="104">
        <f t="shared" si="22"/>
        <v>6395303</v>
      </c>
      <c r="D45" s="104">
        <f t="shared" si="22"/>
        <v>6395303</v>
      </c>
      <c r="E45" s="104">
        <f t="shared" si="22"/>
        <v>6395303</v>
      </c>
      <c r="F45" s="104">
        <f t="shared" si="22"/>
        <v>6395303</v>
      </c>
      <c r="G45" s="104">
        <f t="shared" si="22"/>
        <v>6174646</v>
      </c>
      <c r="H45" s="104">
        <f t="shared" si="22"/>
        <v>6174646</v>
      </c>
      <c r="I45" s="104">
        <f t="shared" si="22"/>
        <v>6174646</v>
      </c>
      <c r="J45" s="104">
        <f t="shared" si="22"/>
        <v>6174646</v>
      </c>
      <c r="K45" s="104">
        <f t="shared" si="22"/>
        <v>6174646</v>
      </c>
      <c r="L45" s="104">
        <f t="shared" si="22"/>
        <v>6174646</v>
      </c>
      <c r="M45" s="104">
        <f t="shared" si="22"/>
        <v>6174646</v>
      </c>
      <c r="N45" s="162"/>
      <c r="O45" s="162"/>
      <c r="Q45" s="162"/>
    </row>
    <row r="46" spans="1:18">
      <c r="A46" s="45" t="s">
        <v>20</v>
      </c>
      <c r="B46" s="542"/>
      <c r="C46" s="542"/>
      <c r="D46" s="542"/>
      <c r="E46" s="542"/>
      <c r="F46" s="542"/>
      <c r="G46" s="544"/>
      <c r="H46" s="544"/>
      <c r="I46" s="544"/>
      <c r="J46" s="544"/>
      <c r="K46" s="544"/>
      <c r="L46" s="544"/>
      <c r="M46" s="544"/>
      <c r="N46" s="162"/>
      <c r="O46" s="162"/>
      <c r="Q46" s="162"/>
    </row>
    <row r="47" spans="1:18">
      <c r="A47" s="46" t="s">
        <v>75</v>
      </c>
      <c r="B47" s="545"/>
      <c r="C47" s="545"/>
      <c r="D47" s="545"/>
      <c r="E47" s="545"/>
      <c r="F47" s="545"/>
      <c r="G47" s="546"/>
      <c r="H47" s="546"/>
      <c r="I47" s="546"/>
      <c r="J47" s="546"/>
      <c r="K47" s="546"/>
      <c r="L47" s="546"/>
      <c r="M47" s="546"/>
      <c r="N47" s="162"/>
      <c r="O47" s="162"/>
      <c r="Q47" s="162"/>
    </row>
    <row r="48" spans="1:18" s="163" customFormat="1">
      <c r="A48" s="54" t="s">
        <v>76</v>
      </c>
      <c r="B48" s="104">
        <f>SUM(B46:B47)</f>
        <v>0</v>
      </c>
      <c r="C48" s="104">
        <f>SUM(C46:C47)</f>
        <v>0</v>
      </c>
      <c r="D48" s="104">
        <f>SUM(D46:D47)</f>
        <v>0</v>
      </c>
      <c r="E48" s="104">
        <f>SUM(E46:E47)</f>
        <v>0</v>
      </c>
      <c r="F48" s="104">
        <f>SUM(F46:F47)</f>
        <v>0</v>
      </c>
      <c r="G48" s="104">
        <f t="shared" ref="G48:L48" si="23">SUM(G46:G47)</f>
        <v>0</v>
      </c>
      <c r="H48" s="104">
        <f t="shared" si="23"/>
        <v>0</v>
      </c>
      <c r="I48" s="104">
        <f t="shared" si="23"/>
        <v>0</v>
      </c>
      <c r="J48" s="104">
        <f t="shared" si="23"/>
        <v>0</v>
      </c>
      <c r="K48" s="104">
        <f t="shared" si="23"/>
        <v>0</v>
      </c>
      <c r="L48" s="104">
        <f t="shared" si="23"/>
        <v>0</v>
      </c>
      <c r="M48" s="104">
        <f>SUM(M46:M47)</f>
        <v>0</v>
      </c>
      <c r="N48" s="162"/>
      <c r="O48" s="162"/>
      <c r="Q48" s="162"/>
    </row>
    <row r="49" spans="1:17">
      <c r="A49" s="48" t="s">
        <v>77</v>
      </c>
      <c r="B49" s="542">
        <v>0</v>
      </c>
      <c r="C49" s="542">
        <v>0</v>
      </c>
      <c r="D49" s="542">
        <v>0</v>
      </c>
      <c r="E49" s="542">
        <v>0</v>
      </c>
      <c r="F49" s="542">
        <v>0</v>
      </c>
      <c r="G49" s="547">
        <v>0</v>
      </c>
      <c r="H49" s="547">
        <v>0</v>
      </c>
      <c r="I49" s="547">
        <v>0</v>
      </c>
      <c r="J49" s="547">
        <v>0</v>
      </c>
      <c r="K49" s="547">
        <v>0</v>
      </c>
      <c r="L49" s="547">
        <v>0</v>
      </c>
      <c r="M49" s="547">
        <v>0</v>
      </c>
      <c r="N49" s="162"/>
      <c r="O49" s="162"/>
      <c r="Q49" s="162"/>
    </row>
    <row r="50" spans="1:17">
      <c r="A50" s="48" t="s">
        <v>78</v>
      </c>
      <c r="B50" s="542">
        <v>0</v>
      </c>
      <c r="C50" s="542">
        <v>0</v>
      </c>
      <c r="D50" s="542">
        <v>0</v>
      </c>
      <c r="E50" s="542">
        <v>0</v>
      </c>
      <c r="F50" s="542">
        <v>0</v>
      </c>
      <c r="G50" s="547">
        <v>0</v>
      </c>
      <c r="H50" s="547">
        <v>0</v>
      </c>
      <c r="I50" s="547">
        <v>0</v>
      </c>
      <c r="J50" s="547">
        <v>0</v>
      </c>
      <c r="K50" s="547">
        <v>0</v>
      </c>
      <c r="L50" s="547">
        <v>0</v>
      </c>
      <c r="M50" s="547">
        <v>0</v>
      </c>
      <c r="N50" s="162"/>
      <c r="O50" s="162"/>
      <c r="Q50" s="162"/>
    </row>
    <row r="51" spans="1:17">
      <c r="A51" s="48" t="s">
        <v>79</v>
      </c>
      <c r="B51" s="542">
        <v>0</v>
      </c>
      <c r="C51" s="542">
        <v>0</v>
      </c>
      <c r="D51" s="542">
        <v>0</v>
      </c>
      <c r="E51" s="542">
        <v>0</v>
      </c>
      <c r="F51" s="542">
        <v>0</v>
      </c>
      <c r="G51" s="547">
        <v>0</v>
      </c>
      <c r="H51" s="547">
        <v>0</v>
      </c>
      <c r="I51" s="547">
        <v>0</v>
      </c>
      <c r="J51" s="547">
        <v>0</v>
      </c>
      <c r="K51" s="547">
        <v>0</v>
      </c>
      <c r="L51" s="547">
        <v>0</v>
      </c>
      <c r="M51" s="547">
        <v>0</v>
      </c>
      <c r="N51" s="162"/>
      <c r="O51" s="162"/>
      <c r="Q51" s="162"/>
    </row>
    <row r="52" spans="1:17">
      <c r="A52" s="48" t="s">
        <v>80</v>
      </c>
      <c r="B52" s="542">
        <v>0</v>
      </c>
      <c r="C52" s="542">
        <v>0</v>
      </c>
      <c r="D52" s="542">
        <v>0</v>
      </c>
      <c r="E52" s="542">
        <v>0</v>
      </c>
      <c r="F52" s="542">
        <v>0</v>
      </c>
      <c r="G52" s="547">
        <v>0</v>
      </c>
      <c r="H52" s="547">
        <v>0</v>
      </c>
      <c r="I52" s="547">
        <v>0</v>
      </c>
      <c r="J52" s="547">
        <v>0</v>
      </c>
      <c r="K52" s="547">
        <v>0</v>
      </c>
      <c r="L52" s="547">
        <v>0</v>
      </c>
      <c r="M52" s="547">
        <v>0</v>
      </c>
      <c r="N52" s="162"/>
      <c r="O52" s="162"/>
      <c r="Q52" s="162"/>
    </row>
    <row r="53" spans="1:17">
      <c r="A53" s="48" t="s">
        <v>81</v>
      </c>
      <c r="B53" s="542">
        <v>0</v>
      </c>
      <c r="C53" s="542">
        <v>0</v>
      </c>
      <c r="D53" s="542">
        <v>0</v>
      </c>
      <c r="E53" s="542">
        <v>0</v>
      </c>
      <c r="F53" s="542">
        <v>0</v>
      </c>
      <c r="G53" s="547">
        <v>0</v>
      </c>
      <c r="H53" s="547">
        <v>0</v>
      </c>
      <c r="I53" s="547">
        <v>0</v>
      </c>
      <c r="J53" s="547">
        <v>0</v>
      </c>
      <c r="K53" s="547">
        <v>0</v>
      </c>
      <c r="L53" s="547">
        <v>0</v>
      </c>
      <c r="M53" s="547">
        <v>0</v>
      </c>
      <c r="N53" s="162"/>
      <c r="O53" s="162"/>
      <c r="Q53" s="162"/>
    </row>
    <row r="54" spans="1:17">
      <c r="A54" s="48" t="s">
        <v>82</v>
      </c>
      <c r="B54" s="542">
        <v>0</v>
      </c>
      <c r="C54" s="542">
        <v>0</v>
      </c>
      <c r="D54" s="542">
        <v>0</v>
      </c>
      <c r="E54" s="542">
        <v>0</v>
      </c>
      <c r="F54" s="542">
        <v>0</v>
      </c>
      <c r="G54" s="548">
        <v>0</v>
      </c>
      <c r="H54" s="548">
        <v>0</v>
      </c>
      <c r="I54" s="548">
        <v>0</v>
      </c>
      <c r="J54" s="548">
        <v>0</v>
      </c>
      <c r="K54" s="548">
        <v>0</v>
      </c>
      <c r="L54" s="548">
        <v>0</v>
      </c>
      <c r="M54" s="548">
        <v>0</v>
      </c>
      <c r="N54" s="162"/>
      <c r="O54" s="162"/>
      <c r="Q54" s="162"/>
    </row>
    <row r="55" spans="1:17" s="163" customFormat="1">
      <c r="A55" s="54" t="s">
        <v>83</v>
      </c>
      <c r="B55" s="104">
        <f t="shared" ref="B55:M55" si="24">B122</f>
        <v>7237891</v>
      </c>
      <c r="C55" s="104">
        <f t="shared" si="24"/>
        <v>7237891</v>
      </c>
      <c r="D55" s="104">
        <f t="shared" si="24"/>
        <v>7237891</v>
      </c>
      <c r="E55" s="104">
        <f t="shared" si="24"/>
        <v>7237891</v>
      </c>
      <c r="F55" s="104">
        <f t="shared" si="24"/>
        <v>7237891</v>
      </c>
      <c r="G55" s="104">
        <f t="shared" si="24"/>
        <v>7237891</v>
      </c>
      <c r="H55" s="104">
        <f t="shared" si="24"/>
        <v>7237891</v>
      </c>
      <c r="I55" s="104">
        <f t="shared" si="24"/>
        <v>7237891</v>
      </c>
      <c r="J55" s="104">
        <f t="shared" si="24"/>
        <v>7237891</v>
      </c>
      <c r="K55" s="104">
        <f t="shared" si="24"/>
        <v>7237891</v>
      </c>
      <c r="L55" s="104">
        <f t="shared" si="24"/>
        <v>7237891</v>
      </c>
      <c r="M55" s="104">
        <f t="shared" si="24"/>
        <v>7237891</v>
      </c>
      <c r="N55" s="162"/>
      <c r="O55" s="162"/>
      <c r="Q55" s="162"/>
    </row>
    <row r="56" spans="1:17">
      <c r="A56" s="50" t="s">
        <v>84</v>
      </c>
      <c r="B56" s="542">
        <v>8586625</v>
      </c>
      <c r="C56" s="542">
        <v>8586625</v>
      </c>
      <c r="D56" s="542">
        <v>8586625</v>
      </c>
      <c r="E56" s="542">
        <v>8586625</v>
      </c>
      <c r="F56" s="542">
        <v>8586625</v>
      </c>
      <c r="G56" s="542">
        <v>8586625</v>
      </c>
      <c r="H56" s="542">
        <v>8586625</v>
      </c>
      <c r="I56" s="542">
        <v>8586625</v>
      </c>
      <c r="J56" s="542">
        <v>8586625</v>
      </c>
      <c r="K56" s="542">
        <v>8586625</v>
      </c>
      <c r="L56" s="542">
        <v>8586625</v>
      </c>
      <c r="M56" s="542">
        <v>8586625</v>
      </c>
      <c r="N56" s="162"/>
      <c r="O56" s="162"/>
      <c r="Q56" s="162"/>
    </row>
    <row r="57" spans="1:17">
      <c r="A57" s="51" t="s">
        <v>77</v>
      </c>
      <c r="B57" s="542">
        <v>0</v>
      </c>
      <c r="C57" s="542">
        <v>0</v>
      </c>
      <c r="D57" s="542">
        <v>0</v>
      </c>
      <c r="E57" s="542">
        <v>0</v>
      </c>
      <c r="F57" s="542">
        <v>0</v>
      </c>
      <c r="G57" s="542">
        <v>0</v>
      </c>
      <c r="H57" s="542">
        <v>0</v>
      </c>
      <c r="I57" s="542">
        <v>0</v>
      </c>
      <c r="J57" s="542">
        <v>0</v>
      </c>
      <c r="K57" s="542">
        <v>0</v>
      </c>
      <c r="L57" s="542">
        <v>0</v>
      </c>
      <c r="M57" s="542">
        <v>0</v>
      </c>
      <c r="N57" s="162"/>
      <c r="O57" s="162"/>
      <c r="Q57" s="162"/>
    </row>
    <row r="58" spans="1:17" s="163" customFormat="1">
      <c r="A58" s="54" t="s">
        <v>21</v>
      </c>
      <c r="B58" s="104">
        <f t="shared" ref="B58:M58" si="25">SUM(B56:B57)</f>
        <v>8586625</v>
      </c>
      <c r="C58" s="104">
        <f t="shared" si="25"/>
        <v>8586625</v>
      </c>
      <c r="D58" s="104">
        <f t="shared" si="25"/>
        <v>8586625</v>
      </c>
      <c r="E58" s="104">
        <f t="shared" si="25"/>
        <v>8586625</v>
      </c>
      <c r="F58" s="104">
        <f t="shared" si="25"/>
        <v>8586625</v>
      </c>
      <c r="G58" s="104">
        <f t="shared" si="25"/>
        <v>8586625</v>
      </c>
      <c r="H58" s="104">
        <f t="shared" si="25"/>
        <v>8586625</v>
      </c>
      <c r="I58" s="104">
        <f t="shared" si="25"/>
        <v>8586625</v>
      </c>
      <c r="J58" s="104">
        <f t="shared" si="25"/>
        <v>8586625</v>
      </c>
      <c r="K58" s="104">
        <f t="shared" si="25"/>
        <v>8586625</v>
      </c>
      <c r="L58" s="104">
        <f t="shared" si="25"/>
        <v>8586625</v>
      </c>
      <c r="M58" s="104">
        <f t="shared" si="25"/>
        <v>8586625</v>
      </c>
      <c r="N58" s="162"/>
      <c r="O58" s="162"/>
      <c r="Q58" s="162"/>
    </row>
    <row r="59" spans="1:17">
      <c r="A59" s="52" t="s">
        <v>85</v>
      </c>
      <c r="B59" s="542">
        <v>875484</v>
      </c>
      <c r="C59" s="542">
        <v>875484</v>
      </c>
      <c r="D59" s="542">
        <v>875484</v>
      </c>
      <c r="E59" s="542">
        <v>875484</v>
      </c>
      <c r="F59" s="542">
        <v>875484</v>
      </c>
      <c r="G59" s="542">
        <v>875484</v>
      </c>
      <c r="H59" s="542">
        <v>875484</v>
      </c>
      <c r="I59" s="542">
        <v>875484</v>
      </c>
      <c r="J59" s="542">
        <v>875484</v>
      </c>
      <c r="K59" s="542">
        <v>875484</v>
      </c>
      <c r="L59" s="542">
        <v>875484</v>
      </c>
      <c r="M59" s="542">
        <v>875484</v>
      </c>
      <c r="N59" s="162"/>
      <c r="O59" s="162"/>
      <c r="Q59" s="162"/>
    </row>
    <row r="60" spans="1:17">
      <c r="A60" s="51" t="s">
        <v>31</v>
      </c>
      <c r="B60" s="542">
        <v>41800</v>
      </c>
      <c r="C60" s="542">
        <v>41800</v>
      </c>
      <c r="D60" s="542">
        <v>41800</v>
      </c>
      <c r="E60" s="542">
        <v>41800</v>
      </c>
      <c r="F60" s="542">
        <v>41800</v>
      </c>
      <c r="G60" s="542">
        <v>42300</v>
      </c>
      <c r="H60" s="542">
        <v>42300</v>
      </c>
      <c r="I60" s="542">
        <v>42300</v>
      </c>
      <c r="J60" s="542">
        <v>42300</v>
      </c>
      <c r="K60" s="542">
        <v>42300</v>
      </c>
      <c r="L60" s="542">
        <v>42300</v>
      </c>
      <c r="M60" s="542">
        <v>42300</v>
      </c>
      <c r="N60" s="162"/>
      <c r="O60" s="162"/>
      <c r="Q60" s="162"/>
    </row>
    <row r="61" spans="1:17">
      <c r="A61" s="51" t="s">
        <v>86</v>
      </c>
      <c r="B61" s="542">
        <v>0</v>
      </c>
      <c r="C61" s="542">
        <v>0</v>
      </c>
      <c r="D61" s="542">
        <v>0</v>
      </c>
      <c r="E61" s="542">
        <v>0</v>
      </c>
      <c r="F61" s="542">
        <v>0</v>
      </c>
      <c r="G61" s="542">
        <v>0</v>
      </c>
      <c r="H61" s="542">
        <v>0</v>
      </c>
      <c r="I61" s="542">
        <v>0</v>
      </c>
      <c r="J61" s="542">
        <v>0</v>
      </c>
      <c r="K61" s="542">
        <v>0</v>
      </c>
      <c r="L61" s="542">
        <v>0</v>
      </c>
      <c r="M61" s="542">
        <v>0</v>
      </c>
      <c r="N61" s="162"/>
      <c r="O61" s="162"/>
      <c r="Q61" s="162"/>
    </row>
    <row r="62" spans="1:17" s="163" customFormat="1">
      <c r="A62" s="549" t="s">
        <v>594</v>
      </c>
      <c r="B62" s="542">
        <v>39400</v>
      </c>
      <c r="C62" s="542">
        <v>39400</v>
      </c>
      <c r="D62" s="542">
        <v>39400</v>
      </c>
      <c r="E62" s="542">
        <v>39400</v>
      </c>
      <c r="F62" s="542">
        <v>39400</v>
      </c>
      <c r="G62" s="542">
        <v>39400</v>
      </c>
      <c r="H62" s="542">
        <v>39400</v>
      </c>
      <c r="I62" s="542">
        <v>39400</v>
      </c>
      <c r="J62" s="542">
        <v>39400</v>
      </c>
      <c r="K62" s="542">
        <v>39400</v>
      </c>
      <c r="L62" s="542">
        <v>39400</v>
      </c>
      <c r="M62" s="542">
        <v>39400</v>
      </c>
      <c r="N62" s="162"/>
      <c r="O62" s="162"/>
      <c r="Q62" s="162"/>
    </row>
    <row r="63" spans="1:17">
      <c r="A63" s="51" t="s">
        <v>179</v>
      </c>
      <c r="B63" s="542">
        <v>46125</v>
      </c>
      <c r="C63" s="542">
        <v>46125</v>
      </c>
      <c r="D63" s="542">
        <v>46125</v>
      </c>
      <c r="E63" s="542">
        <v>46125</v>
      </c>
      <c r="F63" s="542">
        <v>46125</v>
      </c>
      <c r="G63" s="542">
        <v>46417</v>
      </c>
      <c r="H63" s="542">
        <v>46417</v>
      </c>
      <c r="I63" s="542">
        <v>46417</v>
      </c>
      <c r="J63" s="542">
        <v>46417</v>
      </c>
      <c r="K63" s="542">
        <v>46417</v>
      </c>
      <c r="L63" s="542">
        <v>46417</v>
      </c>
      <c r="M63" s="542">
        <v>46417</v>
      </c>
      <c r="N63" s="162"/>
      <c r="O63" s="162"/>
      <c r="Q63" s="162"/>
    </row>
    <row r="64" spans="1:17">
      <c r="A64" s="51" t="s">
        <v>87</v>
      </c>
      <c r="B64" s="542">
        <v>64250</v>
      </c>
      <c r="C64" s="542">
        <v>64250</v>
      </c>
      <c r="D64" s="542">
        <v>64250</v>
      </c>
      <c r="E64" s="542">
        <v>64250</v>
      </c>
      <c r="F64" s="542">
        <v>64250</v>
      </c>
      <c r="G64" s="542">
        <v>64250</v>
      </c>
      <c r="H64" s="542">
        <v>64250</v>
      </c>
      <c r="I64" s="542">
        <v>64250</v>
      </c>
      <c r="J64" s="542">
        <v>64250</v>
      </c>
      <c r="K64" s="542">
        <v>64250</v>
      </c>
      <c r="L64" s="542">
        <v>64250</v>
      </c>
      <c r="M64" s="542">
        <v>64250</v>
      </c>
      <c r="N64" s="162"/>
      <c r="O64" s="162"/>
      <c r="Q64" s="162"/>
    </row>
    <row r="65" spans="1:17" s="163" customFormat="1">
      <c r="A65" s="54" t="s">
        <v>32</v>
      </c>
      <c r="B65" s="104">
        <f t="shared" ref="B65:M65" si="26">SUM(B59:B64)</f>
        <v>1067059</v>
      </c>
      <c r="C65" s="104">
        <f t="shared" si="26"/>
        <v>1067059</v>
      </c>
      <c r="D65" s="104">
        <f t="shared" si="26"/>
        <v>1067059</v>
      </c>
      <c r="E65" s="104">
        <f t="shared" si="26"/>
        <v>1067059</v>
      </c>
      <c r="F65" s="104">
        <f t="shared" si="26"/>
        <v>1067059</v>
      </c>
      <c r="G65" s="104">
        <f t="shared" si="26"/>
        <v>1067851</v>
      </c>
      <c r="H65" s="104">
        <f t="shared" si="26"/>
        <v>1067851</v>
      </c>
      <c r="I65" s="104">
        <f t="shared" si="26"/>
        <v>1067851</v>
      </c>
      <c r="J65" s="104">
        <f t="shared" si="26"/>
        <v>1067851</v>
      </c>
      <c r="K65" s="104">
        <f t="shared" si="26"/>
        <v>1067851</v>
      </c>
      <c r="L65" s="104">
        <f t="shared" si="26"/>
        <v>1067851</v>
      </c>
      <c r="M65" s="104">
        <f t="shared" si="26"/>
        <v>1067851</v>
      </c>
      <c r="N65" s="162"/>
      <c r="O65" s="162"/>
      <c r="Q65" s="162"/>
    </row>
    <row r="66" spans="1:17">
      <c r="A66" s="51" t="s">
        <v>88</v>
      </c>
      <c r="B66" s="542">
        <v>2780824</v>
      </c>
      <c r="C66" s="542">
        <v>2780824</v>
      </c>
      <c r="D66" s="542">
        <v>2780824</v>
      </c>
      <c r="E66" s="542">
        <v>2780824</v>
      </c>
      <c r="F66" s="542">
        <v>2780824</v>
      </c>
      <c r="G66" s="542">
        <v>2780824</v>
      </c>
      <c r="H66" s="542">
        <v>2780824</v>
      </c>
      <c r="I66" s="542">
        <v>2780824</v>
      </c>
      <c r="J66" s="547">
        <v>2780824</v>
      </c>
      <c r="K66" s="547">
        <v>2780824</v>
      </c>
      <c r="L66" s="547">
        <v>2780824</v>
      </c>
      <c r="M66" s="547">
        <v>2780824</v>
      </c>
      <c r="N66" s="162"/>
      <c r="O66" s="162"/>
      <c r="Q66" s="162"/>
    </row>
    <row r="67" spans="1:17">
      <c r="A67" s="51" t="s">
        <v>31</v>
      </c>
      <c r="B67" s="542">
        <v>28000</v>
      </c>
      <c r="C67" s="542">
        <v>28000</v>
      </c>
      <c r="D67" s="542">
        <v>28000</v>
      </c>
      <c r="E67" s="542">
        <v>28000</v>
      </c>
      <c r="F67" s="542">
        <v>28000</v>
      </c>
      <c r="G67" s="542">
        <v>28000</v>
      </c>
      <c r="H67" s="542">
        <v>28000</v>
      </c>
      <c r="I67" s="542">
        <v>28000</v>
      </c>
      <c r="J67" s="542">
        <v>28000</v>
      </c>
      <c r="K67" s="542">
        <v>28000</v>
      </c>
      <c r="L67" s="542">
        <v>28000</v>
      </c>
      <c r="M67" s="542">
        <v>28000</v>
      </c>
      <c r="N67" s="162"/>
      <c r="O67" s="162"/>
      <c r="Q67" s="162"/>
    </row>
    <row r="68" spans="1:17">
      <c r="A68" s="51" t="s">
        <v>105</v>
      </c>
      <c r="B68" s="542">
        <v>5438</v>
      </c>
      <c r="C68" s="542">
        <v>5438</v>
      </c>
      <c r="D68" s="542">
        <v>5438</v>
      </c>
      <c r="E68" s="542">
        <v>5438</v>
      </c>
      <c r="F68" s="542">
        <v>5438</v>
      </c>
      <c r="G68" s="547">
        <v>5438</v>
      </c>
      <c r="H68" s="547">
        <v>5438</v>
      </c>
      <c r="I68" s="547">
        <v>5438</v>
      </c>
      <c r="J68" s="547">
        <v>5438</v>
      </c>
      <c r="K68" s="547">
        <v>5438</v>
      </c>
      <c r="L68" s="547">
        <v>5438</v>
      </c>
      <c r="M68" s="547">
        <v>5438</v>
      </c>
      <c r="N68" s="162"/>
      <c r="O68" s="162"/>
      <c r="Q68" s="162"/>
    </row>
    <row r="69" spans="1:17">
      <c r="A69" s="53" t="s">
        <v>89</v>
      </c>
      <c r="B69" s="542">
        <v>3512</v>
      </c>
      <c r="C69" s="542">
        <v>3512</v>
      </c>
      <c r="D69" s="542">
        <v>3512</v>
      </c>
      <c r="E69" s="542">
        <v>3512</v>
      </c>
      <c r="F69" s="542">
        <v>3512</v>
      </c>
      <c r="G69" s="547">
        <v>3512</v>
      </c>
      <c r="H69" s="547">
        <v>3512</v>
      </c>
      <c r="I69" s="547">
        <v>3512</v>
      </c>
      <c r="J69" s="547">
        <v>3512</v>
      </c>
      <c r="K69" s="547">
        <v>3512</v>
      </c>
      <c r="L69" s="547">
        <v>3512</v>
      </c>
      <c r="M69" s="547">
        <v>3512</v>
      </c>
      <c r="N69" s="162"/>
      <c r="O69" s="162"/>
      <c r="Q69" s="162"/>
    </row>
    <row r="70" spans="1:17">
      <c r="A70" s="51" t="s">
        <v>90</v>
      </c>
      <c r="B70" s="542">
        <v>10681</v>
      </c>
      <c r="C70" s="542">
        <v>10681</v>
      </c>
      <c r="D70" s="542">
        <v>10681</v>
      </c>
      <c r="E70" s="542">
        <v>10681</v>
      </c>
      <c r="F70" s="542">
        <v>10681</v>
      </c>
      <c r="G70" s="547">
        <v>10681</v>
      </c>
      <c r="H70" s="547">
        <v>10681</v>
      </c>
      <c r="I70" s="547">
        <v>10681</v>
      </c>
      <c r="J70" s="547">
        <v>10681</v>
      </c>
      <c r="K70" s="547">
        <v>10681</v>
      </c>
      <c r="L70" s="547">
        <v>10681</v>
      </c>
      <c r="M70" s="547">
        <v>10681</v>
      </c>
      <c r="N70" s="162"/>
      <c r="O70" s="162"/>
      <c r="Q70" s="162"/>
    </row>
    <row r="71" spans="1:17">
      <c r="A71" s="51" t="s">
        <v>32</v>
      </c>
      <c r="B71" s="550">
        <v>116545</v>
      </c>
      <c r="C71" s="550">
        <v>116545</v>
      </c>
      <c r="D71" s="550">
        <v>116545</v>
      </c>
      <c r="E71" s="550">
        <v>116545</v>
      </c>
      <c r="F71" s="550">
        <v>116545</v>
      </c>
      <c r="G71" s="550">
        <v>116545</v>
      </c>
      <c r="H71" s="550">
        <v>116545</v>
      </c>
      <c r="I71" s="550">
        <v>116545</v>
      </c>
      <c r="J71" s="550">
        <v>116545</v>
      </c>
      <c r="K71" s="550">
        <v>116545</v>
      </c>
      <c r="L71" s="550">
        <v>116545</v>
      </c>
      <c r="M71" s="550">
        <v>116545</v>
      </c>
      <c r="N71" s="162"/>
      <c r="O71" s="162"/>
      <c r="Q71" s="162"/>
    </row>
    <row r="72" spans="1:17">
      <c r="A72" s="51" t="s">
        <v>254</v>
      </c>
      <c r="B72" s="543">
        <v>0</v>
      </c>
      <c r="C72" s="543">
        <v>0</v>
      </c>
      <c r="D72" s="543">
        <v>0</v>
      </c>
      <c r="E72" s="543">
        <v>0</v>
      </c>
      <c r="F72" s="543">
        <v>0</v>
      </c>
      <c r="G72" s="543">
        <v>0</v>
      </c>
      <c r="H72" s="543">
        <v>0</v>
      </c>
      <c r="I72" s="543">
        <v>0</v>
      </c>
      <c r="J72" s="543">
        <v>0</v>
      </c>
      <c r="K72" s="543">
        <v>0</v>
      </c>
      <c r="L72" s="543">
        <v>0</v>
      </c>
      <c r="M72" s="543">
        <v>0</v>
      </c>
      <c r="N72" s="162"/>
      <c r="O72" s="162"/>
      <c r="Q72" s="162"/>
    </row>
    <row r="73" spans="1:17" s="163" customFormat="1">
      <c r="A73" s="54" t="s">
        <v>22</v>
      </c>
      <c r="B73" s="104">
        <f>SUM(B66:B72)</f>
        <v>2945000</v>
      </c>
      <c r="C73" s="104">
        <f>SUM(C66:C72)</f>
        <v>2945000</v>
      </c>
      <c r="D73" s="104">
        <f>SUM(D66:D72)</f>
        <v>2945000</v>
      </c>
      <c r="E73" s="104">
        <f>SUM(E66:E72)</f>
        <v>2945000</v>
      </c>
      <c r="F73" s="104">
        <f>SUM(F66:F72)</f>
        <v>2945000</v>
      </c>
      <c r="G73" s="104">
        <f t="shared" ref="G73:M73" si="27">SUM(G66:G72)</f>
        <v>2945000</v>
      </c>
      <c r="H73" s="104">
        <f t="shared" si="27"/>
        <v>2945000</v>
      </c>
      <c r="I73" s="104">
        <f t="shared" si="27"/>
        <v>2945000</v>
      </c>
      <c r="J73" s="104">
        <f t="shared" si="27"/>
        <v>2945000</v>
      </c>
      <c r="K73" s="104">
        <f t="shared" si="27"/>
        <v>2945000</v>
      </c>
      <c r="L73" s="104">
        <f t="shared" si="27"/>
        <v>2945000</v>
      </c>
      <c r="M73" s="104">
        <f t="shared" si="27"/>
        <v>2945000</v>
      </c>
      <c r="N73" s="162"/>
      <c r="O73" s="162"/>
      <c r="Q73" s="162"/>
    </row>
    <row r="74" spans="1:17">
      <c r="A74" s="166" t="s">
        <v>91</v>
      </c>
      <c r="B74" s="542">
        <v>1463000</v>
      </c>
      <c r="C74" s="542">
        <v>1463000</v>
      </c>
      <c r="D74" s="542">
        <v>1463000</v>
      </c>
      <c r="E74" s="542">
        <v>1463000</v>
      </c>
      <c r="F74" s="542">
        <v>1463000</v>
      </c>
      <c r="G74" s="542">
        <v>1463000</v>
      </c>
      <c r="H74" s="542">
        <v>1463000</v>
      </c>
      <c r="I74" s="542">
        <v>1463000</v>
      </c>
      <c r="J74" s="542">
        <v>1463000</v>
      </c>
      <c r="K74" s="542">
        <v>1463000</v>
      </c>
      <c r="L74" s="542">
        <v>1463000</v>
      </c>
      <c r="M74" s="542">
        <v>1463000</v>
      </c>
      <c r="N74" s="162"/>
      <c r="O74" s="162"/>
      <c r="Q74" s="162"/>
    </row>
    <row r="75" spans="1:17">
      <c r="A75" s="167" t="s">
        <v>32</v>
      </c>
      <c r="B75" s="542">
        <v>196834</v>
      </c>
      <c r="C75" s="542">
        <v>196834</v>
      </c>
      <c r="D75" s="542">
        <v>196834</v>
      </c>
      <c r="E75" s="542">
        <v>196834</v>
      </c>
      <c r="F75" s="542">
        <v>196834</v>
      </c>
      <c r="G75" s="542">
        <v>196834</v>
      </c>
      <c r="H75" s="542">
        <v>196834</v>
      </c>
      <c r="I75" s="542">
        <v>196834</v>
      </c>
      <c r="J75" s="542">
        <v>196834</v>
      </c>
      <c r="K75" s="542">
        <v>196834</v>
      </c>
      <c r="L75" s="542">
        <v>196834</v>
      </c>
      <c r="M75" s="542">
        <v>196834</v>
      </c>
      <c r="N75" s="162"/>
      <c r="O75" s="162"/>
      <c r="Q75" s="162"/>
    </row>
    <row r="76" spans="1:17" s="163" customFormat="1">
      <c r="A76" s="54" t="s">
        <v>30</v>
      </c>
      <c r="B76" s="104">
        <f t="shared" ref="B76:M76" si="28">SUM(B74:B75)</f>
        <v>1659834</v>
      </c>
      <c r="C76" s="104">
        <f t="shared" si="28"/>
        <v>1659834</v>
      </c>
      <c r="D76" s="104">
        <f t="shared" si="28"/>
        <v>1659834</v>
      </c>
      <c r="E76" s="104">
        <f t="shared" si="28"/>
        <v>1659834</v>
      </c>
      <c r="F76" s="104">
        <f t="shared" si="28"/>
        <v>1659834</v>
      </c>
      <c r="G76" s="104">
        <f t="shared" si="28"/>
        <v>1659834</v>
      </c>
      <c r="H76" s="104">
        <f t="shared" si="28"/>
        <v>1659834</v>
      </c>
      <c r="I76" s="104">
        <f t="shared" si="28"/>
        <v>1659834</v>
      </c>
      <c r="J76" s="104">
        <f t="shared" si="28"/>
        <v>1659834</v>
      </c>
      <c r="K76" s="104">
        <f t="shared" si="28"/>
        <v>1659834</v>
      </c>
      <c r="L76" s="104">
        <f t="shared" si="28"/>
        <v>1659834</v>
      </c>
      <c r="M76" s="104">
        <f t="shared" si="28"/>
        <v>1659834</v>
      </c>
      <c r="N76" s="162"/>
      <c r="O76" s="162"/>
      <c r="Q76" s="162"/>
    </row>
    <row r="77" spans="1:17">
      <c r="A77" s="55" t="s">
        <v>92</v>
      </c>
      <c r="B77" s="542">
        <v>730327</v>
      </c>
      <c r="C77" s="542">
        <v>730327</v>
      </c>
      <c r="D77" s="542">
        <v>730327</v>
      </c>
      <c r="E77" s="542">
        <v>730327</v>
      </c>
      <c r="F77" s="542">
        <v>730327</v>
      </c>
      <c r="G77" s="542">
        <v>730327</v>
      </c>
      <c r="H77" s="542">
        <v>730327</v>
      </c>
      <c r="I77" s="542">
        <v>730327</v>
      </c>
      <c r="J77" s="542">
        <v>730327</v>
      </c>
      <c r="K77" s="542">
        <v>730327</v>
      </c>
      <c r="L77" s="542">
        <v>730327</v>
      </c>
      <c r="M77" s="542">
        <v>730327</v>
      </c>
      <c r="N77" s="162"/>
      <c r="O77" s="162"/>
      <c r="Q77" s="162"/>
    </row>
    <row r="78" spans="1:17">
      <c r="A78" s="53" t="s">
        <v>120</v>
      </c>
      <c r="B78" s="542">
        <v>114187</v>
      </c>
      <c r="C78" s="542">
        <v>114187</v>
      </c>
      <c r="D78" s="542">
        <v>114187</v>
      </c>
      <c r="E78" s="542">
        <v>114187</v>
      </c>
      <c r="F78" s="542">
        <v>114187</v>
      </c>
      <c r="G78" s="542">
        <v>114187</v>
      </c>
      <c r="H78" s="542">
        <v>114187</v>
      </c>
      <c r="I78" s="542">
        <v>114187</v>
      </c>
      <c r="J78" s="542">
        <v>114187</v>
      </c>
      <c r="K78" s="542">
        <v>114187</v>
      </c>
      <c r="L78" s="542">
        <v>114187</v>
      </c>
      <c r="M78" s="542">
        <v>114187</v>
      </c>
      <c r="N78" s="162"/>
      <c r="O78" s="162"/>
      <c r="Q78" s="162"/>
    </row>
    <row r="79" spans="1:17">
      <c r="A79" s="53" t="s">
        <v>255</v>
      </c>
      <c r="B79" s="542"/>
      <c r="C79" s="542"/>
      <c r="D79" s="542"/>
      <c r="E79" s="542"/>
      <c r="F79" s="542"/>
      <c r="G79" s="542"/>
      <c r="H79" s="542"/>
      <c r="I79" s="542"/>
      <c r="J79" s="542"/>
      <c r="K79" s="542"/>
      <c r="L79" s="542"/>
      <c r="M79" s="542"/>
      <c r="N79" s="162"/>
      <c r="O79" s="162"/>
      <c r="Q79" s="162"/>
    </row>
    <row r="80" spans="1:17">
      <c r="A80" s="53" t="s">
        <v>256</v>
      </c>
      <c r="B80" s="542"/>
      <c r="C80" s="542"/>
      <c r="D80" s="542"/>
      <c r="E80" s="542"/>
      <c r="F80" s="542"/>
      <c r="G80" s="542"/>
      <c r="H80" s="542"/>
      <c r="I80" s="542"/>
      <c r="J80" s="542"/>
      <c r="K80" s="542"/>
      <c r="L80" s="542"/>
      <c r="M80" s="542"/>
      <c r="N80" s="162"/>
      <c r="O80" s="162"/>
      <c r="Q80" s="162"/>
    </row>
    <row r="81" spans="1:17">
      <c r="A81" s="53" t="s">
        <v>32</v>
      </c>
      <c r="B81" s="542">
        <v>157527</v>
      </c>
      <c r="C81" s="542">
        <v>157527</v>
      </c>
      <c r="D81" s="542">
        <v>157527</v>
      </c>
      <c r="E81" s="542">
        <v>157527</v>
      </c>
      <c r="F81" s="542">
        <v>157527</v>
      </c>
      <c r="G81" s="542">
        <v>157527</v>
      </c>
      <c r="H81" s="542">
        <v>157527</v>
      </c>
      <c r="I81" s="542">
        <v>157527</v>
      </c>
      <c r="J81" s="542">
        <v>157527</v>
      </c>
      <c r="K81" s="542">
        <v>157527</v>
      </c>
      <c r="L81" s="542">
        <v>157527</v>
      </c>
      <c r="M81" s="542">
        <v>157527</v>
      </c>
      <c r="N81" s="162"/>
      <c r="O81" s="162"/>
      <c r="Q81" s="162"/>
    </row>
    <row r="82" spans="1:17" s="163" customFormat="1">
      <c r="A82" s="54" t="s">
        <v>33</v>
      </c>
      <c r="B82" s="104">
        <f t="shared" ref="B82:M82" si="29">SUM(B77:B81)</f>
        <v>1002041</v>
      </c>
      <c r="C82" s="104">
        <f t="shared" si="29"/>
        <v>1002041</v>
      </c>
      <c r="D82" s="104">
        <f t="shared" si="29"/>
        <v>1002041</v>
      </c>
      <c r="E82" s="104">
        <f t="shared" si="29"/>
        <v>1002041</v>
      </c>
      <c r="F82" s="104">
        <f t="shared" si="29"/>
        <v>1002041</v>
      </c>
      <c r="G82" s="104">
        <f t="shared" si="29"/>
        <v>1002041</v>
      </c>
      <c r="H82" s="104">
        <f t="shared" si="29"/>
        <v>1002041</v>
      </c>
      <c r="I82" s="104">
        <f t="shared" si="29"/>
        <v>1002041</v>
      </c>
      <c r="J82" s="104">
        <f t="shared" si="29"/>
        <v>1002041</v>
      </c>
      <c r="K82" s="104">
        <f t="shared" si="29"/>
        <v>1002041</v>
      </c>
      <c r="L82" s="104">
        <f t="shared" si="29"/>
        <v>1002041</v>
      </c>
      <c r="M82" s="104">
        <f t="shared" si="29"/>
        <v>1002041</v>
      </c>
      <c r="N82" s="162"/>
      <c r="O82" s="162"/>
      <c r="Q82" s="162"/>
    </row>
    <row r="83" spans="1:17">
      <c r="A83" s="55" t="s">
        <v>87</v>
      </c>
      <c r="B83" s="542">
        <v>7151059</v>
      </c>
      <c r="C83" s="542">
        <v>7151059</v>
      </c>
      <c r="D83" s="542">
        <v>7151059</v>
      </c>
      <c r="E83" s="542">
        <v>7151059</v>
      </c>
      <c r="F83" s="542">
        <v>7151059</v>
      </c>
      <c r="G83" s="547">
        <v>7151616</v>
      </c>
      <c r="H83" s="547">
        <v>7151616</v>
      </c>
      <c r="I83" s="547">
        <v>7151616</v>
      </c>
      <c r="J83" s="547">
        <v>7151616</v>
      </c>
      <c r="K83" s="547">
        <v>7151616</v>
      </c>
      <c r="L83" s="547">
        <v>7151616</v>
      </c>
      <c r="M83" s="547">
        <v>7151616</v>
      </c>
      <c r="N83" s="162"/>
      <c r="O83" s="162"/>
      <c r="Q83" s="162"/>
    </row>
    <row r="84" spans="1:17">
      <c r="A84" s="53" t="s">
        <v>31</v>
      </c>
      <c r="B84" s="542">
        <v>127000</v>
      </c>
      <c r="C84" s="542">
        <v>127000</v>
      </c>
      <c r="D84" s="542">
        <v>127000</v>
      </c>
      <c r="E84" s="542">
        <v>127000</v>
      </c>
      <c r="F84" s="542">
        <v>127000</v>
      </c>
      <c r="G84" s="547">
        <v>126200</v>
      </c>
      <c r="H84" s="547">
        <v>126200</v>
      </c>
      <c r="I84" s="547">
        <v>126200</v>
      </c>
      <c r="J84" s="547">
        <v>126200</v>
      </c>
      <c r="K84" s="547">
        <v>126200</v>
      </c>
      <c r="L84" s="547">
        <v>126200</v>
      </c>
      <c r="M84" s="547">
        <v>126200</v>
      </c>
      <c r="N84" s="162"/>
      <c r="O84" s="162"/>
      <c r="Q84" s="162"/>
    </row>
    <row r="85" spans="1:17">
      <c r="A85" s="53" t="s">
        <v>121</v>
      </c>
      <c r="B85" s="542">
        <v>6549</v>
      </c>
      <c r="C85" s="542">
        <v>6549</v>
      </c>
      <c r="D85" s="542">
        <v>6549</v>
      </c>
      <c r="E85" s="542">
        <v>6549</v>
      </c>
      <c r="F85" s="542">
        <v>6549</v>
      </c>
      <c r="G85" s="547">
        <v>6660</v>
      </c>
      <c r="H85" s="547">
        <v>6660</v>
      </c>
      <c r="I85" s="547">
        <v>6660</v>
      </c>
      <c r="J85" s="547">
        <v>6660</v>
      </c>
      <c r="K85" s="547">
        <v>6660</v>
      </c>
      <c r="L85" s="547">
        <v>6660</v>
      </c>
      <c r="M85" s="547">
        <v>6660</v>
      </c>
      <c r="N85" s="162"/>
      <c r="O85" s="162"/>
      <c r="Q85" s="162"/>
    </row>
    <row r="86" spans="1:17">
      <c r="A86" s="53" t="s">
        <v>257</v>
      </c>
      <c r="B86" s="542"/>
      <c r="C86" s="542"/>
      <c r="D86" s="542"/>
      <c r="E86" s="542"/>
      <c r="F86" s="542"/>
      <c r="G86" s="547"/>
      <c r="H86" s="547"/>
      <c r="I86" s="547"/>
      <c r="J86" s="547"/>
      <c r="K86" s="547"/>
      <c r="L86" s="547"/>
      <c r="M86" s="547"/>
      <c r="N86" s="162"/>
      <c r="O86" s="162"/>
      <c r="Q86" s="162"/>
    </row>
    <row r="87" spans="1:17">
      <c r="A87" s="53" t="s">
        <v>93</v>
      </c>
      <c r="B87" s="542">
        <v>9713</v>
      </c>
      <c r="C87" s="542">
        <v>9713</v>
      </c>
      <c r="D87" s="542">
        <v>9713</v>
      </c>
      <c r="E87" s="542">
        <v>9713</v>
      </c>
      <c r="F87" s="542">
        <v>9713</v>
      </c>
      <c r="G87" s="547">
        <v>8928</v>
      </c>
      <c r="H87" s="547">
        <v>8928</v>
      </c>
      <c r="I87" s="547">
        <v>8928</v>
      </c>
      <c r="J87" s="547">
        <v>8928</v>
      </c>
      <c r="K87" s="547">
        <v>8928</v>
      </c>
      <c r="L87" s="547">
        <v>8928</v>
      </c>
      <c r="M87" s="547">
        <v>8928</v>
      </c>
      <c r="N87" s="162"/>
      <c r="O87" s="162"/>
      <c r="Q87" s="162"/>
    </row>
    <row r="88" spans="1:17">
      <c r="A88" s="53" t="s">
        <v>94</v>
      </c>
      <c r="B88" s="542">
        <v>9565</v>
      </c>
      <c r="C88" s="542">
        <v>9565</v>
      </c>
      <c r="D88" s="542">
        <v>9565</v>
      </c>
      <c r="E88" s="542">
        <v>9565</v>
      </c>
      <c r="F88" s="542">
        <v>9565</v>
      </c>
      <c r="G88" s="547">
        <v>9285</v>
      </c>
      <c r="H88" s="547">
        <v>9285</v>
      </c>
      <c r="I88" s="547">
        <v>9285</v>
      </c>
      <c r="J88" s="547">
        <v>9285</v>
      </c>
      <c r="K88" s="547">
        <v>9285</v>
      </c>
      <c r="L88" s="547">
        <v>9285</v>
      </c>
      <c r="M88" s="547">
        <v>9285</v>
      </c>
      <c r="N88" s="162"/>
      <c r="O88" s="162"/>
      <c r="Q88" s="162"/>
    </row>
    <row r="89" spans="1:17" s="163" customFormat="1">
      <c r="A89" s="488" t="s">
        <v>553</v>
      </c>
      <c r="B89" s="542">
        <v>11864</v>
      </c>
      <c r="C89" s="542">
        <v>11864</v>
      </c>
      <c r="D89" s="542">
        <v>11864</v>
      </c>
      <c r="E89" s="542">
        <v>11864</v>
      </c>
      <c r="F89" s="542">
        <v>11864</v>
      </c>
      <c r="G89" s="547">
        <v>12261</v>
      </c>
      <c r="H89" s="547">
        <v>12261</v>
      </c>
      <c r="I89" s="547">
        <v>12261</v>
      </c>
      <c r="J89" s="547">
        <v>12261</v>
      </c>
      <c r="K89" s="547">
        <v>12261</v>
      </c>
      <c r="L89" s="547">
        <v>12261</v>
      </c>
      <c r="M89" s="547">
        <v>12261</v>
      </c>
      <c r="N89" s="162"/>
      <c r="O89" s="162"/>
      <c r="Q89" s="162"/>
    </row>
    <row r="90" spans="1:17" s="163" customFormat="1">
      <c r="A90" s="488" t="s">
        <v>593</v>
      </c>
      <c r="B90" s="542">
        <v>81166</v>
      </c>
      <c r="C90" s="542">
        <v>81166</v>
      </c>
      <c r="D90" s="542">
        <v>81166</v>
      </c>
      <c r="E90" s="542">
        <v>81166</v>
      </c>
      <c r="F90" s="542">
        <v>81166</v>
      </c>
      <c r="G90" s="547">
        <v>81166</v>
      </c>
      <c r="H90" s="547">
        <v>81166</v>
      </c>
      <c r="I90" s="547">
        <v>81166</v>
      </c>
      <c r="J90" s="547">
        <v>81166</v>
      </c>
      <c r="K90" s="547">
        <v>81166</v>
      </c>
      <c r="L90" s="547">
        <v>81166</v>
      </c>
      <c r="M90" s="547">
        <v>81166</v>
      </c>
      <c r="N90" s="162"/>
      <c r="O90" s="162"/>
      <c r="Q90" s="162"/>
    </row>
    <row r="91" spans="1:17">
      <c r="A91" s="53" t="s">
        <v>258</v>
      </c>
      <c r="B91" s="542"/>
      <c r="C91" s="542"/>
      <c r="D91" s="542"/>
      <c r="E91" s="542"/>
      <c r="F91" s="542"/>
      <c r="G91" s="547"/>
      <c r="H91" s="547"/>
      <c r="I91" s="547"/>
      <c r="J91" s="547"/>
      <c r="K91" s="547"/>
      <c r="L91" s="547"/>
      <c r="M91" s="547"/>
      <c r="N91" s="162"/>
      <c r="O91" s="162"/>
      <c r="Q91" s="162"/>
    </row>
    <row r="92" spans="1:17" s="163" customFormat="1">
      <c r="A92" s="488" t="s">
        <v>604</v>
      </c>
      <c r="B92" s="542"/>
      <c r="C92" s="542"/>
      <c r="D92" s="542"/>
      <c r="E92" s="542"/>
      <c r="F92" s="542"/>
      <c r="G92" s="547"/>
      <c r="H92" s="547"/>
      <c r="I92" s="547"/>
      <c r="J92" s="547"/>
      <c r="K92" s="547"/>
      <c r="L92" s="547"/>
      <c r="M92" s="547"/>
      <c r="N92" s="162"/>
      <c r="O92" s="162"/>
      <c r="Q92" s="162"/>
    </row>
    <row r="93" spans="1:17">
      <c r="A93" s="53" t="s">
        <v>32</v>
      </c>
      <c r="B93" s="542">
        <v>758112</v>
      </c>
      <c r="C93" s="542">
        <v>758112</v>
      </c>
      <c r="D93" s="542">
        <v>758112</v>
      </c>
      <c r="E93" s="542">
        <v>758112</v>
      </c>
      <c r="F93" s="542">
        <v>758112</v>
      </c>
      <c r="G93" s="542">
        <v>758112</v>
      </c>
      <c r="H93" s="542">
        <v>758112</v>
      </c>
      <c r="I93" s="542">
        <v>758112</v>
      </c>
      <c r="J93" s="542">
        <v>758112</v>
      </c>
      <c r="K93" s="542">
        <v>758112</v>
      </c>
      <c r="L93" s="542">
        <v>758112</v>
      </c>
      <c r="M93" s="542">
        <v>758112</v>
      </c>
      <c r="N93" s="162"/>
      <c r="O93" s="162"/>
      <c r="Q93" s="162"/>
    </row>
    <row r="94" spans="1:17" s="163" customFormat="1">
      <c r="A94" s="54" t="s">
        <v>29</v>
      </c>
      <c r="B94" s="104">
        <f t="shared" ref="B94:M94" si="30">SUM(B83:B93)</f>
        <v>8155028</v>
      </c>
      <c r="C94" s="104">
        <f t="shared" si="30"/>
        <v>8155028</v>
      </c>
      <c r="D94" s="104">
        <f t="shared" si="30"/>
        <v>8155028</v>
      </c>
      <c r="E94" s="104">
        <f t="shared" si="30"/>
        <v>8155028</v>
      </c>
      <c r="F94" s="104">
        <f t="shared" si="30"/>
        <v>8155028</v>
      </c>
      <c r="G94" s="104">
        <f t="shared" si="30"/>
        <v>8154228</v>
      </c>
      <c r="H94" s="104">
        <f t="shared" si="30"/>
        <v>8154228</v>
      </c>
      <c r="I94" s="104">
        <f t="shared" si="30"/>
        <v>8154228</v>
      </c>
      <c r="J94" s="104">
        <f t="shared" si="30"/>
        <v>8154228</v>
      </c>
      <c r="K94" s="104">
        <f t="shared" si="30"/>
        <v>8154228</v>
      </c>
      <c r="L94" s="104">
        <f t="shared" si="30"/>
        <v>8154228</v>
      </c>
      <c r="M94" s="104">
        <f t="shared" si="30"/>
        <v>8154228</v>
      </c>
      <c r="N94" s="162"/>
      <c r="O94" s="162"/>
      <c r="Q94" s="162"/>
    </row>
    <row r="95" spans="1:17">
      <c r="A95" s="55" t="s">
        <v>110</v>
      </c>
      <c r="B95" s="542">
        <v>4039698</v>
      </c>
      <c r="C95" s="542">
        <v>4039698</v>
      </c>
      <c r="D95" s="542">
        <v>4039698</v>
      </c>
      <c r="E95" s="542">
        <v>4039698</v>
      </c>
      <c r="F95" s="542">
        <v>4039698</v>
      </c>
      <c r="G95" s="542">
        <v>4039698</v>
      </c>
      <c r="H95" s="542">
        <v>4039698</v>
      </c>
      <c r="I95" s="542">
        <v>4039698</v>
      </c>
      <c r="J95" s="542">
        <v>4039698</v>
      </c>
      <c r="K95" s="542">
        <v>4039698</v>
      </c>
      <c r="L95" s="542">
        <v>4039698</v>
      </c>
      <c r="M95" s="542">
        <v>4039698</v>
      </c>
      <c r="N95" s="162"/>
      <c r="O95" s="162"/>
      <c r="Q95" s="162"/>
    </row>
    <row r="96" spans="1:17">
      <c r="A96" s="53" t="s">
        <v>122</v>
      </c>
      <c r="B96" s="547">
        <v>85295</v>
      </c>
      <c r="C96" s="547">
        <v>85295</v>
      </c>
      <c r="D96" s="547">
        <v>85295</v>
      </c>
      <c r="E96" s="547">
        <v>85295</v>
      </c>
      <c r="F96" s="547">
        <v>85295</v>
      </c>
      <c r="G96" s="547">
        <v>85295</v>
      </c>
      <c r="H96" s="547">
        <v>85295</v>
      </c>
      <c r="I96" s="547">
        <v>85295</v>
      </c>
      <c r="J96" s="547">
        <v>85295</v>
      </c>
      <c r="K96" s="547">
        <v>85295</v>
      </c>
      <c r="L96" s="547">
        <v>85295</v>
      </c>
      <c r="M96" s="547">
        <v>85295</v>
      </c>
      <c r="N96" s="162"/>
      <c r="O96" s="162"/>
      <c r="Q96" s="162"/>
    </row>
    <row r="97" spans="1:17" s="163" customFormat="1">
      <c r="A97" s="488" t="s">
        <v>554</v>
      </c>
      <c r="B97" s="547">
        <v>106512</v>
      </c>
      <c r="C97" s="547">
        <v>106512</v>
      </c>
      <c r="D97" s="547">
        <v>106512</v>
      </c>
      <c r="E97" s="547">
        <v>106512</v>
      </c>
      <c r="F97" s="547">
        <v>106512</v>
      </c>
      <c r="G97" s="547">
        <v>102416</v>
      </c>
      <c r="H97" s="547">
        <v>102416</v>
      </c>
      <c r="I97" s="547">
        <v>102416</v>
      </c>
      <c r="J97" s="547">
        <v>102416</v>
      </c>
      <c r="K97" s="547">
        <v>102416</v>
      </c>
      <c r="L97" s="547">
        <v>102416</v>
      </c>
      <c r="M97" s="547">
        <v>102416</v>
      </c>
      <c r="N97" s="162"/>
      <c r="O97" s="162"/>
      <c r="Q97" s="162"/>
    </row>
    <row r="98" spans="1:17">
      <c r="A98" s="53" t="s">
        <v>123</v>
      </c>
      <c r="B98" s="547">
        <v>19689</v>
      </c>
      <c r="C98" s="547">
        <v>19689</v>
      </c>
      <c r="D98" s="547">
        <v>19689</v>
      </c>
      <c r="E98" s="547">
        <v>19689</v>
      </c>
      <c r="F98" s="547">
        <v>19689</v>
      </c>
      <c r="G98" s="547">
        <v>18683</v>
      </c>
      <c r="H98" s="547">
        <v>18683</v>
      </c>
      <c r="I98" s="547">
        <v>18683</v>
      </c>
      <c r="J98" s="547">
        <v>18683</v>
      </c>
      <c r="K98" s="547">
        <v>18683</v>
      </c>
      <c r="L98" s="547">
        <v>18683</v>
      </c>
      <c r="M98" s="547">
        <v>18683</v>
      </c>
      <c r="N98" s="162"/>
      <c r="O98" s="162"/>
      <c r="Q98" s="162"/>
    </row>
    <row r="99" spans="1:17">
      <c r="A99" s="53" t="s">
        <v>124</v>
      </c>
      <c r="B99" s="547"/>
      <c r="C99" s="547"/>
      <c r="D99" s="547"/>
      <c r="E99" s="547"/>
      <c r="F99" s="547"/>
      <c r="G99" s="547"/>
      <c r="H99" s="547"/>
      <c r="I99" s="547"/>
      <c r="J99" s="547"/>
      <c r="K99" s="547"/>
      <c r="L99" s="547"/>
      <c r="M99" s="547"/>
      <c r="N99" s="162"/>
      <c r="O99" s="162"/>
      <c r="Q99" s="162"/>
    </row>
    <row r="100" spans="1:17">
      <c r="A100" s="53" t="s">
        <v>125</v>
      </c>
      <c r="B100" s="547">
        <v>7790</v>
      </c>
      <c r="C100" s="547">
        <v>7790</v>
      </c>
      <c r="D100" s="547">
        <v>7790</v>
      </c>
      <c r="E100" s="547">
        <v>7790</v>
      </c>
      <c r="F100" s="547">
        <v>7790</v>
      </c>
      <c r="G100" s="547">
        <v>7236</v>
      </c>
      <c r="H100" s="547">
        <v>7236</v>
      </c>
      <c r="I100" s="547">
        <v>7236</v>
      </c>
      <c r="J100" s="547">
        <v>7236</v>
      </c>
      <c r="K100" s="547">
        <v>7236</v>
      </c>
      <c r="L100" s="547">
        <v>7236</v>
      </c>
      <c r="M100" s="547">
        <v>7236</v>
      </c>
      <c r="N100" s="162"/>
      <c r="O100" s="162"/>
      <c r="Q100" s="162"/>
    </row>
    <row r="101" spans="1:17">
      <c r="A101" s="53" t="s">
        <v>126</v>
      </c>
      <c r="B101" s="547">
        <v>32943</v>
      </c>
      <c r="C101" s="547">
        <v>32943</v>
      </c>
      <c r="D101" s="547">
        <v>32943</v>
      </c>
      <c r="E101" s="547">
        <v>32943</v>
      </c>
      <c r="F101" s="547">
        <v>32943</v>
      </c>
      <c r="G101" s="547">
        <v>32291</v>
      </c>
      <c r="H101" s="547">
        <v>32291</v>
      </c>
      <c r="I101" s="547">
        <v>32291</v>
      </c>
      <c r="J101" s="547">
        <v>32291</v>
      </c>
      <c r="K101" s="547">
        <v>32291</v>
      </c>
      <c r="L101" s="547">
        <v>32291</v>
      </c>
      <c r="M101" s="547">
        <v>32291</v>
      </c>
      <c r="N101" s="162"/>
      <c r="O101" s="162"/>
      <c r="Q101" s="162"/>
    </row>
    <row r="102" spans="1:17">
      <c r="A102" s="53" t="s">
        <v>127</v>
      </c>
      <c r="B102" s="547">
        <v>4832</v>
      </c>
      <c r="C102" s="547">
        <v>4832</v>
      </c>
      <c r="D102" s="547">
        <v>4832</v>
      </c>
      <c r="E102" s="547">
        <v>4832</v>
      </c>
      <c r="F102" s="547">
        <v>4832</v>
      </c>
      <c r="G102" s="547">
        <v>4599</v>
      </c>
      <c r="H102" s="547">
        <v>4599</v>
      </c>
      <c r="I102" s="547">
        <v>4599</v>
      </c>
      <c r="J102" s="547">
        <v>4599</v>
      </c>
      <c r="K102" s="547">
        <v>4599</v>
      </c>
      <c r="L102" s="547">
        <v>4599</v>
      </c>
      <c r="M102" s="547">
        <v>4599</v>
      </c>
      <c r="N102" s="162"/>
      <c r="O102" s="162"/>
      <c r="Q102" s="162"/>
    </row>
    <row r="103" spans="1:17">
      <c r="A103" s="53" t="s">
        <v>105</v>
      </c>
      <c r="B103" s="543">
        <v>0</v>
      </c>
      <c r="C103" s="543">
        <v>0</v>
      </c>
      <c r="D103" s="543">
        <v>0</v>
      </c>
      <c r="E103" s="543">
        <v>0</v>
      </c>
      <c r="F103" s="543">
        <v>0</v>
      </c>
      <c r="G103" s="543">
        <v>0</v>
      </c>
      <c r="H103" s="543">
        <v>0</v>
      </c>
      <c r="I103" s="543">
        <v>0</v>
      </c>
      <c r="J103" s="543">
        <v>0</v>
      </c>
      <c r="K103" s="543">
        <v>0</v>
      </c>
      <c r="L103" s="543">
        <v>0</v>
      </c>
      <c r="M103" s="548">
        <v>0</v>
      </c>
      <c r="N103" s="162"/>
      <c r="O103" s="162"/>
      <c r="Q103" s="162"/>
    </row>
    <row r="104" spans="1:17">
      <c r="A104" s="54" t="s">
        <v>110</v>
      </c>
      <c r="B104" s="104">
        <f>SUM(B95:B103)</f>
        <v>4296759</v>
      </c>
      <c r="C104" s="104">
        <f t="shared" ref="C104:M104" si="31">SUM(C95:C103)</f>
        <v>4296759</v>
      </c>
      <c r="D104" s="104">
        <f t="shared" si="31"/>
        <v>4296759</v>
      </c>
      <c r="E104" s="104">
        <f t="shared" si="31"/>
        <v>4296759</v>
      </c>
      <c r="F104" s="104">
        <f t="shared" si="31"/>
        <v>4296759</v>
      </c>
      <c r="G104" s="104">
        <f t="shared" si="31"/>
        <v>4290218</v>
      </c>
      <c r="H104" s="104">
        <f t="shared" si="31"/>
        <v>4290218</v>
      </c>
      <c r="I104" s="104">
        <f t="shared" si="31"/>
        <v>4290218</v>
      </c>
      <c r="J104" s="104">
        <f t="shared" si="31"/>
        <v>4290218</v>
      </c>
      <c r="K104" s="104">
        <f t="shared" si="31"/>
        <v>4290218</v>
      </c>
      <c r="L104" s="104">
        <f t="shared" si="31"/>
        <v>4290218</v>
      </c>
      <c r="M104" s="104">
        <f t="shared" si="31"/>
        <v>4290218</v>
      </c>
      <c r="N104" s="162"/>
      <c r="O104" s="162"/>
      <c r="Q104" s="162"/>
    </row>
    <row r="105" spans="1:17">
      <c r="A105" s="53" t="s">
        <v>118</v>
      </c>
      <c r="B105" s="547">
        <v>855840</v>
      </c>
      <c r="C105" s="547">
        <v>855840</v>
      </c>
      <c r="D105" s="547">
        <v>855840</v>
      </c>
      <c r="E105" s="547">
        <v>855840</v>
      </c>
      <c r="F105" s="547">
        <v>855840</v>
      </c>
      <c r="G105" s="547">
        <v>855840</v>
      </c>
      <c r="H105" s="547">
        <v>855840</v>
      </c>
      <c r="I105" s="547">
        <v>855840</v>
      </c>
      <c r="J105" s="547">
        <v>855840</v>
      </c>
      <c r="K105" s="547">
        <v>855840</v>
      </c>
      <c r="L105" s="547">
        <v>855840</v>
      </c>
      <c r="M105" s="547">
        <v>855840</v>
      </c>
      <c r="N105" s="162"/>
      <c r="O105" s="162"/>
      <c r="Q105" s="162"/>
    </row>
    <row r="106" spans="1:17">
      <c r="A106" s="53" t="s">
        <v>121</v>
      </c>
      <c r="B106" s="543">
        <v>22735</v>
      </c>
      <c r="C106" s="543">
        <v>22735</v>
      </c>
      <c r="D106" s="543">
        <v>22735</v>
      </c>
      <c r="E106" s="543">
        <v>22735</v>
      </c>
      <c r="F106" s="543">
        <v>22735</v>
      </c>
      <c r="G106" s="548">
        <v>22735</v>
      </c>
      <c r="H106" s="548">
        <v>22735</v>
      </c>
      <c r="I106" s="548">
        <v>22735</v>
      </c>
      <c r="J106" s="548">
        <v>22735</v>
      </c>
      <c r="K106" s="548">
        <v>22735</v>
      </c>
      <c r="L106" s="548">
        <v>22735</v>
      </c>
      <c r="M106" s="548">
        <v>22735</v>
      </c>
      <c r="N106" s="162"/>
      <c r="O106" s="162"/>
      <c r="Q106" s="162"/>
    </row>
    <row r="107" spans="1:17">
      <c r="A107" s="54" t="s">
        <v>118</v>
      </c>
      <c r="B107" s="104">
        <f>SUM(B105:B106)</f>
        <v>878575</v>
      </c>
      <c r="C107" s="104">
        <f t="shared" ref="C107:L107" si="32">SUM(C105:C106)</f>
        <v>878575</v>
      </c>
      <c r="D107" s="104">
        <f t="shared" si="32"/>
        <v>878575</v>
      </c>
      <c r="E107" s="104">
        <f t="shared" si="32"/>
        <v>878575</v>
      </c>
      <c r="F107" s="104">
        <f t="shared" si="32"/>
        <v>878575</v>
      </c>
      <c r="G107" s="104">
        <f t="shared" si="32"/>
        <v>878575</v>
      </c>
      <c r="H107" s="104">
        <f t="shared" si="32"/>
        <v>878575</v>
      </c>
      <c r="I107" s="104">
        <f t="shared" si="32"/>
        <v>878575</v>
      </c>
      <c r="J107" s="104">
        <f t="shared" si="32"/>
        <v>878575</v>
      </c>
      <c r="K107" s="104">
        <f t="shared" si="32"/>
        <v>878575</v>
      </c>
      <c r="L107" s="104">
        <f t="shared" si="32"/>
        <v>878575</v>
      </c>
      <c r="M107" s="104">
        <f>SUM(M105:M106)</f>
        <v>878575</v>
      </c>
      <c r="N107" s="162"/>
      <c r="O107" s="162"/>
      <c r="Q107" s="162"/>
    </row>
    <row r="108" spans="1:17">
      <c r="A108" s="53" t="s">
        <v>24</v>
      </c>
      <c r="B108" s="547">
        <v>7118197</v>
      </c>
      <c r="C108" s="547">
        <v>7118197</v>
      </c>
      <c r="D108" s="547">
        <v>7118197</v>
      </c>
      <c r="E108" s="547">
        <v>7118197</v>
      </c>
      <c r="F108" s="547">
        <v>7118197</v>
      </c>
      <c r="G108" s="547">
        <v>7118197</v>
      </c>
      <c r="H108" s="547">
        <v>7118197</v>
      </c>
      <c r="I108" s="547">
        <v>7118197</v>
      </c>
      <c r="J108" s="547">
        <v>7118197</v>
      </c>
      <c r="K108" s="547">
        <v>7118197</v>
      </c>
      <c r="L108" s="547">
        <v>7118197</v>
      </c>
      <c r="M108" s="547">
        <v>7118197</v>
      </c>
      <c r="N108" s="162"/>
      <c r="O108" s="162"/>
      <c r="Q108" s="162"/>
    </row>
    <row r="109" spans="1:17">
      <c r="A109" s="53" t="s">
        <v>186</v>
      </c>
      <c r="B109" s="550">
        <v>0</v>
      </c>
      <c r="C109" s="550">
        <v>0</v>
      </c>
      <c r="D109" s="550">
        <v>0</v>
      </c>
      <c r="E109" s="550">
        <v>0</v>
      </c>
      <c r="F109" s="550">
        <v>0</v>
      </c>
      <c r="G109" s="547"/>
      <c r="H109" s="547"/>
      <c r="I109" s="547"/>
      <c r="J109" s="547"/>
      <c r="K109" s="547"/>
      <c r="L109" s="547"/>
      <c r="M109" s="547"/>
      <c r="N109" s="162"/>
      <c r="O109" s="162"/>
      <c r="Q109" s="162"/>
    </row>
    <row r="110" spans="1:17">
      <c r="A110" s="53" t="s">
        <v>259</v>
      </c>
      <c r="B110" s="547">
        <v>0</v>
      </c>
      <c r="C110" s="547">
        <v>0</v>
      </c>
      <c r="D110" s="547">
        <v>0</v>
      </c>
      <c r="E110" s="547">
        <v>0</v>
      </c>
      <c r="F110" s="547">
        <v>0</v>
      </c>
      <c r="G110" s="547"/>
      <c r="H110" s="547"/>
      <c r="I110" s="547"/>
      <c r="J110" s="547"/>
      <c r="K110" s="547"/>
      <c r="L110" s="547"/>
      <c r="M110" s="547"/>
      <c r="N110" s="162"/>
      <c r="O110" s="162"/>
      <c r="Q110" s="162"/>
    </row>
    <row r="111" spans="1:17" s="163" customFormat="1">
      <c r="A111" s="54" t="s">
        <v>24</v>
      </c>
      <c r="B111" s="104">
        <f t="shared" ref="B111:M111" si="33">SUM(B108:B110)</f>
        <v>7118197</v>
      </c>
      <c r="C111" s="104">
        <f t="shared" si="33"/>
        <v>7118197</v>
      </c>
      <c r="D111" s="104">
        <f t="shared" si="33"/>
        <v>7118197</v>
      </c>
      <c r="E111" s="104">
        <f t="shared" si="33"/>
        <v>7118197</v>
      </c>
      <c r="F111" s="104">
        <f t="shared" si="33"/>
        <v>7118197</v>
      </c>
      <c r="G111" s="104">
        <f t="shared" si="33"/>
        <v>7118197</v>
      </c>
      <c r="H111" s="104">
        <f t="shared" si="33"/>
        <v>7118197</v>
      </c>
      <c r="I111" s="104">
        <f t="shared" si="33"/>
        <v>7118197</v>
      </c>
      <c r="J111" s="104">
        <f t="shared" si="33"/>
        <v>7118197</v>
      </c>
      <c r="K111" s="104">
        <f t="shared" si="33"/>
        <v>7118197</v>
      </c>
      <c r="L111" s="104">
        <f t="shared" si="33"/>
        <v>7118197</v>
      </c>
      <c r="M111" s="104">
        <f t="shared" si="33"/>
        <v>7118197</v>
      </c>
      <c r="N111" s="162"/>
      <c r="O111" s="162"/>
      <c r="Q111" s="162"/>
    </row>
    <row r="112" spans="1:17">
      <c r="A112" s="53" t="s">
        <v>31</v>
      </c>
      <c r="B112" s="542">
        <v>240900</v>
      </c>
      <c r="C112" s="542">
        <v>240900</v>
      </c>
      <c r="D112" s="542">
        <v>240900</v>
      </c>
      <c r="E112" s="542">
        <v>240900</v>
      </c>
      <c r="F112" s="542">
        <v>51600</v>
      </c>
      <c r="G112" s="542">
        <v>55600</v>
      </c>
      <c r="H112" s="542">
        <v>55600</v>
      </c>
      <c r="I112" s="542">
        <v>55600</v>
      </c>
      <c r="J112" s="542">
        <v>55600</v>
      </c>
      <c r="K112" s="542">
        <v>55600</v>
      </c>
      <c r="L112" s="542">
        <v>55600</v>
      </c>
      <c r="M112" s="542">
        <v>55600</v>
      </c>
      <c r="N112" s="162"/>
      <c r="O112" s="162"/>
      <c r="Q112" s="162"/>
    </row>
    <row r="113" spans="1:17" s="163" customFormat="1">
      <c r="A113" s="488" t="s">
        <v>32</v>
      </c>
      <c r="B113" s="542">
        <v>3902</v>
      </c>
      <c r="C113" s="542">
        <v>3902</v>
      </c>
      <c r="D113" s="542">
        <v>3902</v>
      </c>
      <c r="E113" s="542">
        <v>3902</v>
      </c>
      <c r="F113" s="542">
        <v>3902</v>
      </c>
      <c r="G113" s="542">
        <v>3902</v>
      </c>
      <c r="H113" s="542">
        <v>3902</v>
      </c>
      <c r="I113" s="542">
        <v>3902</v>
      </c>
      <c r="J113" s="542">
        <v>3902</v>
      </c>
      <c r="K113" s="542">
        <v>3902</v>
      </c>
      <c r="L113" s="542">
        <v>3902</v>
      </c>
      <c r="M113" s="542">
        <v>3902</v>
      </c>
      <c r="N113" s="162"/>
      <c r="O113" s="162"/>
      <c r="Q113" s="162"/>
    </row>
    <row r="114" spans="1:17">
      <c r="A114" s="488" t="s">
        <v>555</v>
      </c>
      <c r="B114" s="543">
        <v>16417</v>
      </c>
      <c r="C114" s="543">
        <v>16417</v>
      </c>
      <c r="D114" s="543">
        <v>16417</v>
      </c>
      <c r="E114" s="543">
        <v>16417</v>
      </c>
      <c r="F114" s="543">
        <v>214833</v>
      </c>
      <c r="G114" s="548">
        <v>214833</v>
      </c>
      <c r="H114" s="548">
        <v>214833</v>
      </c>
      <c r="I114" s="548">
        <v>214833</v>
      </c>
      <c r="J114" s="548">
        <v>214833</v>
      </c>
      <c r="K114" s="548">
        <v>214833</v>
      </c>
      <c r="L114" s="548">
        <v>214833</v>
      </c>
      <c r="M114" s="548">
        <v>214833</v>
      </c>
      <c r="N114" s="162"/>
      <c r="O114" s="162"/>
      <c r="Q114" s="162"/>
    </row>
    <row r="115" spans="1:17" s="163" customFormat="1">
      <c r="A115" s="54" t="s">
        <v>31</v>
      </c>
      <c r="B115" s="104">
        <f>SUM(B112:B114)</f>
        <v>261219</v>
      </c>
      <c r="C115" s="104">
        <f t="shared" ref="C115:L115" si="34">SUM(C112:C114)</f>
        <v>261219</v>
      </c>
      <c r="D115" s="104">
        <f t="shared" si="34"/>
        <v>261219</v>
      </c>
      <c r="E115" s="104">
        <f t="shared" si="34"/>
        <v>261219</v>
      </c>
      <c r="F115" s="104">
        <f t="shared" si="34"/>
        <v>270335</v>
      </c>
      <c r="G115" s="104">
        <f t="shared" si="34"/>
        <v>274335</v>
      </c>
      <c r="H115" s="104">
        <f t="shared" si="34"/>
        <v>274335</v>
      </c>
      <c r="I115" s="104">
        <f t="shared" si="34"/>
        <v>274335</v>
      </c>
      <c r="J115" s="104">
        <f t="shared" si="34"/>
        <v>274335</v>
      </c>
      <c r="K115" s="104">
        <f t="shared" si="34"/>
        <v>274335</v>
      </c>
      <c r="L115" s="104">
        <f t="shared" si="34"/>
        <v>274335</v>
      </c>
      <c r="M115" s="104">
        <f>SUM(M112:M114)</f>
        <v>274335</v>
      </c>
      <c r="N115" s="162"/>
      <c r="O115" s="162"/>
      <c r="Q115" s="162"/>
    </row>
    <row r="116" spans="1:17">
      <c r="A116" s="58"/>
      <c r="B116" s="59"/>
      <c r="C116" s="59"/>
      <c r="D116" s="59"/>
      <c r="E116" s="59"/>
      <c r="F116" s="59"/>
      <c r="G116" s="59"/>
      <c r="H116" s="59"/>
      <c r="I116" s="59"/>
      <c r="J116" s="59"/>
      <c r="K116" s="59"/>
      <c r="L116" s="59"/>
      <c r="M116" s="59"/>
      <c r="N116" s="162"/>
      <c r="O116" s="162"/>
      <c r="Q116" s="162"/>
    </row>
    <row r="117" spans="1:17">
      <c r="A117" s="56" t="s">
        <v>20</v>
      </c>
      <c r="B117" s="542">
        <v>6629000</v>
      </c>
      <c r="C117" s="542">
        <v>6629000</v>
      </c>
      <c r="D117" s="542">
        <v>6629000</v>
      </c>
      <c r="E117" s="542">
        <v>6629000</v>
      </c>
      <c r="F117" s="542">
        <v>6629000</v>
      </c>
      <c r="G117" s="542">
        <v>6629000</v>
      </c>
      <c r="H117" s="542">
        <v>6629000</v>
      </c>
      <c r="I117" s="542">
        <v>6629000</v>
      </c>
      <c r="J117" s="542">
        <v>6629000</v>
      </c>
      <c r="K117" s="542">
        <v>6629000</v>
      </c>
      <c r="L117" s="542">
        <v>6629000</v>
      </c>
      <c r="M117" s="542">
        <v>6629000</v>
      </c>
      <c r="N117" s="162"/>
      <c r="O117" s="162"/>
      <c r="Q117" s="162"/>
    </row>
    <row r="118" spans="1:17">
      <c r="A118" s="56" t="s">
        <v>106</v>
      </c>
      <c r="B118" s="543">
        <v>126500</v>
      </c>
      <c r="C118" s="543">
        <v>126500</v>
      </c>
      <c r="D118" s="543">
        <v>126500</v>
      </c>
      <c r="E118" s="543">
        <v>126500</v>
      </c>
      <c r="F118" s="543">
        <v>126500</v>
      </c>
      <c r="G118" s="543">
        <v>126500</v>
      </c>
      <c r="H118" s="543">
        <v>126500</v>
      </c>
      <c r="I118" s="543">
        <v>126500</v>
      </c>
      <c r="J118" s="543">
        <v>126500</v>
      </c>
      <c r="K118" s="543">
        <v>126500</v>
      </c>
      <c r="L118" s="543">
        <v>126500</v>
      </c>
      <c r="M118" s="543">
        <v>126500</v>
      </c>
      <c r="N118" s="162"/>
      <c r="O118" s="162"/>
      <c r="Q118" s="162"/>
    </row>
    <row r="119" spans="1:17">
      <c r="A119" s="57" t="s">
        <v>107</v>
      </c>
      <c r="B119" s="165">
        <f>B117+B118</f>
        <v>6755500</v>
      </c>
      <c r="C119" s="165">
        <f t="shared" ref="C119:M119" si="35">C117+C118</f>
        <v>6755500</v>
      </c>
      <c r="D119" s="165">
        <f t="shared" si="35"/>
        <v>6755500</v>
      </c>
      <c r="E119" s="165">
        <f t="shared" si="35"/>
        <v>6755500</v>
      </c>
      <c r="F119" s="165">
        <f t="shared" si="35"/>
        <v>6755500</v>
      </c>
      <c r="G119" s="165">
        <f t="shared" si="35"/>
        <v>6755500</v>
      </c>
      <c r="H119" s="165">
        <f t="shared" si="35"/>
        <v>6755500</v>
      </c>
      <c r="I119" s="165">
        <f t="shared" si="35"/>
        <v>6755500</v>
      </c>
      <c r="J119" s="165">
        <f t="shared" si="35"/>
        <v>6755500</v>
      </c>
      <c r="K119" s="165">
        <f t="shared" si="35"/>
        <v>6755500</v>
      </c>
      <c r="L119" s="165">
        <f t="shared" si="35"/>
        <v>6755500</v>
      </c>
      <c r="M119" s="165">
        <f t="shared" si="35"/>
        <v>6755500</v>
      </c>
      <c r="N119" s="162"/>
      <c r="O119" s="163"/>
      <c r="Q119" s="162"/>
    </row>
    <row r="120" spans="1:17">
      <c r="A120" s="190" t="str">
        <f>A119</f>
        <v>Mi Joint Zone (Zone 13)</v>
      </c>
      <c r="B120" s="159">
        <f>B119</f>
        <v>6755500</v>
      </c>
      <c r="C120" s="159">
        <f t="shared" ref="C120:L120" si="36">C119</f>
        <v>6755500</v>
      </c>
      <c r="D120" s="159">
        <f t="shared" si="36"/>
        <v>6755500</v>
      </c>
      <c r="E120" s="159">
        <f t="shared" si="36"/>
        <v>6755500</v>
      </c>
      <c r="F120" s="159">
        <f t="shared" si="36"/>
        <v>6755500</v>
      </c>
      <c r="G120" s="159">
        <f t="shared" si="36"/>
        <v>6755500</v>
      </c>
      <c r="H120" s="159">
        <f t="shared" si="36"/>
        <v>6755500</v>
      </c>
      <c r="I120" s="159">
        <f t="shared" si="36"/>
        <v>6755500</v>
      </c>
      <c r="J120" s="159">
        <f t="shared" si="36"/>
        <v>6755500</v>
      </c>
      <c r="K120" s="159">
        <f t="shared" si="36"/>
        <v>6755500</v>
      </c>
      <c r="L120" s="159">
        <f t="shared" si="36"/>
        <v>6755500</v>
      </c>
      <c r="M120" s="159">
        <f>M119</f>
        <v>6755500</v>
      </c>
      <c r="N120" s="162"/>
      <c r="O120" s="163"/>
      <c r="Q120" s="162"/>
    </row>
    <row r="121" spans="1:17">
      <c r="A121" s="56" t="s">
        <v>108</v>
      </c>
      <c r="B121" s="543">
        <v>482391</v>
      </c>
      <c r="C121" s="543">
        <v>482391</v>
      </c>
      <c r="D121" s="543">
        <v>482391</v>
      </c>
      <c r="E121" s="543">
        <v>482391</v>
      </c>
      <c r="F121" s="543">
        <v>482391</v>
      </c>
      <c r="G121" s="543">
        <v>482391</v>
      </c>
      <c r="H121" s="543">
        <v>482391</v>
      </c>
      <c r="I121" s="543">
        <v>482391</v>
      </c>
      <c r="J121" s="543">
        <v>482391</v>
      </c>
      <c r="K121" s="543">
        <v>482391</v>
      </c>
      <c r="L121" s="543">
        <v>482391</v>
      </c>
      <c r="M121" s="543">
        <v>482391</v>
      </c>
      <c r="N121" s="163"/>
      <c r="O121" s="163"/>
    </row>
    <row r="122" spans="1:17" s="163" customFormat="1">
      <c r="A122" s="54" t="s">
        <v>109</v>
      </c>
      <c r="B122" s="104">
        <f>B120+B121</f>
        <v>7237891</v>
      </c>
      <c r="C122" s="104">
        <f t="shared" ref="C122:L122" si="37">C120+C121</f>
        <v>7237891</v>
      </c>
      <c r="D122" s="104">
        <f t="shared" si="37"/>
        <v>7237891</v>
      </c>
      <c r="E122" s="104">
        <f t="shared" si="37"/>
        <v>7237891</v>
      </c>
      <c r="F122" s="104">
        <f t="shared" si="37"/>
        <v>7237891</v>
      </c>
      <c r="G122" s="104">
        <f t="shared" si="37"/>
        <v>7237891</v>
      </c>
      <c r="H122" s="104">
        <f t="shared" si="37"/>
        <v>7237891</v>
      </c>
      <c r="I122" s="104">
        <f t="shared" si="37"/>
        <v>7237891</v>
      </c>
      <c r="J122" s="104">
        <f t="shared" si="37"/>
        <v>7237891</v>
      </c>
      <c r="K122" s="104">
        <f t="shared" si="37"/>
        <v>7237891</v>
      </c>
      <c r="L122" s="104">
        <f t="shared" si="37"/>
        <v>7237891</v>
      </c>
      <c r="M122" s="104">
        <f>M120+M121</f>
        <v>7237891</v>
      </c>
      <c r="N122" s="162"/>
      <c r="O122" s="162"/>
      <c r="Q122" s="162"/>
    </row>
    <row r="123" spans="1:17">
      <c r="A123" s="56" t="s">
        <v>260</v>
      </c>
      <c r="B123" s="551">
        <v>5844083</v>
      </c>
      <c r="C123" s="551">
        <v>5844083</v>
      </c>
      <c r="D123" s="551">
        <v>5844083</v>
      </c>
      <c r="E123" s="551">
        <v>5844083</v>
      </c>
      <c r="F123" s="551">
        <v>5844083</v>
      </c>
      <c r="G123" s="551">
        <v>5580833</v>
      </c>
      <c r="H123" s="551">
        <v>5580833</v>
      </c>
      <c r="I123" s="551">
        <v>5580833</v>
      </c>
      <c r="J123" s="551">
        <v>5580833</v>
      </c>
      <c r="K123" s="551">
        <v>5580833</v>
      </c>
      <c r="L123" s="551">
        <v>5580833</v>
      </c>
      <c r="M123" s="551">
        <v>5580833</v>
      </c>
      <c r="N123" s="163"/>
      <c r="O123" s="163"/>
    </row>
    <row r="124" spans="1:17" s="163" customFormat="1">
      <c r="A124" s="56" t="s">
        <v>261</v>
      </c>
      <c r="B124" s="551">
        <v>0</v>
      </c>
      <c r="C124" s="551">
        <v>0</v>
      </c>
      <c r="D124" s="551">
        <v>0</v>
      </c>
      <c r="E124" s="551">
        <v>0</v>
      </c>
      <c r="F124" s="551">
        <v>0</v>
      </c>
      <c r="G124" s="551">
        <v>0</v>
      </c>
      <c r="H124" s="551">
        <v>0</v>
      </c>
      <c r="I124" s="551">
        <v>0</v>
      </c>
      <c r="J124" s="551">
        <v>0</v>
      </c>
      <c r="K124" s="551">
        <v>0</v>
      </c>
      <c r="L124" s="551">
        <v>0</v>
      </c>
      <c r="M124" s="551">
        <v>0</v>
      </c>
    </row>
    <row r="125" spans="1:17" s="163" customFormat="1">
      <c r="A125" s="54" t="s">
        <v>260</v>
      </c>
      <c r="B125" s="104">
        <f>SUM(B123:B124)</f>
        <v>5844083</v>
      </c>
      <c r="C125" s="104">
        <f t="shared" ref="C125:M125" si="38">SUM(C123:C124)</f>
        <v>5844083</v>
      </c>
      <c r="D125" s="104">
        <f t="shared" si="38"/>
        <v>5844083</v>
      </c>
      <c r="E125" s="104">
        <f t="shared" si="38"/>
        <v>5844083</v>
      </c>
      <c r="F125" s="104">
        <f t="shared" si="38"/>
        <v>5844083</v>
      </c>
      <c r="G125" s="104">
        <f t="shared" si="38"/>
        <v>5580833</v>
      </c>
      <c r="H125" s="104">
        <f t="shared" si="38"/>
        <v>5580833</v>
      </c>
      <c r="I125" s="104">
        <f t="shared" si="38"/>
        <v>5580833</v>
      </c>
      <c r="J125" s="104">
        <f t="shared" si="38"/>
        <v>5580833</v>
      </c>
      <c r="K125" s="104">
        <f t="shared" si="38"/>
        <v>5580833</v>
      </c>
      <c r="L125" s="104">
        <f t="shared" si="38"/>
        <v>5580833</v>
      </c>
      <c r="M125" s="104">
        <f t="shared" si="38"/>
        <v>5580833</v>
      </c>
      <c r="N125" s="162"/>
      <c r="O125" s="162"/>
      <c r="Q125" s="162"/>
    </row>
    <row r="126" spans="1:17">
      <c r="A126" s="517" t="s">
        <v>592</v>
      </c>
      <c r="B126" s="542">
        <v>11650500</v>
      </c>
      <c r="C126" s="542">
        <v>11650500</v>
      </c>
      <c r="D126" s="542">
        <v>11650500</v>
      </c>
      <c r="E126" s="542">
        <v>11650500</v>
      </c>
      <c r="F126" s="542">
        <v>11650500</v>
      </c>
      <c r="G126" s="542">
        <v>10690098</v>
      </c>
      <c r="H126" s="542">
        <v>10690098</v>
      </c>
      <c r="I126" s="542">
        <v>10690098</v>
      </c>
      <c r="J126" s="542">
        <v>10690098</v>
      </c>
      <c r="K126" s="542">
        <v>10690098</v>
      </c>
      <c r="L126" s="542">
        <v>10690098</v>
      </c>
      <c r="M126" s="542">
        <v>10690098</v>
      </c>
      <c r="N126" s="163"/>
      <c r="O126" s="163"/>
    </row>
    <row r="127" spans="1:17">
      <c r="A127" s="56" t="s">
        <v>262</v>
      </c>
      <c r="B127" s="542">
        <v>0</v>
      </c>
      <c r="C127" s="542">
        <v>0</v>
      </c>
      <c r="D127" s="542">
        <v>0</v>
      </c>
      <c r="E127" s="542">
        <v>0</v>
      </c>
      <c r="F127" s="542">
        <v>0</v>
      </c>
      <c r="G127" s="542">
        <v>0</v>
      </c>
      <c r="H127" s="542">
        <v>0</v>
      </c>
      <c r="I127" s="542">
        <v>0</v>
      </c>
      <c r="J127" s="542">
        <v>0</v>
      </c>
      <c r="K127" s="542">
        <v>0</v>
      </c>
      <c r="L127" s="542">
        <v>0</v>
      </c>
      <c r="M127" s="542">
        <v>0</v>
      </c>
      <c r="N127" s="163"/>
      <c r="O127" s="163"/>
    </row>
    <row r="128" spans="1:17">
      <c r="A128" s="56" t="s">
        <v>263</v>
      </c>
      <c r="B128" s="542">
        <v>0</v>
      </c>
      <c r="C128" s="542">
        <v>0</v>
      </c>
      <c r="D128" s="542">
        <v>0</v>
      </c>
      <c r="E128" s="542">
        <v>0</v>
      </c>
      <c r="F128" s="542">
        <v>0</v>
      </c>
      <c r="G128" s="542">
        <v>0</v>
      </c>
      <c r="H128" s="542">
        <v>0</v>
      </c>
      <c r="I128" s="542">
        <v>0</v>
      </c>
      <c r="J128" s="542">
        <v>0</v>
      </c>
      <c r="K128" s="542">
        <v>0</v>
      </c>
      <c r="L128" s="542">
        <v>0</v>
      </c>
      <c r="M128" s="542">
        <v>0</v>
      </c>
      <c r="N128" s="163"/>
      <c r="O128" s="163"/>
    </row>
    <row r="129" spans="1:17">
      <c r="A129" s="56" t="s">
        <v>264</v>
      </c>
      <c r="B129" s="542">
        <v>0</v>
      </c>
      <c r="C129" s="542">
        <v>0</v>
      </c>
      <c r="D129" s="542">
        <v>0</v>
      </c>
      <c r="E129" s="542">
        <v>0</v>
      </c>
      <c r="F129" s="542">
        <v>0</v>
      </c>
      <c r="G129" s="542">
        <v>940402</v>
      </c>
      <c r="H129" s="542">
        <v>940402</v>
      </c>
      <c r="I129" s="542">
        <v>940402</v>
      </c>
      <c r="J129" s="542">
        <v>0</v>
      </c>
      <c r="K129" s="542">
        <v>0</v>
      </c>
      <c r="L129" s="542">
        <v>0</v>
      </c>
      <c r="M129" s="542">
        <v>0</v>
      </c>
      <c r="N129" s="163"/>
      <c r="O129" s="163"/>
    </row>
    <row r="130" spans="1:17">
      <c r="A130" s="56" t="s">
        <v>265</v>
      </c>
      <c r="B130" s="542">
        <v>0</v>
      </c>
      <c r="C130" s="542">
        <v>0</v>
      </c>
      <c r="D130" s="542">
        <v>0</v>
      </c>
      <c r="E130" s="542">
        <v>0</v>
      </c>
      <c r="F130" s="542">
        <v>0</v>
      </c>
      <c r="G130" s="542">
        <v>0</v>
      </c>
      <c r="H130" s="542">
        <v>0</v>
      </c>
      <c r="I130" s="542">
        <v>0</v>
      </c>
      <c r="J130" s="542">
        <v>0</v>
      </c>
      <c r="K130" s="542">
        <v>0</v>
      </c>
      <c r="L130" s="542">
        <v>0</v>
      </c>
      <c r="M130" s="542">
        <v>0</v>
      </c>
      <c r="N130" s="163"/>
      <c r="O130" s="163"/>
    </row>
    <row r="131" spans="1:17" s="163" customFormat="1">
      <c r="A131" s="54" t="s">
        <v>262</v>
      </c>
      <c r="B131" s="104">
        <f>SUM(B126:B130)</f>
        <v>11650500</v>
      </c>
      <c r="C131" s="104">
        <f t="shared" ref="C131:M131" si="39">SUM(C126:C130)</f>
        <v>11650500</v>
      </c>
      <c r="D131" s="104">
        <f t="shared" si="39"/>
        <v>11650500</v>
      </c>
      <c r="E131" s="104">
        <f t="shared" si="39"/>
        <v>11650500</v>
      </c>
      <c r="F131" s="104">
        <f t="shared" si="39"/>
        <v>11650500</v>
      </c>
      <c r="G131" s="104">
        <f t="shared" si="39"/>
        <v>11630500</v>
      </c>
      <c r="H131" s="104">
        <f t="shared" si="39"/>
        <v>11630500</v>
      </c>
      <c r="I131" s="104">
        <f t="shared" si="39"/>
        <v>11630500</v>
      </c>
      <c r="J131" s="104">
        <f t="shared" si="39"/>
        <v>10690098</v>
      </c>
      <c r="K131" s="104">
        <f t="shared" si="39"/>
        <v>10690098</v>
      </c>
      <c r="L131" s="104">
        <f t="shared" si="39"/>
        <v>10690098</v>
      </c>
      <c r="M131" s="104">
        <f t="shared" si="39"/>
        <v>10690098</v>
      </c>
      <c r="N131" s="162"/>
      <c r="O131" s="162"/>
      <c r="Q131" s="162"/>
    </row>
    <row r="132" spans="1:17">
      <c r="A132" s="517" t="s">
        <v>591</v>
      </c>
      <c r="B132" s="542">
        <v>2482701</v>
      </c>
      <c r="C132" s="542">
        <v>2482701</v>
      </c>
      <c r="D132" s="542">
        <v>2482701</v>
      </c>
      <c r="E132" s="542">
        <v>2482701</v>
      </c>
      <c r="F132" s="542">
        <v>2482701</v>
      </c>
      <c r="G132" s="542">
        <v>3055417</v>
      </c>
      <c r="H132" s="542">
        <v>3055417</v>
      </c>
      <c r="I132" s="542">
        <v>3055417</v>
      </c>
      <c r="J132" s="542">
        <v>3055417</v>
      </c>
      <c r="K132" s="542">
        <v>3055417</v>
      </c>
      <c r="L132" s="542">
        <v>3055417</v>
      </c>
      <c r="M132" s="542">
        <v>3055417</v>
      </c>
      <c r="N132" s="163"/>
      <c r="O132" s="163"/>
    </row>
    <row r="133" spans="1:17">
      <c r="A133" s="56" t="s">
        <v>267</v>
      </c>
      <c r="B133" s="542">
        <v>565083</v>
      </c>
      <c r="C133" s="542">
        <v>565083</v>
      </c>
      <c r="D133" s="542">
        <v>565083</v>
      </c>
      <c r="E133" s="542">
        <v>565083</v>
      </c>
      <c r="F133" s="542">
        <v>565083</v>
      </c>
      <c r="G133" s="542">
        <v>0</v>
      </c>
      <c r="H133" s="542">
        <v>0</v>
      </c>
      <c r="I133" s="542">
        <v>0</v>
      </c>
      <c r="J133" s="542">
        <v>0</v>
      </c>
      <c r="K133" s="542">
        <v>0</v>
      </c>
      <c r="L133" s="542"/>
      <c r="M133" s="542"/>
      <c r="N133" s="163"/>
      <c r="O133" s="163"/>
    </row>
    <row r="134" spans="1:17" s="163" customFormat="1">
      <c r="A134" s="54" t="s">
        <v>266</v>
      </c>
      <c r="B134" s="104">
        <f t="shared" ref="B134:L134" si="40">SUM(B132:B133)</f>
        <v>3047784</v>
      </c>
      <c r="C134" s="104">
        <f t="shared" si="40"/>
        <v>3047784</v>
      </c>
      <c r="D134" s="104">
        <f t="shared" si="40"/>
        <v>3047784</v>
      </c>
      <c r="E134" s="104">
        <f t="shared" si="40"/>
        <v>3047784</v>
      </c>
      <c r="F134" s="104">
        <f t="shared" si="40"/>
        <v>3047784</v>
      </c>
      <c r="G134" s="104">
        <f t="shared" si="40"/>
        <v>3055417</v>
      </c>
      <c r="H134" s="104">
        <f t="shared" si="40"/>
        <v>3055417</v>
      </c>
      <c r="I134" s="104">
        <f t="shared" si="40"/>
        <v>3055417</v>
      </c>
      <c r="J134" s="104">
        <f t="shared" si="40"/>
        <v>3055417</v>
      </c>
      <c r="K134" s="104">
        <f t="shared" si="40"/>
        <v>3055417</v>
      </c>
      <c r="L134" s="104">
        <f t="shared" si="40"/>
        <v>3055417</v>
      </c>
      <c r="M134" s="104">
        <f>SUM(M132:M133)</f>
        <v>3055417</v>
      </c>
      <c r="N134" s="162"/>
      <c r="O134" s="162"/>
      <c r="Q134" s="162"/>
    </row>
    <row r="135" spans="1:17">
      <c r="A135" s="56" t="s">
        <v>268</v>
      </c>
      <c r="B135" s="542">
        <v>3563667</v>
      </c>
      <c r="C135" s="542">
        <v>3563667</v>
      </c>
      <c r="D135" s="542">
        <v>3563667</v>
      </c>
      <c r="E135" s="542">
        <v>3563667</v>
      </c>
      <c r="F135" s="542">
        <v>3563667</v>
      </c>
      <c r="G135" s="542">
        <v>3556667</v>
      </c>
      <c r="H135" s="542">
        <v>3556667</v>
      </c>
      <c r="I135" s="542">
        <v>3556667</v>
      </c>
      <c r="J135" s="542">
        <v>3556667</v>
      </c>
      <c r="K135" s="542">
        <v>3556667</v>
      </c>
      <c r="L135" s="542">
        <v>3556667</v>
      </c>
      <c r="M135" s="542">
        <v>3556667</v>
      </c>
      <c r="N135" s="163"/>
      <c r="O135" s="163"/>
    </row>
    <row r="136" spans="1:17">
      <c r="A136" s="56" t="s">
        <v>269</v>
      </c>
      <c r="B136" s="542"/>
      <c r="C136" s="542"/>
      <c r="D136" s="542"/>
      <c r="E136" s="542"/>
      <c r="F136" s="542"/>
      <c r="G136" s="542"/>
      <c r="H136" s="542"/>
      <c r="I136" s="542"/>
      <c r="J136" s="542"/>
      <c r="K136" s="542"/>
      <c r="L136" s="542"/>
      <c r="M136" s="542">
        <v>0</v>
      </c>
      <c r="N136" s="163"/>
      <c r="O136" s="163"/>
    </row>
    <row r="137" spans="1:17">
      <c r="A137" s="56" t="s">
        <v>270</v>
      </c>
      <c r="B137" s="542"/>
      <c r="C137" s="542"/>
      <c r="D137" s="542"/>
      <c r="E137" s="542"/>
      <c r="F137" s="542"/>
      <c r="G137" s="542"/>
      <c r="H137" s="542"/>
      <c r="I137" s="542"/>
      <c r="J137" s="542"/>
      <c r="K137" s="542"/>
      <c r="L137" s="542"/>
      <c r="M137" s="542">
        <v>0</v>
      </c>
      <c r="N137" s="163"/>
      <c r="O137" s="163"/>
    </row>
    <row r="138" spans="1:17">
      <c r="A138" s="56" t="s">
        <v>274</v>
      </c>
      <c r="B138" s="542"/>
      <c r="C138" s="542"/>
      <c r="D138" s="542"/>
      <c r="E138" s="542"/>
      <c r="F138" s="542"/>
      <c r="G138" s="542"/>
      <c r="H138" s="542"/>
      <c r="I138" s="542"/>
      <c r="J138" s="542"/>
      <c r="K138" s="542"/>
      <c r="L138" s="542"/>
      <c r="M138" s="542">
        <v>0</v>
      </c>
      <c r="N138" s="163"/>
      <c r="O138" s="163"/>
    </row>
    <row r="139" spans="1:17">
      <c r="A139" s="56" t="s">
        <v>272</v>
      </c>
      <c r="B139" s="542"/>
      <c r="C139" s="542"/>
      <c r="D139" s="542"/>
      <c r="E139" s="542"/>
      <c r="F139" s="542"/>
      <c r="G139" s="542"/>
      <c r="H139" s="542"/>
      <c r="I139" s="542"/>
      <c r="J139" s="542"/>
      <c r="K139" s="542"/>
      <c r="L139" s="542"/>
      <c r="M139" s="542">
        <v>0</v>
      </c>
      <c r="N139" s="163"/>
      <c r="O139" s="163"/>
    </row>
    <row r="140" spans="1:17" s="163" customFormat="1">
      <c r="A140" s="54" t="s">
        <v>268</v>
      </c>
      <c r="B140" s="104">
        <f t="shared" ref="B140:L140" si="41">SUM(B135:B139)</f>
        <v>3563667</v>
      </c>
      <c r="C140" s="104">
        <f t="shared" si="41"/>
        <v>3563667</v>
      </c>
      <c r="D140" s="104">
        <f t="shared" si="41"/>
        <v>3563667</v>
      </c>
      <c r="E140" s="104">
        <f t="shared" si="41"/>
        <v>3563667</v>
      </c>
      <c r="F140" s="104">
        <f t="shared" si="41"/>
        <v>3563667</v>
      </c>
      <c r="G140" s="104">
        <f t="shared" si="41"/>
        <v>3556667</v>
      </c>
      <c r="H140" s="104">
        <f t="shared" si="41"/>
        <v>3556667</v>
      </c>
      <c r="I140" s="104">
        <f t="shared" si="41"/>
        <v>3556667</v>
      </c>
      <c r="J140" s="104">
        <f t="shared" si="41"/>
        <v>3556667</v>
      </c>
      <c r="K140" s="104">
        <f t="shared" si="41"/>
        <v>3556667</v>
      </c>
      <c r="L140" s="104">
        <f t="shared" si="41"/>
        <v>3556667</v>
      </c>
      <c r="M140" s="104">
        <f>SUM(M135:M139)</f>
        <v>3556667</v>
      </c>
      <c r="N140" s="162"/>
      <c r="O140" s="162"/>
      <c r="Q140" s="162"/>
    </row>
    <row r="141" spans="1:17">
      <c r="A141" s="180" t="s">
        <v>556</v>
      </c>
      <c r="B141" s="542">
        <v>1670417</v>
      </c>
      <c r="C141" s="542">
        <v>1670417</v>
      </c>
      <c r="D141" s="542">
        <v>1670417</v>
      </c>
      <c r="E141" s="542">
        <v>1670417</v>
      </c>
      <c r="F141" s="542">
        <v>1670417</v>
      </c>
      <c r="G141" s="542">
        <v>1662666</v>
      </c>
      <c r="H141" s="542">
        <v>1662666</v>
      </c>
      <c r="I141" s="542">
        <v>1662666</v>
      </c>
      <c r="J141" s="542">
        <v>1662666</v>
      </c>
      <c r="K141" s="542">
        <v>1662666</v>
      </c>
      <c r="L141" s="542">
        <v>1662666</v>
      </c>
      <c r="M141" s="542">
        <v>1662666</v>
      </c>
      <c r="N141" s="163"/>
      <c r="O141" s="163"/>
    </row>
    <row r="142" spans="1:17">
      <c r="A142" s="180" t="s">
        <v>557</v>
      </c>
      <c r="B142" s="542"/>
      <c r="C142" s="542"/>
      <c r="D142" s="542"/>
      <c r="E142" s="542"/>
      <c r="F142" s="542"/>
      <c r="G142" s="542"/>
      <c r="H142" s="542"/>
      <c r="I142" s="542"/>
      <c r="J142" s="542"/>
      <c r="K142" s="542"/>
      <c r="L142" s="542"/>
      <c r="M142" s="542">
        <v>0</v>
      </c>
      <c r="N142" s="163"/>
      <c r="O142" s="163"/>
    </row>
    <row r="143" spans="1:17" s="163" customFormat="1">
      <c r="A143" s="54" t="s">
        <v>556</v>
      </c>
      <c r="B143" s="104">
        <f>SUM(B141:B142)</f>
        <v>1670417</v>
      </c>
      <c r="C143" s="104">
        <f t="shared" ref="C143:M143" si="42">SUM(C141:C142)</f>
        <v>1670417</v>
      </c>
      <c r="D143" s="104">
        <f t="shared" si="42"/>
        <v>1670417</v>
      </c>
      <c r="E143" s="104">
        <f t="shared" si="42"/>
        <v>1670417</v>
      </c>
      <c r="F143" s="104">
        <f t="shared" si="42"/>
        <v>1670417</v>
      </c>
      <c r="G143" s="104">
        <f t="shared" si="42"/>
        <v>1662666</v>
      </c>
      <c r="H143" s="104">
        <f t="shared" si="42"/>
        <v>1662666</v>
      </c>
      <c r="I143" s="104">
        <f t="shared" si="42"/>
        <v>1662666</v>
      </c>
      <c r="J143" s="104">
        <f t="shared" si="42"/>
        <v>1662666</v>
      </c>
      <c r="K143" s="104">
        <f t="shared" si="42"/>
        <v>1662666</v>
      </c>
      <c r="L143" s="104">
        <f t="shared" si="42"/>
        <v>1662666</v>
      </c>
      <c r="M143" s="104">
        <f t="shared" si="42"/>
        <v>1662666</v>
      </c>
      <c r="N143" s="162"/>
      <c r="O143" s="162"/>
      <c r="Q143" s="162"/>
    </row>
    <row r="144" spans="1:17">
      <c r="A144" s="163"/>
      <c r="B144" s="163"/>
      <c r="C144" s="163"/>
      <c r="D144" s="163"/>
      <c r="E144" s="163"/>
      <c r="F144" s="163"/>
      <c r="G144" s="163"/>
      <c r="H144" s="163"/>
      <c r="I144" s="163"/>
      <c r="J144" s="163"/>
      <c r="K144" s="163"/>
      <c r="L144" s="163"/>
      <c r="M144" s="163"/>
      <c r="N144" s="163"/>
      <c r="O144" s="163"/>
    </row>
    <row r="145" spans="1:15">
      <c r="A145" s="163"/>
      <c r="B145" s="163"/>
      <c r="C145" s="163"/>
      <c r="D145" s="163"/>
      <c r="E145" s="163"/>
      <c r="F145" s="163"/>
      <c r="G145" s="163"/>
      <c r="H145" s="163"/>
      <c r="I145" s="163"/>
      <c r="J145" s="163"/>
      <c r="K145" s="163"/>
      <c r="L145" s="163"/>
      <c r="M145" s="163"/>
      <c r="N145" s="163"/>
      <c r="O145" s="163"/>
    </row>
    <row r="146" spans="1:15">
      <c r="A146" s="163"/>
      <c r="B146" s="163"/>
      <c r="C146" s="163"/>
      <c r="D146" s="163"/>
      <c r="E146" s="163"/>
      <c r="F146" s="163"/>
      <c r="G146" s="163"/>
      <c r="H146" s="163"/>
      <c r="I146" s="163"/>
      <c r="J146" s="163"/>
      <c r="K146" s="163"/>
      <c r="L146" s="163"/>
      <c r="M146" s="163"/>
      <c r="N146" s="163"/>
      <c r="O146" s="163"/>
    </row>
    <row r="147" spans="1:15">
      <c r="A147" s="163"/>
      <c r="B147" s="163"/>
      <c r="C147" s="163"/>
      <c r="D147" s="163"/>
      <c r="E147" s="163"/>
      <c r="F147" s="163"/>
      <c r="G147" s="163"/>
      <c r="H147" s="163"/>
      <c r="I147" s="163"/>
      <c r="J147" s="163"/>
      <c r="K147" s="163"/>
      <c r="L147" s="163"/>
      <c r="M147" s="163"/>
      <c r="N147" s="163"/>
      <c r="O147" s="163"/>
    </row>
  </sheetData>
  <phoneticPr fontId="4" type="noConversion"/>
  <pageMargins left="0.25" right="0.25" top="0.5" bottom="0.5" header="0.5" footer="0.5"/>
  <pageSetup paperSize="17" orientation="landscape" r:id="rId1"/>
  <headerFooter alignWithMargins="0"/>
  <rowBreaks count="2" manualBreakCount="2">
    <brk id="41" max="15" man="1"/>
    <brk id="94"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U308"/>
  <sheetViews>
    <sheetView showGridLines="0" topLeftCell="D73" zoomScaleNormal="100" workbookViewId="0">
      <selection activeCell="P98" sqref="P98"/>
    </sheetView>
  </sheetViews>
  <sheetFormatPr defaultRowHeight="15"/>
  <cols>
    <col min="1" max="1" width="6.75" style="253" customWidth="1"/>
    <col min="2" max="2" width="1.625" style="253" customWidth="1"/>
    <col min="3" max="3" width="44" style="253" customWidth="1"/>
    <col min="4" max="4" width="13.5" style="253" customWidth="1"/>
    <col min="5" max="5" width="16.25" style="253" customWidth="1"/>
    <col min="6" max="6" width="13.375" style="253" customWidth="1"/>
    <col min="7" max="7" width="17.375" style="253" customWidth="1"/>
    <col min="8" max="8" width="15.625" style="253" customWidth="1"/>
    <col min="9" max="10" width="14.375" style="253" customWidth="1"/>
    <col min="11" max="11" width="15.25" style="253" customWidth="1"/>
    <col min="12" max="12" width="18" style="253" customWidth="1"/>
    <col min="13" max="13" width="14.375" style="253" customWidth="1"/>
    <col min="14" max="14" width="15.625" style="253" customWidth="1"/>
    <col min="15" max="15" width="2.125" style="253" customWidth="1"/>
    <col min="16" max="16" width="14.625" style="253" customWidth="1"/>
    <col min="17" max="16384" width="9" style="253"/>
  </cols>
  <sheetData>
    <row r="1" spans="1:18">
      <c r="N1" s="561"/>
    </row>
    <row r="2" spans="1:18">
      <c r="N2" s="561"/>
    </row>
    <row r="4" spans="1:18">
      <c r="N4" s="561" t="s">
        <v>640</v>
      </c>
    </row>
    <row r="5" spans="1:18">
      <c r="C5" s="222" t="s">
        <v>282</v>
      </c>
      <c r="D5" s="222"/>
      <c r="E5" s="222"/>
      <c r="F5" s="222"/>
      <c r="G5" s="223" t="s">
        <v>283</v>
      </c>
      <c r="H5" s="222"/>
      <c r="I5" s="222"/>
      <c r="J5" s="222"/>
      <c r="K5" s="224"/>
      <c r="M5" s="225"/>
      <c r="N5" s="226" t="s">
        <v>641</v>
      </c>
      <c r="O5" s="225"/>
      <c r="P5" s="289"/>
      <c r="Q5" s="289"/>
      <c r="R5" s="225"/>
    </row>
    <row r="6" spans="1:18">
      <c r="C6" s="222"/>
      <c r="D6" s="222"/>
      <c r="E6" s="228" t="s">
        <v>284</v>
      </c>
      <c r="F6" s="228"/>
      <c r="G6" s="228" t="s">
        <v>285</v>
      </c>
      <c r="H6" s="228"/>
      <c r="I6" s="228"/>
      <c r="J6" s="228"/>
      <c r="K6" s="224"/>
      <c r="M6" s="225"/>
      <c r="N6" s="224"/>
      <c r="O6" s="225"/>
      <c r="P6" s="290"/>
      <c r="Q6" s="289"/>
      <c r="R6" s="225"/>
    </row>
    <row r="7" spans="1:18">
      <c r="C7" s="225"/>
      <c r="D7" s="225"/>
      <c r="E7" s="225"/>
      <c r="F7" s="225"/>
      <c r="G7" s="225"/>
      <c r="H7" s="225"/>
      <c r="I7" s="225"/>
      <c r="J7" s="225"/>
      <c r="K7" s="225"/>
      <c r="M7" s="225"/>
      <c r="N7" s="225" t="s">
        <v>286</v>
      </c>
      <c r="O7" s="225"/>
      <c r="P7" s="289"/>
      <c r="Q7" s="289"/>
      <c r="R7" s="225"/>
    </row>
    <row r="8" spans="1:18">
      <c r="A8" s="292"/>
      <c r="C8" s="225"/>
      <c r="D8" s="225"/>
      <c r="E8" s="225"/>
      <c r="F8" s="229"/>
      <c r="G8" s="230" t="s">
        <v>642</v>
      </c>
      <c r="H8" s="229"/>
      <c r="I8" s="225"/>
      <c r="J8" s="225"/>
      <c r="K8" s="225"/>
      <c r="L8" s="225"/>
      <c r="M8" s="225"/>
      <c r="N8" s="225"/>
      <c r="O8" s="225"/>
      <c r="P8" s="289"/>
      <c r="Q8" s="289"/>
      <c r="R8" s="225"/>
    </row>
    <row r="9" spans="1:18">
      <c r="A9" s="292"/>
      <c r="C9" s="225"/>
      <c r="D9" s="225"/>
      <c r="E9" s="225"/>
      <c r="F9" s="225"/>
      <c r="G9" s="231"/>
      <c r="H9" s="225"/>
      <c r="I9" s="225"/>
      <c r="J9" s="225"/>
      <c r="K9" s="225"/>
      <c r="L9" s="225"/>
      <c r="M9" s="225"/>
      <c r="N9" s="225"/>
      <c r="O9" s="225"/>
      <c r="P9" s="289"/>
      <c r="Q9" s="289"/>
      <c r="R9" s="225"/>
    </row>
    <row r="10" spans="1:18">
      <c r="A10" s="292"/>
      <c r="C10" s="225" t="s">
        <v>288</v>
      </c>
      <c r="D10" s="225"/>
      <c r="E10" s="225"/>
      <c r="F10" s="225"/>
      <c r="G10" s="231"/>
      <c r="H10" s="225"/>
      <c r="I10" s="225"/>
      <c r="J10" s="225"/>
      <c r="K10" s="225"/>
      <c r="L10" s="225"/>
      <c r="M10" s="225"/>
      <c r="N10" s="225"/>
      <c r="O10" s="225"/>
      <c r="P10" s="289"/>
      <c r="Q10" s="289"/>
      <c r="R10" s="225"/>
    </row>
    <row r="11" spans="1:18">
      <c r="A11" s="292"/>
      <c r="C11" s="225"/>
      <c r="D11" s="225"/>
      <c r="E11" s="225"/>
      <c r="F11" s="225"/>
      <c r="G11" s="231"/>
      <c r="L11" s="225"/>
      <c r="M11" s="225"/>
      <c r="N11" s="225"/>
      <c r="O11" s="225"/>
      <c r="P11" s="225"/>
      <c r="Q11" s="225"/>
      <c r="R11" s="225"/>
    </row>
    <row r="12" spans="1:18">
      <c r="A12" s="292"/>
      <c r="C12" s="225"/>
      <c r="D12" s="225"/>
      <c r="E12" s="225"/>
      <c r="F12" s="225"/>
      <c r="G12" s="225"/>
      <c r="L12" s="232"/>
      <c r="M12" s="225"/>
      <c r="N12" s="225"/>
      <c r="O12" s="225"/>
      <c r="P12" s="225"/>
      <c r="Q12" s="225"/>
      <c r="R12" s="225"/>
    </row>
    <row r="13" spans="1:18">
      <c r="C13" s="233" t="s">
        <v>289</v>
      </c>
      <c r="D13" s="233"/>
      <c r="E13" s="233" t="s">
        <v>290</v>
      </c>
      <c r="F13" s="233"/>
      <c r="G13" s="233" t="s">
        <v>291</v>
      </c>
      <c r="L13" s="234" t="s">
        <v>292</v>
      </c>
      <c r="M13" s="228"/>
      <c r="N13" s="234"/>
      <c r="O13" s="228"/>
      <c r="P13" s="234"/>
      <c r="Q13" s="228"/>
      <c r="R13" s="235"/>
    </row>
    <row r="14" spans="1:18" ht="15.75">
      <c r="C14" s="235"/>
      <c r="D14" s="235"/>
      <c r="E14" s="236" t="s">
        <v>293</v>
      </c>
      <c r="F14" s="236"/>
      <c r="G14" s="228"/>
      <c r="M14" s="228"/>
      <c r="O14" s="228"/>
      <c r="P14" s="233"/>
      <c r="Q14" s="233"/>
      <c r="R14" s="235"/>
    </row>
    <row r="15" spans="1:18" ht="15.75">
      <c r="A15" s="292" t="s">
        <v>294</v>
      </c>
      <c r="C15" s="235"/>
      <c r="D15" s="235"/>
      <c r="E15" s="237" t="s">
        <v>295</v>
      </c>
      <c r="F15" s="237"/>
      <c r="G15" s="238" t="s">
        <v>296</v>
      </c>
      <c r="L15" s="238" t="s">
        <v>297</v>
      </c>
      <c r="M15" s="228"/>
      <c r="O15" s="225"/>
      <c r="P15" s="246"/>
      <c r="Q15" s="233"/>
      <c r="R15" s="235"/>
    </row>
    <row r="16" spans="1:18" ht="15.75">
      <c r="A16" s="292" t="s">
        <v>298</v>
      </c>
      <c r="C16" s="239"/>
      <c r="D16" s="239"/>
      <c r="E16" s="228"/>
      <c r="F16" s="228"/>
      <c r="G16" s="228"/>
      <c r="J16" s="590"/>
      <c r="L16" s="228"/>
      <c r="M16" s="228"/>
      <c r="N16" s="228"/>
      <c r="O16" s="225"/>
      <c r="P16" s="228"/>
      <c r="Q16" s="228"/>
      <c r="R16" s="235"/>
    </row>
    <row r="17" spans="1:18" ht="15.75">
      <c r="A17" s="591"/>
      <c r="C17" s="235"/>
      <c r="D17" s="235"/>
      <c r="E17" s="228"/>
      <c r="F17" s="228"/>
      <c r="G17" s="228"/>
      <c r="L17" s="228"/>
      <c r="M17" s="228"/>
      <c r="N17" s="228"/>
      <c r="O17" s="225"/>
      <c r="P17" s="228"/>
      <c r="Q17" s="228"/>
      <c r="R17" s="235"/>
    </row>
    <row r="18" spans="1:18">
      <c r="A18" s="240">
        <v>1</v>
      </c>
      <c r="C18" s="235" t="s">
        <v>299</v>
      </c>
      <c r="D18" s="235"/>
      <c r="E18" s="240" t="s">
        <v>300</v>
      </c>
      <c r="F18" s="240"/>
      <c r="G18" s="241">
        <v>4212677743.4905496</v>
      </c>
      <c r="M18" s="228"/>
      <c r="N18" s="228"/>
      <c r="O18" s="225"/>
      <c r="P18" s="228"/>
      <c r="Q18" s="228"/>
      <c r="R18" s="235"/>
    </row>
    <row r="19" spans="1:18">
      <c r="A19" s="240">
        <v>2</v>
      </c>
      <c r="C19" s="235" t="s">
        <v>301</v>
      </c>
      <c r="D19" s="235"/>
      <c r="E19" s="240" t="s">
        <v>302</v>
      </c>
      <c r="F19" s="240"/>
      <c r="G19" s="241">
        <v>3196737158.6233125</v>
      </c>
      <c r="M19" s="228"/>
      <c r="N19" s="228"/>
      <c r="O19" s="225"/>
      <c r="P19" s="228"/>
      <c r="Q19" s="228"/>
      <c r="R19" s="235"/>
    </row>
    <row r="20" spans="1:18">
      <c r="A20" s="240"/>
      <c r="E20" s="240"/>
      <c r="F20" s="240"/>
      <c r="G20" s="278"/>
      <c r="M20" s="228"/>
      <c r="N20" s="228"/>
      <c r="O20" s="225"/>
      <c r="P20" s="228"/>
      <c r="Q20" s="228"/>
      <c r="R20" s="235"/>
    </row>
    <row r="21" spans="1:18">
      <c r="A21" s="240"/>
      <c r="C21" s="235" t="s">
        <v>303</v>
      </c>
      <c r="D21" s="235"/>
      <c r="E21" s="240"/>
      <c r="F21" s="240"/>
      <c r="G21" s="228"/>
      <c r="L21" s="228"/>
      <c r="M21" s="228"/>
      <c r="N21" s="228"/>
      <c r="O21" s="228"/>
      <c r="P21" s="228"/>
      <c r="Q21" s="228"/>
      <c r="R21" s="235"/>
    </row>
    <row r="22" spans="1:18">
      <c r="A22" s="240">
        <v>3</v>
      </c>
      <c r="C22" s="235" t="s">
        <v>304</v>
      </c>
      <c r="D22" s="235"/>
      <c r="E22" s="240" t="s">
        <v>305</v>
      </c>
      <c r="F22" s="240"/>
      <c r="G22" s="241">
        <v>72062653.856413111</v>
      </c>
      <c r="M22" s="228"/>
      <c r="N22" s="228"/>
      <c r="O22" s="228"/>
      <c r="P22" s="228"/>
      <c r="Q22" s="228"/>
      <c r="R22" s="235"/>
    </row>
    <row r="23" spans="1:18" ht="15.75">
      <c r="A23" s="240">
        <v>4</v>
      </c>
      <c r="C23" s="235" t="s">
        <v>306</v>
      </c>
      <c r="D23" s="235"/>
      <c r="E23" s="240" t="s">
        <v>307</v>
      </c>
      <c r="F23" s="240"/>
      <c r="G23" s="242">
        <f>IF(G22=0,0,G22/G18)</f>
        <v>1.7106139667997317E-2</v>
      </c>
      <c r="L23" s="251">
        <f>G23</f>
        <v>1.7106139667997317E-2</v>
      </c>
      <c r="M23" s="228"/>
      <c r="N23" s="243"/>
      <c r="O23" s="247"/>
      <c r="P23" s="244"/>
      <c r="Q23" s="228"/>
      <c r="R23" s="235"/>
    </row>
    <row r="24" spans="1:18" ht="15.75">
      <c r="A24" s="240"/>
      <c r="C24" s="235"/>
      <c r="D24" s="235"/>
      <c r="E24" s="240"/>
      <c r="F24" s="240"/>
      <c r="G24" s="242"/>
      <c r="L24" s="251"/>
      <c r="M24" s="228"/>
      <c r="N24" s="243"/>
      <c r="O24" s="247"/>
      <c r="P24" s="244"/>
      <c r="Q24" s="228"/>
      <c r="R24" s="235"/>
    </row>
    <row r="25" spans="1:18" ht="15.75">
      <c r="A25" s="234"/>
      <c r="C25" s="235" t="s">
        <v>308</v>
      </c>
      <c r="D25" s="235"/>
      <c r="E25" s="245"/>
      <c r="F25" s="245"/>
      <c r="G25" s="228"/>
      <c r="L25" s="228"/>
      <c r="M25" s="228"/>
      <c r="N25" s="243"/>
      <c r="O25" s="247"/>
      <c r="P25" s="244"/>
      <c r="Q25" s="228"/>
      <c r="R25" s="235"/>
    </row>
    <row r="26" spans="1:18" ht="15.75">
      <c r="A26" s="234" t="s">
        <v>309</v>
      </c>
      <c r="C26" s="235" t="s">
        <v>310</v>
      </c>
      <c r="D26" s="235"/>
      <c r="E26" s="240" t="s">
        <v>311</v>
      </c>
      <c r="F26" s="240"/>
      <c r="G26" s="241">
        <v>6808909.874446284</v>
      </c>
      <c r="M26" s="228"/>
      <c r="N26" s="243"/>
      <c r="O26" s="247"/>
      <c r="P26" s="244"/>
      <c r="Q26" s="228"/>
      <c r="R26" s="235"/>
    </row>
    <row r="27" spans="1:18" ht="15.75">
      <c r="A27" s="234" t="s">
        <v>312</v>
      </c>
      <c r="C27" s="235" t="s">
        <v>313</v>
      </c>
      <c r="D27" s="235"/>
      <c r="E27" s="240" t="s">
        <v>314</v>
      </c>
      <c r="F27" s="240"/>
      <c r="G27" s="242">
        <f>IF(G26=0,0,G26/G18)</f>
        <v>1.6162902289327602E-3</v>
      </c>
      <c r="L27" s="251">
        <f>G27</f>
        <v>1.6162902289327602E-3</v>
      </c>
      <c r="M27" s="228"/>
      <c r="N27" s="243"/>
      <c r="O27" s="247"/>
      <c r="P27" s="244"/>
      <c r="Q27" s="228"/>
      <c r="R27" s="235"/>
    </row>
    <row r="28" spans="1:18" ht="15.75">
      <c r="A28" s="240"/>
      <c r="C28" s="235"/>
      <c r="D28" s="235"/>
      <c r="E28" s="240"/>
      <c r="F28" s="240"/>
      <c r="G28" s="242"/>
      <c r="L28" s="251"/>
      <c r="M28" s="228"/>
      <c r="N28" s="243"/>
      <c r="O28" s="247"/>
      <c r="P28" s="244"/>
      <c r="Q28" s="228"/>
      <c r="R28" s="235"/>
    </row>
    <row r="29" spans="1:18">
      <c r="A29" s="234"/>
      <c r="C29" s="235" t="s">
        <v>315</v>
      </c>
      <c r="D29" s="235"/>
      <c r="E29" s="245"/>
      <c r="F29" s="245"/>
      <c r="G29" s="228"/>
      <c r="L29" s="228"/>
      <c r="M29" s="228"/>
      <c r="N29" s="228"/>
      <c r="O29" s="228"/>
      <c r="P29" s="228"/>
      <c r="Q29" s="228"/>
      <c r="R29" s="235"/>
    </row>
    <row r="30" spans="1:18" ht="15.75">
      <c r="A30" s="234" t="s">
        <v>316</v>
      </c>
      <c r="C30" s="235" t="s">
        <v>317</v>
      </c>
      <c r="D30" s="235"/>
      <c r="E30" s="240" t="s">
        <v>318</v>
      </c>
      <c r="F30" s="240"/>
      <c r="G30" s="241">
        <v>46427289.156390555</v>
      </c>
      <c r="M30" s="228"/>
      <c r="N30" s="246"/>
      <c r="O30" s="228"/>
      <c r="P30" s="240"/>
      <c r="Q30" s="233"/>
      <c r="R30" s="235"/>
    </row>
    <row r="31" spans="1:18" ht="15.75">
      <c r="A31" s="234" t="s">
        <v>319</v>
      </c>
      <c r="C31" s="235" t="s">
        <v>320</v>
      </c>
      <c r="D31" s="235"/>
      <c r="E31" s="240" t="s">
        <v>321</v>
      </c>
      <c r="F31" s="240"/>
      <c r="G31" s="242">
        <f>IF(G30=0,0,G30/G18)</f>
        <v>1.102084991621546E-2</v>
      </c>
      <c r="L31" s="251">
        <f>G31</f>
        <v>1.102084991621546E-2</v>
      </c>
      <c r="M31" s="228"/>
      <c r="N31" s="243"/>
      <c r="O31" s="228"/>
      <c r="P31" s="244"/>
      <c r="Q31" s="233"/>
      <c r="R31" s="235"/>
    </row>
    <row r="32" spans="1:18">
      <c r="A32" s="234"/>
      <c r="C32" s="235"/>
      <c r="D32" s="235"/>
      <c r="E32" s="240"/>
      <c r="F32" s="240"/>
      <c r="G32" s="228"/>
      <c r="L32" s="228"/>
      <c r="M32" s="228"/>
      <c r="Q32" s="228"/>
      <c r="R32" s="235"/>
    </row>
    <row r="33" spans="1:18" ht="15.75">
      <c r="A33" s="592" t="s">
        <v>322</v>
      </c>
      <c r="B33" s="593"/>
      <c r="C33" s="239" t="s">
        <v>323</v>
      </c>
      <c r="D33" s="239"/>
      <c r="E33" s="236" t="s">
        <v>324</v>
      </c>
      <c r="F33" s="236"/>
      <c r="G33" s="247"/>
      <c r="L33" s="248">
        <f>L23+L27+L31</f>
        <v>2.9743279813145538E-2</v>
      </c>
      <c r="M33" s="228"/>
      <c r="Q33" s="228"/>
      <c r="R33" s="235"/>
    </row>
    <row r="34" spans="1:18">
      <c r="A34" s="234"/>
      <c r="C34" s="235"/>
      <c r="D34" s="235"/>
      <c r="E34" s="240"/>
      <c r="F34" s="240"/>
      <c r="G34" s="228"/>
      <c r="L34" s="228"/>
      <c r="M34" s="228"/>
      <c r="N34" s="228"/>
      <c r="O34" s="228"/>
      <c r="P34" s="297"/>
      <c r="Q34" s="228"/>
      <c r="R34" s="235"/>
    </row>
    <row r="35" spans="1:18">
      <c r="A35" s="234"/>
      <c r="B35" s="298"/>
      <c r="C35" s="228" t="s">
        <v>325</v>
      </c>
      <c r="D35" s="228"/>
      <c r="E35" s="240"/>
      <c r="F35" s="240"/>
      <c r="G35" s="228"/>
      <c r="L35" s="228"/>
      <c r="M35" s="249"/>
      <c r="N35" s="298"/>
      <c r="Q35" s="233"/>
      <c r="R35" s="228" t="s">
        <v>284</v>
      </c>
    </row>
    <row r="36" spans="1:18">
      <c r="A36" s="234" t="s">
        <v>326</v>
      </c>
      <c r="B36" s="298"/>
      <c r="C36" s="228" t="s">
        <v>327</v>
      </c>
      <c r="D36" s="228"/>
      <c r="E36" s="240" t="s">
        <v>328</v>
      </c>
      <c r="F36" s="240"/>
      <c r="G36" s="241">
        <v>112405116.69297835</v>
      </c>
      <c r="L36" s="228"/>
      <c r="M36" s="249"/>
      <c r="N36" s="298"/>
      <c r="Q36" s="233"/>
      <c r="R36" s="228"/>
    </row>
    <row r="37" spans="1:18">
      <c r="A37" s="234" t="s">
        <v>329</v>
      </c>
      <c r="B37" s="298"/>
      <c r="C37" s="228" t="s">
        <v>330</v>
      </c>
      <c r="D37" s="228"/>
      <c r="E37" s="240" t="s">
        <v>331</v>
      </c>
      <c r="F37" s="240"/>
      <c r="G37" s="242">
        <f>IF(G36=0,0,G36/G19)</f>
        <v>3.5162451936269309E-2</v>
      </c>
      <c r="L37" s="251">
        <f>G37</f>
        <v>3.5162451936269309E-2</v>
      </c>
      <c r="M37" s="249"/>
      <c r="N37" s="298"/>
      <c r="O37" s="228"/>
      <c r="P37" s="228"/>
      <c r="Q37" s="233"/>
      <c r="R37" s="228"/>
    </row>
    <row r="38" spans="1:18">
      <c r="A38" s="234"/>
      <c r="C38" s="228"/>
      <c r="D38" s="228"/>
      <c r="E38" s="240"/>
      <c r="F38" s="240"/>
      <c r="G38" s="228"/>
      <c r="L38" s="228"/>
      <c r="M38" s="228"/>
      <c r="O38" s="225"/>
      <c r="P38" s="228"/>
      <c r="Q38" s="225"/>
      <c r="R38" s="235"/>
    </row>
    <row r="39" spans="1:18">
      <c r="A39" s="234"/>
      <c r="C39" s="235" t="s">
        <v>332</v>
      </c>
      <c r="D39" s="235"/>
      <c r="E39" s="250"/>
      <c r="F39" s="250"/>
      <c r="M39" s="228"/>
      <c r="O39" s="228"/>
      <c r="P39" s="228"/>
      <c r="Q39" s="228"/>
      <c r="R39" s="235"/>
    </row>
    <row r="40" spans="1:18">
      <c r="A40" s="234" t="s">
        <v>333</v>
      </c>
      <c r="C40" s="235" t="s">
        <v>334</v>
      </c>
      <c r="D40" s="235"/>
      <c r="E40" s="240" t="s">
        <v>335</v>
      </c>
      <c r="F40" s="240"/>
      <c r="G40" s="241">
        <v>219704214.68949804</v>
      </c>
      <c r="L40" s="228"/>
      <c r="M40" s="228"/>
      <c r="O40" s="228"/>
      <c r="P40" s="228"/>
      <c r="Q40" s="228"/>
      <c r="R40" s="235"/>
    </row>
    <row r="41" spans="1:18">
      <c r="A41" s="234" t="s">
        <v>336</v>
      </c>
      <c r="B41" s="298"/>
      <c r="C41" s="228" t="s">
        <v>337</v>
      </c>
      <c r="D41" s="228"/>
      <c r="E41" s="240" t="s">
        <v>338</v>
      </c>
      <c r="F41" s="240"/>
      <c r="G41" s="251">
        <f>IF(G40=0,0,G40/G19)</f>
        <v>6.8727644403556318E-2</v>
      </c>
      <c r="L41" s="251">
        <f>G41</f>
        <v>6.8727644403556318E-2</v>
      </c>
      <c r="M41" s="228"/>
      <c r="P41" s="272"/>
      <c r="Q41" s="233"/>
      <c r="R41" s="228"/>
    </row>
    <row r="42" spans="1:18">
      <c r="A42" s="234"/>
      <c r="C42" s="235"/>
      <c r="D42" s="235"/>
      <c r="E42" s="240"/>
      <c r="F42" s="240"/>
      <c r="G42" s="228"/>
      <c r="L42" s="228"/>
      <c r="M42" s="228"/>
      <c r="N42" s="250"/>
      <c r="O42" s="228"/>
      <c r="P42" s="228"/>
      <c r="Q42" s="228"/>
      <c r="R42" s="235"/>
    </row>
    <row r="43" spans="1:18" ht="15.75">
      <c r="A43" s="592" t="s">
        <v>339</v>
      </c>
      <c r="B43" s="593"/>
      <c r="C43" s="239" t="s">
        <v>340</v>
      </c>
      <c r="D43" s="239"/>
      <c r="E43" s="236" t="s">
        <v>341</v>
      </c>
      <c r="F43" s="236"/>
      <c r="G43" s="247"/>
      <c r="L43" s="248">
        <f>L37+L41</f>
        <v>0.10389009633982563</v>
      </c>
      <c r="M43" s="228"/>
      <c r="N43" s="250"/>
      <c r="O43" s="228"/>
      <c r="P43" s="228"/>
      <c r="Q43" s="228"/>
      <c r="R43" s="235"/>
    </row>
    <row r="44" spans="1:18">
      <c r="M44" s="252"/>
      <c r="N44" s="252"/>
      <c r="O44" s="228"/>
      <c r="P44" s="228"/>
      <c r="Q44" s="228"/>
      <c r="R44" s="235"/>
    </row>
    <row r="45" spans="1:18">
      <c r="M45" s="252"/>
      <c r="N45" s="252"/>
      <c r="O45" s="228"/>
      <c r="P45" s="228"/>
      <c r="Q45" s="228"/>
      <c r="R45" s="235"/>
    </row>
    <row r="46" spans="1:18">
      <c r="M46" s="252"/>
      <c r="N46" s="252"/>
      <c r="O46" s="228"/>
      <c r="P46" s="228"/>
      <c r="Q46" s="228"/>
      <c r="R46" s="235"/>
    </row>
    <row r="47" spans="1:18">
      <c r="M47" s="225"/>
      <c r="N47" s="225"/>
      <c r="O47" s="235"/>
      <c r="P47" s="235"/>
      <c r="Q47" s="235"/>
      <c r="R47" s="235"/>
    </row>
    <row r="48" spans="1:18">
      <c r="M48" s="228"/>
      <c r="N48" s="228"/>
      <c r="O48" s="228"/>
      <c r="P48" s="225"/>
      <c r="Q48" s="228"/>
      <c r="R48" s="235"/>
    </row>
    <row r="49" spans="1:18" ht="15.75">
      <c r="M49" s="228"/>
      <c r="N49" s="243"/>
      <c r="O49" s="228"/>
      <c r="P49" s="228"/>
      <c r="Q49" s="240"/>
      <c r="R49" s="228"/>
    </row>
    <row r="50" spans="1:18" ht="15.75">
      <c r="M50" s="228"/>
      <c r="N50" s="243"/>
      <c r="O50" s="228"/>
      <c r="P50" s="228"/>
      <c r="Q50" s="240"/>
      <c r="R50" s="228"/>
    </row>
    <row r="51" spans="1:18" ht="15.75">
      <c r="M51" s="228"/>
      <c r="N51" s="243"/>
      <c r="O51" s="228"/>
      <c r="P51" s="228"/>
      <c r="Q51" s="240"/>
      <c r="R51" s="228"/>
    </row>
    <row r="52" spans="1:18" ht="15.75">
      <c r="A52" s="234"/>
      <c r="B52" s="298"/>
      <c r="E52" s="245"/>
      <c r="F52" s="245"/>
      <c r="G52" s="228"/>
      <c r="J52" s="242"/>
      <c r="L52" s="228"/>
      <c r="M52" s="228"/>
      <c r="N52" s="243"/>
      <c r="O52" s="228"/>
      <c r="P52" s="228"/>
      <c r="Q52" s="240"/>
      <c r="R52" s="228"/>
    </row>
    <row r="53" spans="1:18" ht="15.75">
      <c r="A53" s="234"/>
      <c r="B53" s="298"/>
      <c r="E53" s="245"/>
      <c r="F53" s="245"/>
      <c r="G53" s="228"/>
      <c r="J53" s="242"/>
      <c r="L53" s="228"/>
      <c r="M53" s="228"/>
      <c r="N53" s="243"/>
      <c r="O53" s="228"/>
      <c r="P53" s="228"/>
      <c r="Q53" s="240"/>
      <c r="R53" s="228"/>
    </row>
    <row r="54" spans="1:18">
      <c r="A54" s="327"/>
      <c r="C54" s="234"/>
      <c r="D54" s="234"/>
      <c r="E54" s="245"/>
      <c r="F54" s="245"/>
      <c r="G54" s="228"/>
      <c r="J54" s="242"/>
      <c r="M54" s="228"/>
      <c r="N54" s="328"/>
      <c r="O54" s="328"/>
      <c r="P54" s="228"/>
      <c r="Q54" s="240"/>
      <c r="R54" s="228"/>
    </row>
    <row r="55" spans="1:18" ht="15.75">
      <c r="A55" s="327"/>
      <c r="C55" s="234"/>
      <c r="D55" s="234"/>
      <c r="E55" s="245"/>
      <c r="F55" s="245"/>
      <c r="G55" s="228"/>
      <c r="J55" s="242"/>
      <c r="M55" s="228"/>
      <c r="N55" s="243"/>
      <c r="O55" s="328"/>
      <c r="P55" s="228"/>
      <c r="Q55" s="240"/>
      <c r="R55" s="228"/>
    </row>
    <row r="56" spans="1:18" ht="15.75">
      <c r="A56" s="327"/>
      <c r="C56" s="234"/>
      <c r="D56" s="234"/>
      <c r="E56" s="245"/>
      <c r="F56" s="245"/>
      <c r="G56" s="228"/>
      <c r="J56" s="242"/>
      <c r="M56" s="228"/>
      <c r="N56" s="243"/>
      <c r="O56" s="328"/>
      <c r="P56" s="228"/>
      <c r="Q56" s="240"/>
      <c r="R56" s="228"/>
    </row>
    <row r="57" spans="1:18">
      <c r="A57" s="292"/>
      <c r="G57" s="228"/>
      <c r="M57" s="228"/>
      <c r="N57" s="228"/>
      <c r="O57" s="228"/>
      <c r="P57" s="228"/>
      <c r="Q57" s="233"/>
      <c r="R57" s="228" t="s">
        <v>284</v>
      </c>
    </row>
    <row r="58" spans="1:18">
      <c r="N58" s="561"/>
    </row>
    <row r="59" spans="1:18">
      <c r="N59" s="561"/>
    </row>
    <row r="61" spans="1:18">
      <c r="A61" s="292"/>
      <c r="G61" s="228"/>
      <c r="M61" s="228"/>
      <c r="N61" s="561" t="str">
        <f>N4</f>
        <v>Attachment GG - Generic Company</v>
      </c>
      <c r="O61" s="228"/>
      <c r="P61" s="225"/>
      <c r="Q61" s="228"/>
      <c r="R61" s="235"/>
    </row>
    <row r="62" spans="1:18">
      <c r="A62" s="292"/>
      <c r="C62" s="235" t="str">
        <f>C5</f>
        <v>Formula Rate calculation</v>
      </c>
      <c r="D62" s="235"/>
      <c r="G62" s="253" t="str">
        <f>G5</f>
        <v xml:space="preserve">     Rate Formula Template</v>
      </c>
      <c r="M62" s="228"/>
      <c r="N62" s="561" t="str">
        <f>N5</f>
        <v>For  the 12 months ended 12/31/2016</v>
      </c>
      <c r="O62" s="228"/>
      <c r="P62" s="225"/>
      <c r="Q62" s="228"/>
      <c r="R62" s="235"/>
    </row>
    <row r="63" spans="1:18">
      <c r="A63" s="292"/>
      <c r="C63" s="235"/>
      <c r="D63" s="235"/>
      <c r="G63" s="253" t="str">
        <f>G6</f>
        <v xml:space="preserve"> Utilizing Attachment O Data</v>
      </c>
      <c r="L63" s="228"/>
      <c r="M63" s="228"/>
      <c r="O63" s="228"/>
      <c r="P63" s="225"/>
      <c r="Q63" s="228"/>
      <c r="R63" s="235"/>
    </row>
    <row r="64" spans="1:18" ht="14.25" customHeight="1">
      <c r="A64" s="292"/>
      <c r="M64" s="228"/>
      <c r="N64" s="253" t="s">
        <v>342</v>
      </c>
      <c r="O64" s="228"/>
      <c r="P64" s="225"/>
      <c r="Q64" s="228"/>
      <c r="R64" s="235"/>
    </row>
    <row r="65" spans="1:21">
      <c r="A65" s="292"/>
      <c r="G65" s="253" t="str">
        <f>G8</f>
        <v>Northern States Power Companies @ 12.38% ROE</v>
      </c>
      <c r="M65" s="228"/>
      <c r="N65" s="228"/>
      <c r="O65" s="228"/>
      <c r="P65" s="225"/>
      <c r="Q65" s="228"/>
      <c r="R65" s="235"/>
    </row>
    <row r="66" spans="1:21">
      <c r="A66" s="292"/>
      <c r="E66" s="235"/>
      <c r="F66" s="235"/>
      <c r="G66" s="235"/>
      <c r="H66" s="235"/>
      <c r="I66" s="235"/>
      <c r="J66" s="235"/>
      <c r="K66" s="235"/>
      <c r="L66" s="235"/>
      <c r="M66" s="235"/>
      <c r="N66" s="235"/>
      <c r="O66" s="228"/>
      <c r="P66" s="225"/>
      <c r="Q66" s="228"/>
      <c r="R66" s="235"/>
    </row>
    <row r="67" spans="1:21" ht="15.75">
      <c r="A67" s="292"/>
      <c r="E67" s="239" t="s">
        <v>343</v>
      </c>
      <c r="F67" s="239"/>
      <c r="H67" s="225"/>
      <c r="I67" s="225"/>
      <c r="J67" s="225"/>
      <c r="K67" s="225"/>
      <c r="L67" s="225"/>
      <c r="M67" s="228"/>
      <c r="N67" s="228"/>
      <c r="O67" s="228"/>
      <c r="P67" s="225"/>
      <c r="Q67" s="228"/>
      <c r="R67" s="235"/>
    </row>
    <row r="68" spans="1:21" ht="15.75">
      <c r="A68" s="292"/>
      <c r="E68" s="239"/>
      <c r="F68" s="239"/>
      <c r="H68" s="225"/>
      <c r="I68" s="225"/>
      <c r="J68" s="225"/>
      <c r="K68" s="225"/>
      <c r="L68" s="225"/>
      <c r="M68" s="228"/>
      <c r="N68" s="228"/>
      <c r="O68" s="228"/>
      <c r="P68" s="225"/>
      <c r="Q68" s="228"/>
      <c r="R68" s="235"/>
    </row>
    <row r="69" spans="1:21" ht="15.75">
      <c r="A69" s="292"/>
      <c r="C69" s="255">
        <v>-1</v>
      </c>
      <c r="D69" s="255">
        <v>-2</v>
      </c>
      <c r="E69" s="255">
        <v>-3</v>
      </c>
      <c r="F69" s="255">
        <v>-4</v>
      </c>
      <c r="G69" s="255">
        <v>-5</v>
      </c>
      <c r="H69" s="255">
        <v>-6</v>
      </c>
      <c r="I69" s="255">
        <v>-7</v>
      </c>
      <c r="J69" s="255">
        <v>-8</v>
      </c>
      <c r="K69" s="255">
        <v>-9</v>
      </c>
      <c r="L69" s="255">
        <v>-10</v>
      </c>
      <c r="M69" s="255">
        <v>-11</v>
      </c>
      <c r="N69" s="255">
        <v>-12</v>
      </c>
      <c r="O69" s="228"/>
      <c r="P69" s="225"/>
      <c r="Q69" s="228"/>
      <c r="R69" s="235"/>
    </row>
    <row r="70" spans="1:21" ht="63">
      <c r="A70" s="594" t="s">
        <v>344</v>
      </c>
      <c r="B70" s="595"/>
      <c r="C70" s="595" t="s">
        <v>345</v>
      </c>
      <c r="D70" s="596" t="s">
        <v>346</v>
      </c>
      <c r="E70" s="256" t="s">
        <v>347</v>
      </c>
      <c r="F70" s="256" t="s">
        <v>323</v>
      </c>
      <c r="G70" s="597" t="s">
        <v>348</v>
      </c>
      <c r="H70" s="256" t="s">
        <v>349</v>
      </c>
      <c r="I70" s="256" t="s">
        <v>340</v>
      </c>
      <c r="J70" s="597" t="s">
        <v>350</v>
      </c>
      <c r="K70" s="256" t="s">
        <v>351</v>
      </c>
      <c r="L70" s="257" t="s">
        <v>352</v>
      </c>
      <c r="M70" s="258" t="s">
        <v>353</v>
      </c>
      <c r="N70" s="257" t="s">
        <v>354</v>
      </c>
      <c r="O70" s="247"/>
      <c r="P70" s="225"/>
      <c r="Q70" s="228"/>
      <c r="R70" s="235"/>
    </row>
    <row r="71" spans="1:21" ht="46.5" customHeight="1">
      <c r="A71" s="259"/>
      <c r="B71" s="260"/>
      <c r="C71" s="260"/>
      <c r="D71" s="260"/>
      <c r="E71" s="261" t="s">
        <v>355</v>
      </c>
      <c r="F71" s="261" t="s">
        <v>643</v>
      </c>
      <c r="G71" s="262" t="s">
        <v>356</v>
      </c>
      <c r="H71" s="261" t="s">
        <v>357</v>
      </c>
      <c r="I71" s="261" t="s">
        <v>452</v>
      </c>
      <c r="J71" s="262" t="s">
        <v>358</v>
      </c>
      <c r="K71" s="261" t="s">
        <v>359</v>
      </c>
      <c r="L71" s="262" t="s">
        <v>360</v>
      </c>
      <c r="M71" s="263" t="s">
        <v>361</v>
      </c>
      <c r="N71" s="264" t="s">
        <v>362</v>
      </c>
      <c r="O71" s="228"/>
      <c r="P71" s="264" t="s">
        <v>644</v>
      </c>
      <c r="Q71" s="228"/>
      <c r="R71" s="235"/>
    </row>
    <row r="72" spans="1:21" ht="15.75">
      <c r="A72" s="266"/>
      <c r="B72" s="225"/>
      <c r="C72" s="225"/>
      <c r="D72" s="225"/>
      <c r="E72" s="225"/>
      <c r="F72" s="225"/>
      <c r="G72" s="267"/>
      <c r="H72" s="225"/>
      <c r="I72" s="225"/>
      <c r="J72" s="267"/>
      <c r="K72" s="225"/>
      <c r="L72" s="267"/>
      <c r="M72" s="228"/>
      <c r="N72" s="268"/>
      <c r="O72" s="228"/>
      <c r="P72" s="227"/>
      <c r="Q72" s="228"/>
      <c r="R72" s="235"/>
    </row>
    <row r="73" spans="1:21">
      <c r="A73" s="598" t="s">
        <v>363</v>
      </c>
      <c r="C73" s="253" t="s">
        <v>364</v>
      </c>
      <c r="D73" s="253" t="s">
        <v>138</v>
      </c>
      <c r="E73" s="599">
        <f>'Att GG Support'!$C$23</f>
        <v>7072818.700000002</v>
      </c>
      <c r="F73" s="251">
        <f>$L$33</f>
        <v>2.9743279813145538E-2</v>
      </c>
      <c r="G73" s="600">
        <f>E73*F73</f>
        <v>210368.82566174833</v>
      </c>
      <c r="H73" s="599">
        <f>'Att GG Support'!$C$56</f>
        <v>5563572.3200000031</v>
      </c>
      <c r="I73" s="251">
        <f>$L$43</f>
        <v>0.10389009633982563</v>
      </c>
      <c r="J73" s="600">
        <f>H73*I73</f>
        <v>578000.06431838754</v>
      </c>
      <c r="K73" s="599">
        <f>'Att GG Support'!$C$61</f>
        <v>185753.40000000002</v>
      </c>
      <c r="L73" s="600">
        <f>G73+J73+K73</f>
        <v>974122.28998013586</v>
      </c>
      <c r="M73" s="642">
        <v>-49755.879999999983</v>
      </c>
      <c r="N73" s="600">
        <f>L73+M73</f>
        <v>924366.40998013585</v>
      </c>
      <c r="O73" s="270"/>
      <c r="P73" s="599">
        <v>946356.29212476197</v>
      </c>
      <c r="Q73" s="270"/>
      <c r="R73" s="605"/>
      <c r="S73" s="270"/>
      <c r="T73" s="270"/>
      <c r="U73" s="270"/>
    </row>
    <row r="74" spans="1:21">
      <c r="A74" s="598" t="s">
        <v>365</v>
      </c>
      <c r="C74" s="253" t="s">
        <v>366</v>
      </c>
      <c r="D74" s="253" t="s">
        <v>139</v>
      </c>
      <c r="E74" s="599">
        <f>'Att GG Support'!D$23</f>
        <v>3487897.5099999984</v>
      </c>
      <c r="F74" s="251">
        <f>$L$33</f>
        <v>2.9743279813145538E-2</v>
      </c>
      <c r="G74" s="600">
        <f>E74*F74</f>
        <v>103741.51159950354</v>
      </c>
      <c r="H74" s="599">
        <f>'Att GG Support'!$D$56</f>
        <v>2751259.9299999992</v>
      </c>
      <c r="I74" s="251">
        <f>$L$43</f>
        <v>0.10389009633982563</v>
      </c>
      <c r="J74" s="600">
        <f>H74*I74</f>
        <v>285828.65918360185</v>
      </c>
      <c r="K74" s="599">
        <f>'Att GG Support'!$D$61</f>
        <v>91602.60000000002</v>
      </c>
      <c r="L74" s="600">
        <f>G74+J74+K74</f>
        <v>481172.77078310546</v>
      </c>
      <c r="M74" s="642">
        <v>-24554.639999999985</v>
      </c>
      <c r="N74" s="600">
        <f>L74+M74</f>
        <v>456618.1307831055</v>
      </c>
      <c r="O74" s="270"/>
      <c r="P74" s="599">
        <v>467484.27591178566</v>
      </c>
      <c r="Q74" s="270"/>
      <c r="R74" s="605"/>
      <c r="S74" s="270"/>
      <c r="T74" s="270"/>
      <c r="U74" s="270"/>
    </row>
    <row r="75" spans="1:21">
      <c r="A75" s="598" t="s">
        <v>367</v>
      </c>
      <c r="C75" s="253" t="s">
        <v>368</v>
      </c>
      <c r="D75" s="253" t="s">
        <v>140</v>
      </c>
      <c r="E75" s="599">
        <f>'Att GG Support'!E$23</f>
        <v>4462295.25</v>
      </c>
      <c r="F75" s="251">
        <f>$L$33</f>
        <v>2.9743279813145538E-2</v>
      </c>
      <c r="G75" s="600">
        <f>E75*F75</f>
        <v>132723.29622962023</v>
      </c>
      <c r="H75" s="599">
        <f>'Att GG Support'!$E$56</f>
        <v>3812849.2650000006</v>
      </c>
      <c r="I75" s="251">
        <f>$L$43</f>
        <v>0.10389009633982563</v>
      </c>
      <c r="J75" s="600">
        <f>H75*I75</f>
        <v>396117.27747008338</v>
      </c>
      <c r="K75" s="599">
        <f>'Att GG Support'!$E$61</f>
        <v>117193.25999999997</v>
      </c>
      <c r="L75" s="600">
        <f>G75+J75+K75</f>
        <v>646033.83369970368</v>
      </c>
      <c r="M75" s="642">
        <v>-32111.280000000079</v>
      </c>
      <c r="N75" s="600">
        <f>L75+M75</f>
        <v>613922.55369970365</v>
      </c>
      <c r="O75" s="270"/>
      <c r="P75" s="599">
        <v>628669.85235030262</v>
      </c>
      <c r="Q75" s="270"/>
      <c r="R75" s="605"/>
      <c r="S75" s="270"/>
      <c r="T75" s="270"/>
      <c r="U75" s="270"/>
    </row>
    <row r="76" spans="1:21">
      <c r="A76" s="598" t="s">
        <v>369</v>
      </c>
      <c r="C76" s="253" t="s">
        <v>370</v>
      </c>
      <c r="D76" s="253" t="s">
        <v>141</v>
      </c>
      <c r="E76" s="599">
        <f>'Att GG Support'!F$23</f>
        <v>7706681.2699999968</v>
      </c>
      <c r="F76" s="251">
        <f t="shared" ref="F76:F91" si="0">$L$33</f>
        <v>2.9743279813145538E-2</v>
      </c>
      <c r="G76" s="600">
        <f t="shared" ref="G76:G86" si="1">E76*F76</f>
        <v>229221.97744433771</v>
      </c>
      <c r="H76" s="599">
        <f>'Att GG Support'!$F$56</f>
        <v>6585045.0500000017</v>
      </c>
      <c r="I76" s="251">
        <f t="shared" ref="I76:I91" si="2">$L$43</f>
        <v>0.10389009633982563</v>
      </c>
      <c r="J76" s="600">
        <f t="shared" ref="J76:J86" si="3">H76*I76</f>
        <v>684120.96464659204</v>
      </c>
      <c r="K76" s="599">
        <f>'Att GG Support'!$F$61</f>
        <v>202400.51999999993</v>
      </c>
      <c r="L76" s="600">
        <f t="shared" ref="L76:L86" si="4">G76+J76+K76</f>
        <v>1115743.4620909297</v>
      </c>
      <c r="M76" s="642">
        <v>-71182.379999999859</v>
      </c>
      <c r="N76" s="600">
        <f t="shared" ref="N76:N86" si="5">L76+M76</f>
        <v>1044561.0820909298</v>
      </c>
      <c r="O76" s="270"/>
      <c r="P76" s="599">
        <v>1070030.6504365916</v>
      </c>
      <c r="Q76" s="270"/>
      <c r="R76" s="605"/>
      <c r="S76" s="270"/>
      <c r="T76" s="270"/>
      <c r="U76" s="270"/>
    </row>
    <row r="77" spans="1:21">
      <c r="A77" s="598" t="s">
        <v>371</v>
      </c>
      <c r="C77" s="253" t="s">
        <v>645</v>
      </c>
      <c r="D77" s="253" t="s">
        <v>142</v>
      </c>
      <c r="E77" s="599">
        <f>'Att GG Support'!G$23</f>
        <v>30467969.233377021</v>
      </c>
      <c r="F77" s="251">
        <f t="shared" si="0"/>
        <v>2.9743279813145538E-2</v>
      </c>
      <c r="G77" s="600">
        <f t="shared" si="1"/>
        <v>906217.33424664207</v>
      </c>
      <c r="H77" s="599">
        <f>'Att GG Support'!$G$56</f>
        <v>28182492.266718872</v>
      </c>
      <c r="I77" s="251">
        <f t="shared" si="2"/>
        <v>0.10389009633982563</v>
      </c>
      <c r="J77" s="600">
        <f t="shared" si="3"/>
        <v>2927881.8366858144</v>
      </c>
      <c r="K77" s="599">
        <f>'Att GG Support'!$G$61</f>
        <v>609612.63785692037</v>
      </c>
      <c r="L77" s="600">
        <f t="shared" si="4"/>
        <v>4443711.8087893771</v>
      </c>
      <c r="M77" s="642">
        <v>-623527.59000000043</v>
      </c>
      <c r="N77" s="600">
        <f t="shared" si="5"/>
        <v>3820184.2187893768</v>
      </c>
      <c r="O77" s="270"/>
      <c r="P77" s="599">
        <v>3876605.1667542211</v>
      </c>
      <c r="Q77" s="270"/>
      <c r="R77" s="605"/>
      <c r="S77" s="270"/>
      <c r="T77" s="270"/>
      <c r="U77" s="270"/>
    </row>
    <row r="78" spans="1:21">
      <c r="A78" s="598" t="s">
        <v>372</v>
      </c>
      <c r="C78" s="253" t="s">
        <v>646</v>
      </c>
      <c r="D78" s="253" t="s">
        <v>275</v>
      </c>
      <c r="E78" s="599">
        <f>'Att GG Support'!H$23</f>
        <v>206727122.71294758</v>
      </c>
      <c r="F78" s="251">
        <f t="shared" si="0"/>
        <v>2.9743279813145538E-2</v>
      </c>
      <c r="G78" s="600">
        <f t="shared" si="1"/>
        <v>6148742.6558176745</v>
      </c>
      <c r="H78" s="599">
        <f>'Att GG Support'!$H$56</f>
        <v>198511057.06782132</v>
      </c>
      <c r="I78" s="251">
        <f t="shared" si="2"/>
        <v>0.10389009633982563</v>
      </c>
      <c r="J78" s="600">
        <f t="shared" si="3"/>
        <v>20623332.84329658</v>
      </c>
      <c r="K78" s="599">
        <f>'Att GG Support'!$H$61</f>
        <v>3983044.0200603409</v>
      </c>
      <c r="L78" s="600">
        <f t="shared" si="4"/>
        <v>30755119.519174594</v>
      </c>
      <c r="M78" s="642">
        <v>-960135.07000000472</v>
      </c>
      <c r="N78" s="600">
        <f t="shared" si="5"/>
        <v>29794984.44917459</v>
      </c>
      <c r="O78" s="270"/>
      <c r="P78" s="599">
        <v>31011627.429202337</v>
      </c>
      <c r="Q78" s="270"/>
      <c r="R78" s="605"/>
      <c r="S78" s="270"/>
      <c r="T78" s="270"/>
      <c r="U78" s="270"/>
    </row>
    <row r="79" spans="1:21">
      <c r="A79" s="598" t="s">
        <v>373</v>
      </c>
      <c r="C79" s="253" t="s">
        <v>647</v>
      </c>
      <c r="D79" s="253" t="s">
        <v>143</v>
      </c>
      <c r="E79" s="599">
        <f>'Att GG Support'!I$23</f>
        <v>218737640.2600795</v>
      </c>
      <c r="F79" s="251">
        <f t="shared" si="0"/>
        <v>2.9743279813145538E-2</v>
      </c>
      <c r="G79" s="600">
        <f t="shared" si="1"/>
        <v>6505974.8399227131</v>
      </c>
      <c r="H79" s="599">
        <f>'Att GG Support'!$I$56</f>
        <v>214659930.91432735</v>
      </c>
      <c r="I79" s="251">
        <f t="shared" si="2"/>
        <v>0.10389009633982563</v>
      </c>
      <c r="J79" s="600">
        <f t="shared" si="3"/>
        <v>22301040.902989782</v>
      </c>
      <c r="K79" s="599">
        <f>'Att GG Support'!$I$61</f>
        <v>4288370.5046604332</v>
      </c>
      <c r="L79" s="600">
        <f t="shared" si="4"/>
        <v>33095386.247572929</v>
      </c>
      <c r="M79" s="642">
        <v>-1658289.0699999977</v>
      </c>
      <c r="N79" s="600">
        <f t="shared" si="5"/>
        <v>31437097.177572932</v>
      </c>
      <c r="O79" s="270"/>
      <c r="P79" s="599">
        <v>33404288.084436063</v>
      </c>
      <c r="Q79" s="270"/>
      <c r="R79" s="605"/>
      <c r="S79" s="270"/>
      <c r="T79" s="270"/>
      <c r="U79" s="270"/>
    </row>
    <row r="80" spans="1:21">
      <c r="A80" s="598" t="s">
        <v>374</v>
      </c>
      <c r="C80" s="253" t="s">
        <v>375</v>
      </c>
      <c r="D80" s="253" t="s">
        <v>144</v>
      </c>
      <c r="E80" s="599">
        <f>'Att GG Support'!J$23</f>
        <v>468201.81000000023</v>
      </c>
      <c r="F80" s="251">
        <f t="shared" si="0"/>
        <v>2.9743279813145538E-2</v>
      </c>
      <c r="G80" s="600">
        <f t="shared" si="1"/>
        <v>13925.85744385121</v>
      </c>
      <c r="H80" s="599">
        <f>'Att GG Support'!$J$56</f>
        <v>400236.72000000009</v>
      </c>
      <c r="I80" s="251">
        <f t="shared" si="2"/>
        <v>0.10389009633982563</v>
      </c>
      <c r="J80" s="600">
        <f t="shared" si="3"/>
        <v>41580.631399535821</v>
      </c>
      <c r="K80" s="599">
        <f>'Att GG Support'!$J$61</f>
        <v>12296.400000000003</v>
      </c>
      <c r="L80" s="600">
        <f t="shared" si="4"/>
        <v>67802.888843387031</v>
      </c>
      <c r="M80" s="642">
        <v>-3384.4800000000041</v>
      </c>
      <c r="N80" s="600">
        <f t="shared" si="5"/>
        <v>64418.408843387027</v>
      </c>
      <c r="O80" s="270"/>
      <c r="P80" s="599">
        <v>65966.26610418818</v>
      </c>
      <c r="Q80" s="270"/>
      <c r="R80" s="605"/>
      <c r="S80" s="270"/>
      <c r="T80" s="270"/>
      <c r="U80" s="270"/>
    </row>
    <row r="81" spans="1:21">
      <c r="A81" s="598" t="s">
        <v>376</v>
      </c>
      <c r="C81" s="253" t="s">
        <v>146</v>
      </c>
      <c r="D81" s="253" t="s">
        <v>145</v>
      </c>
      <c r="E81" s="599">
        <f>'Att GG Support'!K$23</f>
        <v>127736.33000000006</v>
      </c>
      <c r="F81" s="251">
        <f t="shared" si="0"/>
        <v>2.9743279813145538E-2</v>
      </c>
      <c r="G81" s="600">
        <f t="shared" si="1"/>
        <v>3799.2974054942983</v>
      </c>
      <c r="H81" s="599">
        <f>'Att GG Support'!$K$56</f>
        <v>104718.29000000001</v>
      </c>
      <c r="I81" s="251">
        <f t="shared" si="2"/>
        <v>0.10389009633982563</v>
      </c>
      <c r="J81" s="600">
        <f t="shared" si="3"/>
        <v>10879.193236641799</v>
      </c>
      <c r="K81" s="599">
        <f>'Att GG Support'!$K$61</f>
        <v>3354.72</v>
      </c>
      <c r="L81" s="600">
        <f t="shared" si="4"/>
        <v>18033.210642136099</v>
      </c>
      <c r="M81" s="642">
        <v>-907.10999999999899</v>
      </c>
      <c r="N81" s="600">
        <f t="shared" si="5"/>
        <v>17126.100642136098</v>
      </c>
      <c r="O81" s="270"/>
      <c r="P81" s="599">
        <v>17535.475809919888</v>
      </c>
      <c r="Q81" s="270"/>
      <c r="R81" s="605"/>
      <c r="S81" s="270"/>
      <c r="T81" s="270"/>
      <c r="U81" s="270"/>
    </row>
    <row r="82" spans="1:21">
      <c r="A82" s="598" t="s">
        <v>377</v>
      </c>
      <c r="C82" s="253" t="s">
        <v>378</v>
      </c>
      <c r="D82" s="253" t="s">
        <v>181</v>
      </c>
      <c r="E82" s="599">
        <f>'Att GG Support'!L$23</f>
        <v>47486.62999999999</v>
      </c>
      <c r="F82" s="251">
        <f t="shared" si="0"/>
        <v>2.9743279813145538E-2</v>
      </c>
      <c r="G82" s="600">
        <f t="shared" si="1"/>
        <v>1412.408123473311</v>
      </c>
      <c r="H82" s="599">
        <f>'Att GG Support'!$L$56</f>
        <v>36876.13999999997</v>
      </c>
      <c r="I82" s="251">
        <f t="shared" si="2"/>
        <v>0.10389009633982563</v>
      </c>
      <c r="J82" s="600">
        <f t="shared" si="3"/>
        <v>3831.0657372408941</v>
      </c>
      <c r="K82" s="599">
        <f>'Att GG Support'!$L$61</f>
        <v>1118.04</v>
      </c>
      <c r="L82" s="600">
        <f t="shared" si="4"/>
        <v>6361.5138607142053</v>
      </c>
      <c r="M82" s="642">
        <v>-505.65000000000043</v>
      </c>
      <c r="N82" s="600">
        <f t="shared" si="5"/>
        <v>5855.8638607142047</v>
      </c>
      <c r="O82" s="270"/>
      <c r="P82" s="599">
        <v>6002.1251320249748</v>
      </c>
      <c r="Q82" s="270"/>
      <c r="R82" s="605"/>
      <c r="S82" s="270"/>
      <c r="T82" s="270"/>
      <c r="U82" s="270"/>
    </row>
    <row r="83" spans="1:21">
      <c r="A83" s="598" t="s">
        <v>379</v>
      </c>
      <c r="C83" s="253" t="s">
        <v>380</v>
      </c>
      <c r="D83" s="253" t="s">
        <v>182</v>
      </c>
      <c r="E83" s="599">
        <f>'Att GG Support'!M$23</f>
        <v>230828.43999999997</v>
      </c>
      <c r="F83" s="251">
        <f t="shared" si="0"/>
        <v>2.9743279813145538E-2</v>
      </c>
      <c r="G83" s="600">
        <f t="shared" si="1"/>
        <v>6865.5948797518749</v>
      </c>
      <c r="H83" s="599">
        <f>'Att GG Support'!$M$56</f>
        <v>190308.10999999993</v>
      </c>
      <c r="I83" s="251">
        <f t="shared" si="2"/>
        <v>0.10389009633982563</v>
      </c>
      <c r="J83" s="600">
        <f t="shared" si="3"/>
        <v>19771.127882150126</v>
      </c>
      <c r="K83" s="599">
        <f>'Att GG Support'!$M$61</f>
        <v>4957.2000000000007</v>
      </c>
      <c r="L83" s="600">
        <f t="shared" si="4"/>
        <v>31593.922761902002</v>
      </c>
      <c r="M83" s="642">
        <v>-2483.060000000004</v>
      </c>
      <c r="N83" s="600">
        <f t="shared" si="5"/>
        <v>29110.862761901997</v>
      </c>
      <c r="O83" s="270"/>
      <c r="P83" s="599">
        <v>29853.734193873246</v>
      </c>
      <c r="Q83" s="270"/>
      <c r="R83" s="605"/>
      <c r="S83" s="270"/>
      <c r="T83" s="270"/>
      <c r="U83" s="270"/>
    </row>
    <row r="84" spans="1:21">
      <c r="A84" s="598" t="s">
        <v>381</v>
      </c>
      <c r="C84" s="253" t="s">
        <v>184</v>
      </c>
      <c r="D84" s="253" t="s">
        <v>276</v>
      </c>
      <c r="E84" s="599">
        <f>'Att GG Support'!N$23</f>
        <v>4271587.1000000006</v>
      </c>
      <c r="F84" s="251">
        <f t="shared" si="0"/>
        <v>2.9743279813145538E-2</v>
      </c>
      <c r="G84" s="600">
        <f t="shared" si="1"/>
        <v>127051.0103615229</v>
      </c>
      <c r="H84" s="599">
        <f>'Att GG Support'!$N$56</f>
        <v>3919383.8592617121</v>
      </c>
      <c r="I84" s="251">
        <f t="shared" si="2"/>
        <v>0.10389009633982563</v>
      </c>
      <c r="J84" s="600">
        <f t="shared" si="3"/>
        <v>407185.16673145682</v>
      </c>
      <c r="K84" s="599">
        <f>'Att GG Support'!$N$61</f>
        <v>79739.568751429935</v>
      </c>
      <c r="L84" s="600">
        <f t="shared" si="4"/>
        <v>613975.74584440957</v>
      </c>
      <c r="M84" s="642">
        <v>-89259.260000000126</v>
      </c>
      <c r="N84" s="600">
        <f t="shared" si="5"/>
        <v>524716.48584440944</v>
      </c>
      <c r="O84" s="270"/>
      <c r="P84" s="599">
        <v>539608.8456238223</v>
      </c>
      <c r="Q84" s="270"/>
      <c r="R84" s="605"/>
      <c r="S84" s="270"/>
      <c r="T84" s="270"/>
      <c r="U84" s="270"/>
    </row>
    <row r="85" spans="1:21">
      <c r="A85" s="598" t="s">
        <v>382</v>
      </c>
      <c r="C85" s="253" t="s">
        <v>648</v>
      </c>
      <c r="D85" s="253" t="s">
        <v>277</v>
      </c>
      <c r="E85" s="599">
        <f>'Att GG Support'!O$23</f>
        <v>22200964.091915004</v>
      </c>
      <c r="F85" s="251">
        <f t="shared" si="0"/>
        <v>2.9743279813145538E-2</v>
      </c>
      <c r="G85" s="600">
        <f t="shared" si="1"/>
        <v>660329.48710742453</v>
      </c>
      <c r="H85" s="599">
        <f>'Att GG Support'!$O$56</f>
        <v>20912989.042984292</v>
      </c>
      <c r="I85" s="251">
        <f t="shared" si="2"/>
        <v>0.10389009633982563</v>
      </c>
      <c r="J85" s="600">
        <f t="shared" si="3"/>
        <v>2172652.446429356</v>
      </c>
      <c r="K85" s="599">
        <f>'Att GG Support'!$O$61</f>
        <v>448607.95164331066</v>
      </c>
      <c r="L85" s="600">
        <f t="shared" si="4"/>
        <v>3281589.885180091</v>
      </c>
      <c r="M85" s="642">
        <v>-491230.91999999905</v>
      </c>
      <c r="N85" s="600">
        <f t="shared" si="5"/>
        <v>2790358.965180092</v>
      </c>
      <c r="O85" s="270"/>
      <c r="P85" s="599">
        <v>2882825.0268481802</v>
      </c>
      <c r="Q85" s="270"/>
      <c r="R85" s="605"/>
      <c r="S85" s="270"/>
      <c r="T85" s="270"/>
      <c r="U85" s="270"/>
    </row>
    <row r="86" spans="1:21">
      <c r="A86" s="598" t="s">
        <v>383</v>
      </c>
      <c r="C86" s="253" t="s">
        <v>253</v>
      </c>
      <c r="D86" s="253" t="s">
        <v>279</v>
      </c>
      <c r="E86" s="599">
        <f>'Att GG Support'!P$23</f>
        <v>309681</v>
      </c>
      <c r="F86" s="251">
        <f t="shared" si="0"/>
        <v>2.9743279813145538E-2</v>
      </c>
      <c r="G86" s="600">
        <f t="shared" si="1"/>
        <v>9210.9286358147237</v>
      </c>
      <c r="H86" s="599">
        <f>'Att GG Support'!$P$56</f>
        <v>263802.33499999996</v>
      </c>
      <c r="I86" s="251">
        <f t="shared" si="2"/>
        <v>0.10389009633982563</v>
      </c>
      <c r="J86" s="600">
        <f t="shared" si="3"/>
        <v>27406.44999782095</v>
      </c>
      <c r="K86" s="599">
        <f>'Att GG Support'!$P$61</f>
        <v>8602.2500000000018</v>
      </c>
      <c r="L86" s="600">
        <f t="shared" si="4"/>
        <v>45219.628633635672</v>
      </c>
      <c r="M86" s="642">
        <v>-8993.11</v>
      </c>
      <c r="N86" s="600">
        <f t="shared" si="5"/>
        <v>36226.518633635671</v>
      </c>
      <c r="O86" s="270"/>
      <c r="P86" s="599">
        <v>37247.643350633633</v>
      </c>
      <c r="Q86" s="270"/>
      <c r="R86" s="605"/>
      <c r="S86" s="270"/>
      <c r="T86" s="270"/>
      <c r="U86" s="270"/>
    </row>
    <row r="87" spans="1:21">
      <c r="A87" s="598" t="s">
        <v>384</v>
      </c>
      <c r="C87" s="253" t="s">
        <v>649</v>
      </c>
      <c r="D87" s="601" t="s">
        <v>548</v>
      </c>
      <c r="E87" s="599">
        <f>'Att GG Support'!Q$23</f>
        <v>15310378.909999998</v>
      </c>
      <c r="F87" s="251">
        <f t="shared" si="0"/>
        <v>2.9743279813145538E-2</v>
      </c>
      <c r="G87" s="600">
        <f>E87*F87</f>
        <v>455380.88396541215</v>
      </c>
      <c r="H87" s="599">
        <f>'Att GG Support'!$Q$56</f>
        <v>14751486.975749535</v>
      </c>
      <c r="I87" s="251">
        <f t="shared" si="2"/>
        <v>0.10389009633982563</v>
      </c>
      <c r="J87" s="600">
        <f>H87*I87</f>
        <v>1532533.4030663022</v>
      </c>
      <c r="K87" s="599">
        <f>'Att GG Support'!$Q$61</f>
        <v>319001.15637300047</v>
      </c>
      <c r="L87" s="600">
        <f>G87+J87+K87</f>
        <v>2306915.4434047146</v>
      </c>
      <c r="M87" s="642">
        <v>434461.44000000006</v>
      </c>
      <c r="N87" s="600">
        <f>L87+M87</f>
        <v>2741376.8834047145</v>
      </c>
      <c r="O87" s="270"/>
      <c r="P87" s="599">
        <v>2796793.4312206418</v>
      </c>
      <c r="Q87" s="270"/>
      <c r="R87" s="605"/>
      <c r="S87" s="270"/>
      <c r="T87" s="270"/>
      <c r="U87" s="270"/>
    </row>
    <row r="88" spans="1:21">
      <c r="A88" s="598" t="s">
        <v>571</v>
      </c>
      <c r="C88" s="253" t="s">
        <v>650</v>
      </c>
      <c r="D88" s="601" t="s">
        <v>550</v>
      </c>
      <c r="E88" s="599">
        <f>'Att GG Support'!R$23</f>
        <v>18711271.990000006</v>
      </c>
      <c r="F88" s="251">
        <f t="shared" si="0"/>
        <v>2.9743279813145538E-2</v>
      </c>
      <c r="G88" s="600">
        <f>E88*F88</f>
        <v>556534.59845844272</v>
      </c>
      <c r="H88" s="599">
        <f>'Att GG Support'!$R$56</f>
        <v>18151276.115950685</v>
      </c>
      <c r="I88" s="251">
        <f t="shared" si="2"/>
        <v>0.10389009633982563</v>
      </c>
      <c r="J88" s="600">
        <f>H88*I88</f>
        <v>1885737.8243768925</v>
      </c>
      <c r="K88" s="599">
        <f>'Att GG Support'!$R$61</f>
        <v>375109.04953166709</v>
      </c>
      <c r="L88" s="600">
        <f>G88+J88+K88</f>
        <v>2817381.4723670022</v>
      </c>
      <c r="M88" s="642">
        <v>-13184.88000000003</v>
      </c>
      <c r="N88" s="600">
        <f>L88+M88</f>
        <v>2804196.5923670023</v>
      </c>
      <c r="O88" s="270"/>
      <c r="P88" s="599">
        <v>3101573.1496665999</v>
      </c>
      <c r="Q88" s="270"/>
      <c r="R88" s="605"/>
      <c r="S88" s="270"/>
      <c r="T88" s="270"/>
      <c r="U88" s="270"/>
    </row>
    <row r="89" spans="1:21">
      <c r="A89" s="598" t="s">
        <v>651</v>
      </c>
      <c r="C89" s="253" t="s">
        <v>573</v>
      </c>
      <c r="D89" s="601" t="s">
        <v>569</v>
      </c>
      <c r="E89" s="599">
        <f>'Att GG Support'!S$23</f>
        <v>37116159.920000009</v>
      </c>
      <c r="F89" s="251">
        <f t="shared" si="0"/>
        <v>2.9743279813145538E-2</v>
      </c>
      <c r="G89" s="600">
        <f>E89*F89</f>
        <v>1103956.3300900178</v>
      </c>
      <c r="H89" s="599">
        <f>'Att GG Support'!$S$56</f>
        <v>36674033.357993655</v>
      </c>
      <c r="I89" s="251">
        <f t="shared" si="2"/>
        <v>0.10389009633982563</v>
      </c>
      <c r="J89" s="600">
        <f>H89*I89</f>
        <v>3810068.8587319395</v>
      </c>
      <c r="K89" s="599">
        <f>'Att GG Support'!$S$61</f>
        <v>775571.36363223742</v>
      </c>
      <c r="L89" s="600">
        <f>G89+J89+K89</f>
        <v>5689596.552454195</v>
      </c>
      <c r="M89" s="642">
        <v>0</v>
      </c>
      <c r="N89" s="600">
        <f>L89+M89</f>
        <v>5689596.552454195</v>
      </c>
      <c r="O89" s="270"/>
      <c r="P89" s="599">
        <v>6288904.6404657038</v>
      </c>
      <c r="Q89" s="270"/>
      <c r="R89" s="605"/>
      <c r="S89" s="270"/>
      <c r="T89" s="270"/>
      <c r="U89" s="270"/>
    </row>
    <row r="90" spans="1:21">
      <c r="A90" s="598" t="s">
        <v>572</v>
      </c>
      <c r="C90" s="253" t="s">
        <v>652</v>
      </c>
      <c r="D90" s="601" t="s">
        <v>570</v>
      </c>
      <c r="E90" s="599">
        <f>'Att GG Support'!T$23</f>
        <v>672602.52000000037</v>
      </c>
      <c r="F90" s="251">
        <f t="shared" si="0"/>
        <v>2.9743279813145538E-2</v>
      </c>
      <c r="G90" s="600">
        <f>E90*F90</f>
        <v>20005.404955386828</v>
      </c>
      <c r="H90" s="599">
        <f>'Att GG Support'!$T$56</f>
        <v>667038.23899488035</v>
      </c>
      <c r="I90" s="251">
        <f t="shared" si="2"/>
        <v>0.10389009633982563</v>
      </c>
      <c r="J90" s="600">
        <f>H90*I90</f>
        <v>69298.666911525754</v>
      </c>
      <c r="K90" s="599">
        <f>'Att GG Support'!$T$61</f>
        <v>14054.558842920285</v>
      </c>
      <c r="L90" s="600">
        <f>G90+J90+K90</f>
        <v>103358.63070983287</v>
      </c>
      <c r="M90" s="642">
        <v>0</v>
      </c>
      <c r="N90" s="600">
        <f>L90+M90</f>
        <v>103358.63070983287</v>
      </c>
      <c r="O90" s="270"/>
      <c r="P90" s="599">
        <v>0</v>
      </c>
      <c r="Q90" s="270"/>
      <c r="R90" s="605"/>
      <c r="S90" s="270"/>
      <c r="T90" s="270"/>
      <c r="U90" s="270"/>
    </row>
    <row r="91" spans="1:21">
      <c r="A91" s="598" t="s">
        <v>574</v>
      </c>
      <c r="C91" s="253" t="s">
        <v>251</v>
      </c>
      <c r="D91" s="601" t="s">
        <v>278</v>
      </c>
      <c r="E91" s="599">
        <v>0</v>
      </c>
      <c r="F91" s="251">
        <f t="shared" si="0"/>
        <v>2.9743279813145538E-2</v>
      </c>
      <c r="G91" s="600">
        <f>E91*F91</f>
        <v>0</v>
      </c>
      <c r="H91" s="599">
        <v>0</v>
      </c>
      <c r="I91" s="251">
        <f t="shared" si="2"/>
        <v>0.10389009633982563</v>
      </c>
      <c r="J91" s="600">
        <f>H91*I91</f>
        <v>0</v>
      </c>
      <c r="K91" s="599">
        <v>0</v>
      </c>
      <c r="L91" s="600">
        <f>G91+J91+K91</f>
        <v>0</v>
      </c>
      <c r="M91" s="642">
        <v>0</v>
      </c>
      <c r="N91" s="600">
        <f>L91+M91</f>
        <v>0</v>
      </c>
      <c r="O91" s="270"/>
      <c r="P91" s="599">
        <v>0</v>
      </c>
      <c r="Q91" s="270"/>
      <c r="R91" s="605"/>
      <c r="S91" s="270"/>
      <c r="T91" s="270"/>
      <c r="U91" s="270"/>
    </row>
    <row r="92" spans="1:21">
      <c r="A92" s="598"/>
      <c r="C92" s="270"/>
      <c r="D92" s="270"/>
      <c r="E92" s="270"/>
      <c r="F92" s="270"/>
      <c r="G92" s="317"/>
      <c r="H92" s="270"/>
      <c r="I92" s="270"/>
      <c r="J92" s="317"/>
      <c r="K92" s="270"/>
      <c r="L92" s="317"/>
      <c r="M92" s="270"/>
      <c r="N92" s="317"/>
      <c r="O92" s="270"/>
      <c r="P92" s="599"/>
      <c r="Q92" s="270"/>
      <c r="R92" s="605"/>
      <c r="S92" s="270"/>
      <c r="T92" s="270"/>
      <c r="U92" s="270"/>
    </row>
    <row r="93" spans="1:21">
      <c r="A93" s="598"/>
      <c r="C93" s="270"/>
      <c r="D93" s="270"/>
      <c r="E93" s="270"/>
      <c r="F93" s="270"/>
      <c r="G93" s="317"/>
      <c r="H93" s="270"/>
      <c r="I93" s="270"/>
      <c r="J93" s="317"/>
      <c r="K93" s="270"/>
      <c r="L93" s="317"/>
      <c r="M93" s="270"/>
      <c r="N93" s="317"/>
      <c r="O93" s="270"/>
      <c r="Q93" s="270"/>
      <c r="R93" s="270"/>
      <c r="S93" s="270"/>
      <c r="T93" s="270"/>
      <c r="U93" s="270"/>
    </row>
    <row r="94" spans="1:21">
      <c r="A94" s="602"/>
      <c r="B94" s="603"/>
      <c r="C94" s="320"/>
      <c r="D94" s="320"/>
      <c r="E94" s="320"/>
      <c r="F94" s="320"/>
      <c r="G94" s="321"/>
      <c r="H94" s="320"/>
      <c r="I94" s="320"/>
      <c r="J94" s="321"/>
      <c r="K94" s="320"/>
      <c r="L94" s="321"/>
      <c r="M94" s="320"/>
      <c r="N94" s="321"/>
      <c r="O94" s="270"/>
      <c r="P94" s="270"/>
      <c r="Q94" s="270"/>
      <c r="R94" s="270"/>
      <c r="S94" s="270"/>
      <c r="T94" s="270"/>
      <c r="U94" s="270"/>
    </row>
    <row r="95" spans="1:21">
      <c r="A95" s="234" t="s">
        <v>385</v>
      </c>
      <c r="B95" s="298"/>
      <c r="C95" s="235" t="s">
        <v>386</v>
      </c>
      <c r="D95" s="235"/>
      <c r="E95" s="272">
        <f>ROUND(SUM(E73:E94),0)</f>
        <v>578129324</v>
      </c>
      <c r="F95" s="245"/>
      <c r="G95" s="228"/>
      <c r="H95" s="228"/>
      <c r="I95" s="228"/>
      <c r="J95" s="228"/>
      <c r="K95" s="228"/>
      <c r="L95" s="272">
        <f>ROUND(SUM(L73:L94),0)</f>
        <v>86493119</v>
      </c>
      <c r="M95" s="513">
        <f>SUM(M73:M94)</f>
        <v>-3595042.9400000018</v>
      </c>
      <c r="N95" s="272">
        <f>SUM(N73:N94)</f>
        <v>82898075.886792779</v>
      </c>
      <c r="O95" s="270"/>
      <c r="P95" s="604">
        <f>ROUND(SUM(P73:P94),0)</f>
        <v>87171372</v>
      </c>
      <c r="Q95" s="270"/>
      <c r="R95" s="270"/>
      <c r="S95" s="270"/>
      <c r="T95" s="270"/>
      <c r="U95" s="270"/>
    </row>
    <row r="96" spans="1:21">
      <c r="A96" s="270"/>
      <c r="B96" s="270"/>
      <c r="C96" s="270"/>
      <c r="D96" s="270"/>
      <c r="E96" s="270"/>
      <c r="F96" s="270"/>
      <c r="G96" s="270"/>
      <c r="H96" s="270"/>
      <c r="I96" s="270"/>
      <c r="J96" s="270"/>
      <c r="K96" s="270"/>
      <c r="L96" s="270"/>
      <c r="M96" s="270"/>
      <c r="N96" s="270"/>
      <c r="O96" s="270"/>
      <c r="P96" s="270"/>
      <c r="Q96" s="270"/>
      <c r="R96" s="270"/>
      <c r="S96" s="270"/>
      <c r="T96" s="270"/>
      <c r="U96" s="270"/>
    </row>
    <row r="97" spans="1:21">
      <c r="A97" s="271">
        <v>3</v>
      </c>
      <c r="B97" s="270"/>
      <c r="C97" s="253" t="s">
        <v>387</v>
      </c>
      <c r="D97" s="270"/>
      <c r="E97" s="270"/>
      <c r="F97" s="270"/>
      <c r="G97" s="270"/>
      <c r="H97" s="270"/>
      <c r="I97" s="270"/>
      <c r="J97" s="270"/>
      <c r="K97" s="270"/>
      <c r="L97" s="272">
        <f>L95</f>
        <v>86493119</v>
      </c>
      <c r="M97" s="270"/>
      <c r="N97" s="270"/>
      <c r="O97" s="270"/>
      <c r="P97" s="270"/>
      <c r="Q97" s="270"/>
      <c r="R97" s="270"/>
      <c r="S97" s="270"/>
      <c r="T97" s="270"/>
      <c r="U97" s="270"/>
    </row>
    <row r="98" spans="1:21">
      <c r="A98" s="270"/>
      <c r="B98" s="270"/>
      <c r="C98" s="270"/>
      <c r="D98" s="270"/>
      <c r="E98" s="270"/>
      <c r="F98" s="270"/>
      <c r="G98" s="605"/>
      <c r="H98" s="270"/>
      <c r="I98" s="270"/>
      <c r="J98" s="605"/>
      <c r="K98" s="605"/>
      <c r="L98" s="270"/>
      <c r="M98" s="270"/>
      <c r="N98" s="270"/>
      <c r="O98" s="270"/>
      <c r="P98" s="606"/>
      <c r="Q98" s="270"/>
      <c r="R98" s="270"/>
      <c r="S98" s="270"/>
      <c r="T98" s="270"/>
      <c r="U98" s="270"/>
    </row>
    <row r="99" spans="1:21">
      <c r="A99" s="270"/>
      <c r="B99" s="270"/>
      <c r="C99" s="270"/>
      <c r="D99" s="270"/>
      <c r="E99" s="270"/>
      <c r="F99" s="605"/>
      <c r="G99" s="605"/>
      <c r="H99" s="270"/>
      <c r="I99" s="270"/>
      <c r="J99" s="605"/>
      <c r="K99" s="605"/>
      <c r="L99" s="270"/>
      <c r="M99" s="270"/>
      <c r="N99" s="606"/>
      <c r="O99" s="270"/>
      <c r="P99" s="606"/>
      <c r="Q99" s="270"/>
      <c r="R99" s="270"/>
      <c r="S99" s="270"/>
      <c r="T99" s="270"/>
      <c r="U99" s="270"/>
    </row>
    <row r="100" spans="1:21">
      <c r="A100" s="253" t="s">
        <v>388</v>
      </c>
      <c r="B100" s="270"/>
      <c r="C100" s="270"/>
      <c r="D100" s="270"/>
      <c r="E100" s="270"/>
      <c r="F100" s="270"/>
      <c r="G100" s="270"/>
      <c r="H100" s="270"/>
      <c r="I100" s="270"/>
      <c r="J100" s="270"/>
      <c r="K100" s="270"/>
      <c r="L100" s="270"/>
      <c r="M100" s="270"/>
      <c r="N100" s="270"/>
      <c r="O100" s="270"/>
      <c r="P100" s="270"/>
      <c r="Q100" s="270"/>
      <c r="R100" s="270"/>
      <c r="S100" s="270"/>
      <c r="T100" s="270"/>
      <c r="U100" s="270"/>
    </row>
    <row r="101" spans="1:21" ht="15.75" thickBot="1">
      <c r="A101" s="274" t="s">
        <v>389</v>
      </c>
      <c r="B101" s="270"/>
      <c r="C101" s="270"/>
      <c r="D101" s="270"/>
      <c r="E101" s="270"/>
      <c r="F101" s="270"/>
      <c r="G101" s="270"/>
      <c r="H101" s="270"/>
      <c r="I101" s="270"/>
      <c r="J101" s="270"/>
      <c r="K101" s="270"/>
      <c r="L101" s="270"/>
      <c r="M101" s="270"/>
      <c r="N101" s="270"/>
      <c r="O101" s="270"/>
      <c r="P101" s="270"/>
      <c r="Q101" s="270"/>
      <c r="R101" s="270"/>
      <c r="S101" s="270"/>
      <c r="T101" s="270"/>
      <c r="U101" s="270"/>
    </row>
    <row r="102" spans="1:21" ht="33" customHeight="1">
      <c r="A102" s="607" t="s">
        <v>37</v>
      </c>
      <c r="C102" s="700" t="s">
        <v>653</v>
      </c>
      <c r="D102" s="700"/>
      <c r="E102" s="700"/>
      <c r="F102" s="700"/>
      <c r="G102" s="700"/>
      <c r="H102" s="700"/>
      <c r="I102" s="700"/>
      <c r="J102" s="700"/>
      <c r="K102" s="700"/>
      <c r="L102" s="700"/>
      <c r="M102" s="700"/>
      <c r="N102" s="700"/>
      <c r="O102" s="270"/>
      <c r="P102" s="270"/>
      <c r="Q102" s="270"/>
      <c r="R102" s="270"/>
      <c r="S102" s="270"/>
      <c r="T102" s="270"/>
      <c r="U102" s="270"/>
    </row>
    <row r="103" spans="1:21" ht="34.5" customHeight="1">
      <c r="A103" s="607" t="s">
        <v>38</v>
      </c>
      <c r="C103" s="700" t="s">
        <v>654</v>
      </c>
      <c r="D103" s="700"/>
      <c r="E103" s="700"/>
      <c r="F103" s="700"/>
      <c r="G103" s="700"/>
      <c r="H103" s="700"/>
      <c r="I103" s="700"/>
      <c r="J103" s="700"/>
      <c r="K103" s="700"/>
      <c r="L103" s="700"/>
      <c r="M103" s="700"/>
      <c r="N103" s="700"/>
      <c r="O103" s="270"/>
      <c r="P103" s="270"/>
      <c r="Q103" s="270"/>
      <c r="R103" s="270"/>
      <c r="S103" s="270"/>
      <c r="T103" s="270"/>
      <c r="U103" s="270"/>
    </row>
    <row r="104" spans="1:21" ht="34.5" customHeight="1">
      <c r="A104" s="607" t="s">
        <v>39</v>
      </c>
      <c r="C104" s="700" t="s">
        <v>390</v>
      </c>
      <c r="D104" s="700"/>
      <c r="E104" s="700"/>
      <c r="F104" s="700"/>
      <c r="G104" s="700"/>
      <c r="H104" s="700"/>
      <c r="I104" s="700"/>
      <c r="J104" s="700"/>
      <c r="K104" s="700"/>
      <c r="L104" s="700"/>
      <c r="M104" s="700"/>
      <c r="N104" s="700"/>
      <c r="O104" s="270"/>
      <c r="P104" s="270"/>
      <c r="Q104" s="270"/>
      <c r="R104" s="270"/>
      <c r="S104" s="270"/>
      <c r="T104" s="270"/>
      <c r="U104" s="270"/>
    </row>
    <row r="105" spans="1:21">
      <c r="A105" s="607" t="s">
        <v>391</v>
      </c>
      <c r="C105" s="701" t="s">
        <v>392</v>
      </c>
      <c r="D105" s="701"/>
      <c r="E105" s="701"/>
      <c r="F105" s="701"/>
      <c r="G105" s="701"/>
      <c r="H105" s="701"/>
      <c r="I105" s="701"/>
      <c r="J105" s="701"/>
      <c r="K105" s="701"/>
      <c r="L105" s="701"/>
      <c r="M105" s="701"/>
      <c r="N105" s="701"/>
      <c r="O105" s="270"/>
      <c r="P105" s="270"/>
      <c r="Q105" s="270"/>
      <c r="R105" s="270"/>
      <c r="S105" s="270"/>
      <c r="T105" s="270"/>
      <c r="U105" s="270"/>
    </row>
    <row r="106" spans="1:21">
      <c r="A106" s="245" t="s">
        <v>40</v>
      </c>
      <c r="C106" s="699" t="s">
        <v>393</v>
      </c>
      <c r="D106" s="699"/>
      <c r="E106" s="699"/>
      <c r="F106" s="699"/>
      <c r="G106" s="699"/>
      <c r="H106" s="699"/>
      <c r="I106" s="699"/>
      <c r="J106" s="699"/>
      <c r="K106" s="699"/>
      <c r="L106" s="699"/>
      <c r="M106" s="699"/>
      <c r="N106" s="699"/>
      <c r="O106" s="270"/>
      <c r="P106" s="270"/>
      <c r="Q106" s="270"/>
      <c r="R106" s="270"/>
      <c r="S106" s="270"/>
      <c r="T106" s="270"/>
      <c r="U106" s="270"/>
    </row>
    <row r="107" spans="1:21">
      <c r="A107" s="245" t="s">
        <v>53</v>
      </c>
      <c r="C107" s="699" t="s">
        <v>394</v>
      </c>
      <c r="D107" s="699"/>
      <c r="E107" s="699"/>
      <c r="F107" s="699"/>
      <c r="G107" s="699"/>
      <c r="H107" s="699"/>
      <c r="I107" s="699"/>
      <c r="J107" s="699"/>
      <c r="K107" s="699"/>
      <c r="L107" s="699"/>
      <c r="M107" s="699"/>
      <c r="N107" s="699"/>
      <c r="O107" s="270"/>
      <c r="P107" s="270"/>
      <c r="Q107" s="270"/>
      <c r="R107" s="270"/>
      <c r="S107" s="270"/>
      <c r="T107" s="270"/>
      <c r="U107" s="270"/>
    </row>
    <row r="108" spans="1:21">
      <c r="A108" s="245" t="s">
        <v>54</v>
      </c>
      <c r="C108" s="699" t="s">
        <v>655</v>
      </c>
      <c r="D108" s="699"/>
      <c r="E108" s="699"/>
      <c r="F108" s="699"/>
      <c r="G108" s="699"/>
      <c r="H108" s="699"/>
      <c r="I108" s="699"/>
      <c r="J108" s="699"/>
      <c r="K108" s="699"/>
      <c r="L108" s="699"/>
      <c r="M108" s="699"/>
      <c r="N108" s="699"/>
      <c r="O108" s="270"/>
      <c r="P108" s="270"/>
      <c r="Q108" s="270"/>
      <c r="R108" s="270"/>
      <c r="S108" s="270"/>
      <c r="T108" s="270"/>
      <c r="U108" s="270"/>
    </row>
    <row r="109" spans="1:21">
      <c r="A109" s="245" t="s">
        <v>395</v>
      </c>
      <c r="C109" s="699" t="s">
        <v>396</v>
      </c>
      <c r="D109" s="699"/>
      <c r="E109" s="699"/>
      <c r="F109" s="699"/>
      <c r="G109" s="699"/>
      <c r="H109" s="699"/>
      <c r="I109" s="699"/>
      <c r="J109" s="699"/>
      <c r="K109" s="699"/>
      <c r="L109" s="699"/>
      <c r="M109" s="699"/>
      <c r="N109" s="699"/>
      <c r="O109" s="270"/>
      <c r="P109" s="270"/>
      <c r="Q109" s="270"/>
      <c r="R109" s="270"/>
      <c r="S109" s="270"/>
      <c r="T109" s="270"/>
      <c r="U109" s="270"/>
    </row>
    <row r="110" spans="1:21">
      <c r="A110" s="326"/>
      <c r="B110" s="270"/>
      <c r="C110" s="270"/>
      <c r="D110" s="270"/>
      <c r="E110" s="270"/>
      <c r="F110" s="270"/>
      <c r="G110" s="270"/>
      <c r="H110" s="270"/>
      <c r="I110" s="270"/>
      <c r="J110" s="270"/>
      <c r="K110" s="270"/>
      <c r="L110" s="270"/>
      <c r="M110" s="270"/>
      <c r="N110" s="270"/>
      <c r="O110" s="270"/>
      <c r="P110" s="270"/>
      <c r="Q110" s="270"/>
      <c r="R110" s="270"/>
      <c r="S110" s="270"/>
      <c r="T110" s="270"/>
      <c r="U110" s="270"/>
    </row>
    <row r="111" spans="1:21">
      <c r="A111" s="327"/>
      <c r="C111" s="234"/>
      <c r="D111" s="234"/>
      <c r="E111" s="245"/>
      <c r="F111" s="245"/>
      <c r="G111" s="228"/>
      <c r="J111" s="242"/>
      <c r="M111" s="228"/>
      <c r="N111" s="328"/>
      <c r="O111" s="270"/>
      <c r="P111" s="270"/>
      <c r="Q111" s="270"/>
      <c r="R111" s="270"/>
      <c r="S111" s="270"/>
      <c r="T111" s="270"/>
      <c r="U111" s="270"/>
    </row>
    <row r="112" spans="1:21" ht="15.75">
      <c r="A112" s="327"/>
      <c r="C112" s="234"/>
      <c r="D112" s="234"/>
      <c r="E112" s="245"/>
      <c r="F112" s="245"/>
      <c r="G112" s="228"/>
      <c r="J112" s="242"/>
      <c r="M112" s="228"/>
      <c r="N112" s="243"/>
      <c r="O112" s="270"/>
      <c r="P112" s="270"/>
      <c r="Q112" s="270"/>
      <c r="R112" s="270"/>
      <c r="S112" s="270"/>
      <c r="T112" s="270"/>
      <c r="U112" s="270"/>
    </row>
    <row r="113" spans="3:21">
      <c r="C113" s="270"/>
      <c r="D113" s="270"/>
      <c r="E113" s="270"/>
      <c r="F113" s="270"/>
      <c r="G113" s="270"/>
      <c r="H113" s="270"/>
      <c r="I113" s="270"/>
      <c r="J113" s="270"/>
      <c r="K113" s="270"/>
      <c r="L113" s="270"/>
      <c r="M113" s="270"/>
      <c r="N113" s="270"/>
      <c r="O113" s="270"/>
      <c r="P113" s="270"/>
      <c r="Q113" s="270"/>
      <c r="R113" s="270"/>
      <c r="S113" s="270"/>
      <c r="T113" s="270"/>
      <c r="U113" s="270"/>
    </row>
    <row r="114" spans="3:21">
      <c r="C114" s="270"/>
      <c r="D114" s="270"/>
      <c r="E114" s="270"/>
      <c r="F114" s="270"/>
      <c r="G114" s="270"/>
      <c r="H114" s="270"/>
      <c r="I114" s="270"/>
      <c r="J114" s="270"/>
      <c r="K114" s="270"/>
      <c r="L114" s="270"/>
      <c r="M114" s="270"/>
      <c r="N114" s="270"/>
      <c r="O114" s="270"/>
      <c r="P114" s="270"/>
      <c r="Q114" s="270"/>
      <c r="R114" s="270"/>
      <c r="S114" s="270"/>
      <c r="T114" s="270"/>
      <c r="U114" s="270"/>
    </row>
    <row r="115" spans="3:21">
      <c r="C115" s="270"/>
      <c r="D115" s="270"/>
      <c r="E115" s="270"/>
      <c r="F115" s="270"/>
      <c r="G115" s="270"/>
      <c r="H115" s="270"/>
      <c r="I115" s="270"/>
      <c r="J115" s="270"/>
      <c r="K115" s="270"/>
      <c r="L115" s="270"/>
      <c r="M115" s="270"/>
      <c r="N115" s="270"/>
      <c r="O115" s="270"/>
      <c r="P115" s="270"/>
      <c r="Q115" s="270"/>
      <c r="R115" s="270"/>
      <c r="S115" s="270"/>
      <c r="T115" s="270"/>
      <c r="U115" s="270"/>
    </row>
    <row r="116" spans="3:21">
      <c r="C116" s="270"/>
      <c r="D116" s="270"/>
      <c r="E116" s="270"/>
      <c r="F116" s="270"/>
      <c r="G116" s="270"/>
      <c r="H116" s="270"/>
      <c r="I116" s="270"/>
      <c r="J116" s="270"/>
      <c r="K116" s="270"/>
      <c r="L116" s="270"/>
      <c r="M116" s="270"/>
      <c r="N116" s="270"/>
      <c r="O116" s="270"/>
      <c r="P116" s="270"/>
      <c r="Q116" s="270"/>
      <c r="R116" s="270"/>
      <c r="S116" s="270"/>
      <c r="T116" s="270"/>
      <c r="U116" s="270"/>
    </row>
    <row r="117" spans="3:21">
      <c r="C117" s="270"/>
      <c r="D117" s="270"/>
      <c r="E117" s="270"/>
      <c r="F117" s="270"/>
      <c r="G117" s="270"/>
      <c r="H117" s="270"/>
      <c r="I117" s="270"/>
      <c r="J117" s="270"/>
      <c r="K117" s="270"/>
      <c r="L117" s="270"/>
      <c r="M117" s="270"/>
      <c r="N117" s="270"/>
      <c r="O117" s="270"/>
      <c r="P117" s="270"/>
      <c r="Q117" s="270"/>
      <c r="R117" s="270"/>
      <c r="S117" s="270"/>
      <c r="T117" s="270"/>
      <c r="U117" s="270"/>
    </row>
    <row r="118" spans="3:21">
      <c r="C118" s="270"/>
      <c r="D118" s="270"/>
      <c r="E118" s="270"/>
      <c r="F118" s="270"/>
      <c r="G118" s="270"/>
      <c r="H118" s="270"/>
      <c r="I118" s="270"/>
      <c r="J118" s="270"/>
      <c r="K118" s="270"/>
      <c r="L118" s="270"/>
      <c r="M118" s="270"/>
      <c r="N118" s="270"/>
      <c r="O118" s="270"/>
      <c r="P118" s="270"/>
      <c r="Q118" s="270"/>
      <c r="R118" s="270"/>
      <c r="S118" s="270"/>
      <c r="T118" s="270"/>
      <c r="U118" s="270"/>
    </row>
    <row r="119" spans="3:21">
      <c r="C119" s="270"/>
      <c r="D119" s="270"/>
      <c r="E119" s="270"/>
      <c r="F119" s="270"/>
      <c r="G119" s="270"/>
      <c r="H119" s="270"/>
      <c r="I119" s="270"/>
      <c r="J119" s="270"/>
      <c r="K119" s="270"/>
      <c r="L119" s="270"/>
      <c r="M119" s="270"/>
      <c r="N119" s="270"/>
      <c r="O119" s="270"/>
      <c r="P119" s="270"/>
      <c r="Q119" s="270"/>
      <c r="R119" s="270"/>
      <c r="S119" s="270"/>
      <c r="T119" s="270"/>
      <c r="U119" s="270"/>
    </row>
    <row r="120" spans="3:21">
      <c r="C120" s="270"/>
      <c r="D120" s="270"/>
      <c r="E120" s="270"/>
      <c r="F120" s="270"/>
      <c r="G120" s="270"/>
      <c r="H120" s="270"/>
      <c r="I120" s="270"/>
      <c r="J120" s="270"/>
      <c r="K120" s="270"/>
      <c r="L120" s="270"/>
      <c r="M120" s="270"/>
      <c r="N120" s="270"/>
      <c r="O120" s="270"/>
      <c r="P120" s="270"/>
      <c r="Q120" s="270"/>
      <c r="R120" s="270"/>
      <c r="S120" s="270"/>
      <c r="T120" s="270"/>
      <c r="U120" s="270"/>
    </row>
    <row r="121" spans="3:21">
      <c r="C121" s="270"/>
      <c r="D121" s="270"/>
      <c r="E121" s="270"/>
      <c r="F121" s="270"/>
      <c r="G121" s="270"/>
      <c r="H121" s="270"/>
      <c r="I121" s="270"/>
      <c r="J121" s="270"/>
      <c r="K121" s="270"/>
      <c r="L121" s="270"/>
      <c r="M121" s="270"/>
      <c r="N121" s="270"/>
      <c r="O121" s="270"/>
      <c r="P121" s="270"/>
      <c r="Q121" s="270"/>
      <c r="R121" s="270"/>
      <c r="S121" s="270"/>
      <c r="T121" s="270"/>
      <c r="U121" s="270"/>
    </row>
    <row r="122" spans="3:21">
      <c r="C122" s="270"/>
      <c r="D122" s="270"/>
      <c r="E122" s="270"/>
      <c r="F122" s="270"/>
      <c r="G122" s="270"/>
      <c r="H122" s="270"/>
      <c r="I122" s="270"/>
      <c r="J122" s="270"/>
      <c r="K122" s="270"/>
      <c r="L122" s="270"/>
      <c r="M122" s="270"/>
      <c r="N122" s="270"/>
      <c r="O122" s="270"/>
      <c r="P122" s="270"/>
      <c r="Q122" s="270"/>
      <c r="R122" s="270"/>
      <c r="S122" s="270"/>
      <c r="T122" s="270"/>
      <c r="U122" s="270"/>
    </row>
    <row r="123" spans="3:21">
      <c r="C123" s="270"/>
      <c r="D123" s="270"/>
      <c r="E123" s="270"/>
      <c r="F123" s="270"/>
      <c r="G123" s="270"/>
      <c r="H123" s="270"/>
      <c r="I123" s="270"/>
      <c r="J123" s="270"/>
      <c r="K123" s="270"/>
      <c r="L123" s="270"/>
      <c r="M123" s="270"/>
      <c r="N123" s="270"/>
      <c r="O123" s="270"/>
      <c r="P123" s="270"/>
      <c r="Q123" s="270"/>
      <c r="R123" s="270"/>
      <c r="S123" s="270"/>
      <c r="T123" s="270"/>
      <c r="U123" s="270"/>
    </row>
    <row r="124" spans="3:21">
      <c r="C124" s="270"/>
      <c r="D124" s="270"/>
      <c r="E124" s="270"/>
      <c r="F124" s="270"/>
      <c r="G124" s="270"/>
      <c r="H124" s="270"/>
      <c r="I124" s="270"/>
      <c r="J124" s="270"/>
      <c r="K124" s="270"/>
      <c r="L124" s="270"/>
      <c r="M124" s="270"/>
      <c r="N124" s="270"/>
      <c r="O124" s="270"/>
      <c r="P124" s="270"/>
      <c r="Q124" s="270"/>
      <c r="R124" s="270"/>
      <c r="S124" s="270"/>
      <c r="T124" s="270"/>
      <c r="U124" s="270"/>
    </row>
    <row r="125" spans="3:21">
      <c r="C125" s="270"/>
      <c r="D125" s="270"/>
      <c r="E125" s="270"/>
      <c r="F125" s="270"/>
      <c r="G125" s="270"/>
      <c r="H125" s="270"/>
      <c r="I125" s="270"/>
      <c r="J125" s="270"/>
      <c r="K125" s="270"/>
      <c r="L125" s="270"/>
      <c r="M125" s="270"/>
      <c r="N125" s="270"/>
      <c r="O125" s="270"/>
      <c r="P125" s="270"/>
      <c r="Q125" s="270"/>
      <c r="R125" s="270"/>
      <c r="S125" s="270"/>
      <c r="T125" s="270"/>
      <c r="U125" s="270"/>
    </row>
    <row r="126" spans="3:21">
      <c r="C126" s="270"/>
      <c r="D126" s="270"/>
      <c r="E126" s="270"/>
      <c r="F126" s="270"/>
      <c r="G126" s="270"/>
      <c r="H126" s="270"/>
      <c r="I126" s="270"/>
      <c r="J126" s="270"/>
      <c r="K126" s="270"/>
      <c r="L126" s="270"/>
      <c r="M126" s="270"/>
      <c r="N126" s="270"/>
      <c r="O126" s="270"/>
      <c r="P126" s="270"/>
      <c r="Q126" s="270"/>
      <c r="R126" s="270"/>
      <c r="S126" s="270"/>
      <c r="T126" s="270"/>
      <c r="U126" s="270"/>
    </row>
    <row r="127" spans="3:21">
      <c r="C127" s="270"/>
      <c r="D127" s="270"/>
      <c r="E127" s="270"/>
      <c r="F127" s="270"/>
      <c r="G127" s="270"/>
      <c r="H127" s="270"/>
      <c r="I127" s="270"/>
      <c r="J127" s="270"/>
      <c r="K127" s="270"/>
      <c r="L127" s="270"/>
      <c r="M127" s="270"/>
      <c r="N127" s="270"/>
      <c r="O127" s="270"/>
      <c r="P127" s="270"/>
      <c r="Q127" s="270"/>
      <c r="R127" s="270"/>
      <c r="S127" s="270"/>
      <c r="T127" s="270"/>
      <c r="U127" s="270"/>
    </row>
    <row r="128" spans="3:21">
      <c r="C128" s="270"/>
      <c r="D128" s="270"/>
      <c r="E128" s="270"/>
      <c r="F128" s="270"/>
      <c r="G128" s="270"/>
      <c r="H128" s="270"/>
      <c r="I128" s="270"/>
      <c r="J128" s="270"/>
      <c r="K128" s="270"/>
      <c r="L128" s="270"/>
      <c r="M128" s="270"/>
      <c r="N128" s="270"/>
      <c r="O128" s="270"/>
      <c r="P128" s="270"/>
      <c r="Q128" s="270"/>
      <c r="R128" s="270"/>
      <c r="S128" s="270"/>
      <c r="T128" s="270"/>
      <c r="U128" s="270"/>
    </row>
    <row r="129" spans="3:21">
      <c r="C129" s="270"/>
      <c r="D129" s="270"/>
      <c r="E129" s="270"/>
      <c r="F129" s="270"/>
      <c r="G129" s="270"/>
      <c r="H129" s="270"/>
      <c r="I129" s="270"/>
      <c r="J129" s="270"/>
      <c r="K129" s="270"/>
      <c r="L129" s="270"/>
      <c r="M129" s="270"/>
      <c r="N129" s="270"/>
      <c r="O129" s="270"/>
      <c r="P129" s="270"/>
      <c r="Q129" s="270"/>
      <c r="R129" s="270"/>
      <c r="S129" s="270"/>
      <c r="T129" s="270"/>
      <c r="U129" s="270"/>
    </row>
    <row r="130" spans="3:21">
      <c r="C130" s="270"/>
      <c r="D130" s="270"/>
      <c r="E130" s="270"/>
      <c r="F130" s="270"/>
      <c r="G130" s="270"/>
      <c r="H130" s="270"/>
      <c r="I130" s="270"/>
      <c r="J130" s="270"/>
      <c r="K130" s="270"/>
      <c r="L130" s="270"/>
      <c r="M130" s="270"/>
      <c r="N130" s="270"/>
      <c r="O130" s="270"/>
      <c r="P130" s="270"/>
      <c r="Q130" s="270"/>
      <c r="R130" s="270"/>
      <c r="S130" s="270"/>
      <c r="T130" s="270"/>
      <c r="U130" s="270"/>
    </row>
    <row r="131" spans="3:21">
      <c r="C131" s="270"/>
      <c r="D131" s="270"/>
      <c r="E131" s="270"/>
      <c r="F131" s="270"/>
      <c r="G131" s="270"/>
      <c r="H131" s="270"/>
      <c r="I131" s="270"/>
      <c r="J131" s="270"/>
      <c r="K131" s="270"/>
      <c r="L131" s="270"/>
      <c r="M131" s="270"/>
      <c r="N131" s="270"/>
      <c r="O131" s="270"/>
      <c r="P131" s="270"/>
      <c r="Q131" s="270"/>
      <c r="R131" s="270"/>
      <c r="S131" s="270"/>
      <c r="T131" s="270"/>
      <c r="U131" s="270"/>
    </row>
    <row r="132" spans="3:21">
      <c r="C132" s="270"/>
      <c r="D132" s="270"/>
      <c r="E132" s="270"/>
      <c r="F132" s="270"/>
      <c r="G132" s="270"/>
      <c r="H132" s="270"/>
      <c r="I132" s="270"/>
      <c r="J132" s="270"/>
      <c r="K132" s="270"/>
      <c r="L132" s="270"/>
      <c r="M132" s="270"/>
      <c r="N132" s="270"/>
      <c r="O132" s="270"/>
      <c r="P132" s="270"/>
      <c r="Q132" s="270"/>
      <c r="R132" s="270"/>
      <c r="S132" s="270"/>
      <c r="T132" s="270"/>
      <c r="U132" s="270"/>
    </row>
    <row r="133" spans="3:21">
      <c r="C133" s="270"/>
      <c r="D133" s="270"/>
      <c r="E133" s="270"/>
      <c r="F133" s="270"/>
      <c r="G133" s="270"/>
      <c r="H133" s="270"/>
      <c r="I133" s="270"/>
      <c r="J133" s="270"/>
      <c r="K133" s="270"/>
      <c r="L133" s="270"/>
      <c r="M133" s="270"/>
      <c r="N133" s="270"/>
      <c r="O133" s="270"/>
      <c r="P133" s="270"/>
      <c r="Q133" s="270"/>
      <c r="R133" s="270"/>
      <c r="S133" s="270"/>
      <c r="T133" s="270"/>
      <c r="U133" s="270"/>
    </row>
    <row r="134" spans="3:21">
      <c r="C134" s="270"/>
      <c r="D134" s="270"/>
      <c r="E134" s="270"/>
      <c r="F134" s="270"/>
      <c r="G134" s="270"/>
      <c r="H134" s="270"/>
      <c r="I134" s="270"/>
      <c r="J134" s="270"/>
      <c r="K134" s="270"/>
      <c r="L134" s="270"/>
      <c r="M134" s="270"/>
      <c r="N134" s="270"/>
      <c r="O134" s="270"/>
      <c r="P134" s="270"/>
      <c r="Q134" s="270"/>
      <c r="R134" s="270"/>
      <c r="S134" s="270"/>
      <c r="T134" s="270"/>
      <c r="U134" s="270"/>
    </row>
    <row r="135" spans="3:21">
      <c r="C135" s="270"/>
      <c r="D135" s="270"/>
      <c r="E135" s="270"/>
      <c r="F135" s="270"/>
      <c r="G135" s="270"/>
      <c r="H135" s="270"/>
      <c r="I135" s="270"/>
      <c r="J135" s="270"/>
      <c r="K135" s="270"/>
      <c r="L135" s="270"/>
      <c r="M135" s="270"/>
      <c r="N135" s="270"/>
      <c r="O135" s="270"/>
      <c r="P135" s="270"/>
      <c r="Q135" s="270"/>
      <c r="R135" s="270"/>
      <c r="S135" s="270"/>
      <c r="T135" s="270"/>
      <c r="U135" s="270"/>
    </row>
    <row r="136" spans="3:21">
      <c r="C136" s="270"/>
      <c r="D136" s="270"/>
      <c r="E136" s="270"/>
      <c r="F136" s="270"/>
      <c r="G136" s="270"/>
      <c r="H136" s="270"/>
      <c r="I136" s="270"/>
      <c r="J136" s="270"/>
      <c r="K136" s="270"/>
      <c r="L136" s="270"/>
      <c r="M136" s="270"/>
      <c r="N136" s="270"/>
      <c r="O136" s="270"/>
      <c r="P136" s="270"/>
      <c r="Q136" s="270"/>
      <c r="R136" s="270"/>
      <c r="S136" s="270"/>
      <c r="T136" s="270"/>
      <c r="U136" s="270"/>
    </row>
    <row r="137" spans="3:21">
      <c r="C137" s="270"/>
      <c r="D137" s="270"/>
      <c r="E137" s="270"/>
      <c r="F137" s="270"/>
      <c r="G137" s="270"/>
      <c r="H137" s="270"/>
      <c r="I137" s="270"/>
      <c r="J137" s="270"/>
      <c r="K137" s="270"/>
      <c r="L137" s="270"/>
      <c r="M137" s="270"/>
      <c r="N137" s="270"/>
      <c r="O137" s="270"/>
      <c r="P137" s="270"/>
      <c r="Q137" s="270"/>
      <c r="R137" s="270"/>
      <c r="S137" s="270"/>
      <c r="T137" s="270"/>
      <c r="U137" s="270"/>
    </row>
    <row r="138" spans="3:21">
      <c r="C138" s="270"/>
      <c r="D138" s="270"/>
      <c r="E138" s="270"/>
      <c r="F138" s="270"/>
      <c r="G138" s="270"/>
      <c r="H138" s="270"/>
      <c r="I138" s="270"/>
      <c r="J138" s="270"/>
      <c r="K138" s="270"/>
      <c r="L138" s="270"/>
      <c r="M138" s="270"/>
      <c r="N138" s="270"/>
      <c r="O138" s="270"/>
      <c r="P138" s="270"/>
      <c r="Q138" s="270"/>
      <c r="R138" s="270"/>
      <c r="S138" s="270"/>
      <c r="T138" s="270"/>
      <c r="U138" s="270"/>
    </row>
    <row r="139" spans="3:21">
      <c r="C139" s="270"/>
      <c r="D139" s="270"/>
      <c r="E139" s="270"/>
      <c r="F139" s="270"/>
      <c r="G139" s="270"/>
      <c r="H139" s="270"/>
      <c r="I139" s="270"/>
      <c r="J139" s="270"/>
      <c r="K139" s="270"/>
      <c r="L139" s="270"/>
      <c r="M139" s="270"/>
      <c r="N139" s="270"/>
      <c r="O139" s="270"/>
      <c r="P139" s="270"/>
      <c r="Q139" s="270"/>
      <c r="R139" s="270"/>
      <c r="S139" s="270"/>
      <c r="T139" s="270"/>
      <c r="U139" s="270"/>
    </row>
    <row r="140" spans="3:21">
      <c r="C140" s="270"/>
      <c r="D140" s="270"/>
      <c r="E140" s="270"/>
      <c r="F140" s="270"/>
      <c r="G140" s="270"/>
      <c r="H140" s="270"/>
      <c r="I140" s="270"/>
      <c r="J140" s="270"/>
      <c r="K140" s="270"/>
      <c r="L140" s="270"/>
      <c r="M140" s="270"/>
      <c r="N140" s="270"/>
      <c r="O140" s="270"/>
      <c r="P140" s="270"/>
      <c r="Q140" s="270"/>
      <c r="R140" s="270"/>
      <c r="S140" s="270"/>
      <c r="T140" s="270"/>
      <c r="U140" s="270"/>
    </row>
    <row r="141" spans="3:21">
      <c r="C141" s="270"/>
      <c r="D141" s="270"/>
      <c r="E141" s="270"/>
      <c r="F141" s="270"/>
      <c r="G141" s="270"/>
      <c r="H141" s="270"/>
      <c r="I141" s="270"/>
      <c r="J141" s="270"/>
      <c r="K141" s="270"/>
      <c r="L141" s="270"/>
      <c r="M141" s="270"/>
      <c r="N141" s="270"/>
      <c r="O141" s="270"/>
      <c r="P141" s="270"/>
      <c r="Q141" s="270"/>
      <c r="R141" s="270"/>
      <c r="S141" s="270"/>
      <c r="T141" s="270"/>
      <c r="U141" s="270"/>
    </row>
    <row r="142" spans="3:21">
      <c r="C142" s="270"/>
      <c r="D142" s="270"/>
      <c r="E142" s="270"/>
      <c r="F142" s="270"/>
      <c r="G142" s="270"/>
      <c r="H142" s="270"/>
      <c r="I142" s="270"/>
      <c r="J142" s="270"/>
      <c r="K142" s="270"/>
      <c r="L142" s="270"/>
      <c r="M142" s="270"/>
      <c r="N142" s="270"/>
      <c r="O142" s="270"/>
      <c r="P142" s="270"/>
      <c r="Q142" s="270"/>
      <c r="R142" s="270"/>
      <c r="S142" s="270"/>
      <c r="T142" s="270"/>
      <c r="U142" s="270"/>
    </row>
    <row r="143" spans="3:21">
      <c r="C143" s="270"/>
      <c r="D143" s="270"/>
      <c r="E143" s="270"/>
      <c r="F143" s="270"/>
      <c r="G143" s="270"/>
      <c r="H143" s="270"/>
      <c r="I143" s="270"/>
      <c r="J143" s="270"/>
      <c r="K143" s="270"/>
      <c r="L143" s="270"/>
      <c r="M143" s="270"/>
      <c r="N143" s="270"/>
      <c r="O143" s="270"/>
      <c r="P143" s="270"/>
      <c r="Q143" s="270"/>
      <c r="R143" s="270"/>
      <c r="S143" s="270"/>
      <c r="T143" s="270"/>
      <c r="U143" s="270"/>
    </row>
    <row r="144" spans="3:21">
      <c r="C144" s="270"/>
      <c r="D144" s="270"/>
      <c r="E144" s="270"/>
      <c r="F144" s="270"/>
      <c r="G144" s="270"/>
      <c r="H144" s="270"/>
      <c r="I144" s="270"/>
      <c r="J144" s="270"/>
      <c r="K144" s="270"/>
      <c r="L144" s="270"/>
      <c r="M144" s="270"/>
      <c r="N144" s="270"/>
      <c r="O144" s="270"/>
      <c r="P144" s="270"/>
      <c r="Q144" s="270"/>
      <c r="R144" s="270"/>
      <c r="S144" s="270"/>
      <c r="T144" s="270"/>
      <c r="U144" s="270"/>
    </row>
    <row r="145" spans="3:21">
      <c r="C145" s="270"/>
      <c r="D145" s="270"/>
      <c r="E145" s="270"/>
      <c r="F145" s="270"/>
      <c r="G145" s="270"/>
      <c r="H145" s="270"/>
      <c r="I145" s="270"/>
      <c r="J145" s="270"/>
      <c r="K145" s="270"/>
      <c r="L145" s="270"/>
      <c r="M145" s="270"/>
      <c r="N145" s="270"/>
      <c r="O145" s="270"/>
      <c r="P145" s="270"/>
      <c r="Q145" s="270"/>
      <c r="R145" s="270"/>
      <c r="S145" s="270"/>
      <c r="T145" s="270"/>
      <c r="U145" s="270"/>
    </row>
    <row r="146" spans="3:21">
      <c r="C146" s="270"/>
      <c r="D146" s="270"/>
      <c r="E146" s="270"/>
      <c r="F146" s="270"/>
      <c r="G146" s="270"/>
      <c r="H146" s="270"/>
      <c r="I146" s="270"/>
      <c r="J146" s="270"/>
      <c r="K146" s="270"/>
      <c r="L146" s="270"/>
      <c r="M146" s="270"/>
      <c r="N146" s="270"/>
      <c r="O146" s="270"/>
      <c r="P146" s="270"/>
      <c r="Q146" s="270"/>
      <c r="R146" s="270"/>
      <c r="S146" s="270"/>
      <c r="T146" s="270"/>
      <c r="U146" s="270"/>
    </row>
    <row r="147" spans="3:21">
      <c r="C147" s="270"/>
      <c r="D147" s="270"/>
      <c r="E147" s="270"/>
      <c r="F147" s="270"/>
      <c r="G147" s="270"/>
      <c r="H147" s="270"/>
      <c r="I147" s="270"/>
      <c r="J147" s="270"/>
      <c r="K147" s="270"/>
      <c r="L147" s="270"/>
      <c r="M147" s="270"/>
      <c r="N147" s="270"/>
      <c r="O147" s="270"/>
      <c r="P147" s="270"/>
      <c r="Q147" s="270"/>
      <c r="R147" s="270"/>
      <c r="S147" s="270"/>
      <c r="T147" s="270"/>
      <c r="U147" s="270"/>
    </row>
    <row r="148" spans="3:21">
      <c r="C148" s="270"/>
      <c r="D148" s="270"/>
      <c r="E148" s="270"/>
      <c r="F148" s="270"/>
      <c r="G148" s="270"/>
      <c r="H148" s="270"/>
      <c r="I148" s="270"/>
      <c r="J148" s="270"/>
      <c r="K148" s="270"/>
      <c r="L148" s="270"/>
      <c r="M148" s="270"/>
      <c r="N148" s="270"/>
      <c r="O148" s="270"/>
      <c r="P148" s="270"/>
      <c r="Q148" s="270"/>
      <c r="R148" s="270"/>
      <c r="S148" s="270"/>
      <c r="T148" s="270"/>
      <c r="U148" s="270"/>
    </row>
    <row r="149" spans="3:21">
      <c r="C149" s="270"/>
      <c r="D149" s="270"/>
      <c r="E149" s="270"/>
      <c r="F149" s="270"/>
      <c r="G149" s="270"/>
      <c r="H149" s="270"/>
      <c r="I149" s="270"/>
      <c r="J149" s="270"/>
      <c r="K149" s="270"/>
      <c r="L149" s="270"/>
      <c r="M149" s="270"/>
      <c r="N149" s="270"/>
      <c r="O149" s="270"/>
      <c r="P149" s="270"/>
      <c r="Q149" s="270"/>
      <c r="R149" s="270"/>
      <c r="S149" s="270"/>
      <c r="T149" s="270"/>
      <c r="U149" s="270"/>
    </row>
    <row r="150" spans="3:21">
      <c r="C150" s="270"/>
      <c r="D150" s="270"/>
      <c r="E150" s="270"/>
      <c r="F150" s="270"/>
      <c r="G150" s="270"/>
      <c r="H150" s="270"/>
      <c r="I150" s="270"/>
      <c r="J150" s="270"/>
      <c r="K150" s="270"/>
      <c r="L150" s="270"/>
      <c r="M150" s="270"/>
      <c r="N150" s="270"/>
      <c r="O150" s="270"/>
      <c r="P150" s="270"/>
      <c r="Q150" s="270"/>
      <c r="R150" s="270"/>
      <c r="S150" s="270"/>
      <c r="T150" s="270"/>
      <c r="U150" s="270"/>
    </row>
    <row r="151" spans="3:21">
      <c r="C151" s="270"/>
      <c r="D151" s="270"/>
      <c r="E151" s="270"/>
      <c r="F151" s="270"/>
      <c r="G151" s="270"/>
      <c r="H151" s="270"/>
      <c r="I151" s="270"/>
      <c r="J151" s="270"/>
      <c r="K151" s="270"/>
      <c r="L151" s="270"/>
      <c r="M151" s="270"/>
      <c r="N151" s="270"/>
      <c r="O151" s="270"/>
      <c r="P151" s="270"/>
      <c r="Q151" s="270"/>
      <c r="R151" s="270"/>
      <c r="S151" s="270"/>
      <c r="T151" s="270"/>
      <c r="U151" s="270"/>
    </row>
    <row r="152" spans="3:21">
      <c r="C152" s="270"/>
      <c r="D152" s="270"/>
      <c r="E152" s="270"/>
      <c r="F152" s="270"/>
      <c r="G152" s="270"/>
      <c r="H152" s="270"/>
      <c r="I152" s="270"/>
      <c r="J152" s="270"/>
      <c r="K152" s="270"/>
      <c r="L152" s="270"/>
      <c r="M152" s="270"/>
      <c r="N152" s="270"/>
      <c r="O152" s="270"/>
      <c r="P152" s="270"/>
      <c r="Q152" s="270"/>
      <c r="R152" s="270"/>
      <c r="S152" s="270"/>
      <c r="T152" s="270"/>
      <c r="U152" s="270"/>
    </row>
    <row r="153" spans="3:21">
      <c r="C153" s="270"/>
      <c r="D153" s="270"/>
      <c r="E153" s="270"/>
      <c r="F153" s="270"/>
      <c r="G153" s="270"/>
      <c r="H153" s="270"/>
      <c r="I153" s="270"/>
      <c r="J153" s="270"/>
      <c r="K153" s="270"/>
      <c r="L153" s="270"/>
      <c r="M153" s="270"/>
      <c r="N153" s="270"/>
      <c r="O153" s="270"/>
      <c r="P153" s="270"/>
      <c r="Q153" s="270"/>
      <c r="R153" s="270"/>
      <c r="S153" s="270"/>
      <c r="T153" s="270"/>
      <c r="U153" s="270"/>
    </row>
    <row r="154" spans="3:21">
      <c r="C154" s="270"/>
      <c r="D154" s="270"/>
      <c r="E154" s="270"/>
      <c r="F154" s="270"/>
      <c r="G154" s="270"/>
      <c r="H154" s="270"/>
      <c r="I154" s="270"/>
      <c r="J154" s="270"/>
      <c r="K154" s="270"/>
      <c r="L154" s="270"/>
      <c r="M154" s="270"/>
      <c r="N154" s="270"/>
      <c r="O154" s="270"/>
      <c r="P154" s="270"/>
      <c r="Q154" s="270"/>
      <c r="R154" s="270"/>
      <c r="S154" s="270"/>
      <c r="T154" s="270"/>
      <c r="U154" s="270"/>
    </row>
    <row r="155" spans="3:21">
      <c r="C155" s="270"/>
      <c r="D155" s="270"/>
      <c r="E155" s="270"/>
      <c r="F155" s="270"/>
      <c r="G155" s="270"/>
      <c r="H155" s="270"/>
      <c r="I155" s="270"/>
      <c r="J155" s="270"/>
      <c r="K155" s="270"/>
      <c r="L155" s="270"/>
      <c r="M155" s="270"/>
      <c r="N155" s="270"/>
      <c r="O155" s="270"/>
      <c r="P155" s="270"/>
      <c r="Q155" s="270"/>
      <c r="R155" s="270"/>
      <c r="S155" s="270"/>
      <c r="T155" s="270"/>
      <c r="U155" s="270"/>
    </row>
    <row r="156" spans="3:21">
      <c r="C156" s="270"/>
      <c r="D156" s="270"/>
      <c r="E156" s="270"/>
      <c r="F156" s="270"/>
      <c r="G156" s="270"/>
      <c r="H156" s="270"/>
      <c r="I156" s="270"/>
      <c r="J156" s="270"/>
      <c r="K156" s="270"/>
      <c r="L156" s="270"/>
      <c r="M156" s="270"/>
      <c r="N156" s="270"/>
      <c r="O156" s="270"/>
      <c r="P156" s="270"/>
      <c r="Q156" s="270"/>
      <c r="R156" s="270"/>
      <c r="S156" s="270"/>
      <c r="T156" s="270"/>
      <c r="U156" s="270"/>
    </row>
    <row r="157" spans="3:21">
      <c r="C157" s="270"/>
      <c r="D157" s="270"/>
      <c r="E157" s="270"/>
      <c r="F157" s="270"/>
      <c r="G157" s="270"/>
      <c r="H157" s="270"/>
      <c r="I157" s="270"/>
      <c r="J157" s="270"/>
      <c r="K157" s="270"/>
      <c r="L157" s="270"/>
      <c r="M157" s="270"/>
      <c r="N157" s="270"/>
      <c r="O157" s="270"/>
      <c r="P157" s="270"/>
      <c r="Q157" s="270"/>
      <c r="R157" s="270"/>
      <c r="S157" s="270"/>
      <c r="T157" s="270"/>
      <c r="U157" s="270"/>
    </row>
    <row r="158" spans="3:21">
      <c r="C158" s="270"/>
      <c r="D158" s="270"/>
      <c r="E158" s="270"/>
      <c r="F158" s="270"/>
      <c r="G158" s="270"/>
      <c r="H158" s="270"/>
      <c r="I158" s="270"/>
      <c r="J158" s="270"/>
      <c r="K158" s="270"/>
      <c r="L158" s="270"/>
      <c r="M158" s="270"/>
      <c r="N158" s="270"/>
      <c r="O158" s="270"/>
      <c r="P158" s="270"/>
      <c r="Q158" s="270"/>
      <c r="R158" s="270"/>
      <c r="S158" s="270"/>
      <c r="T158" s="270"/>
      <c r="U158" s="270"/>
    </row>
    <row r="159" spans="3:21">
      <c r="C159" s="270"/>
      <c r="D159" s="270"/>
      <c r="E159" s="270"/>
      <c r="F159" s="270"/>
      <c r="G159" s="270"/>
      <c r="H159" s="270"/>
      <c r="I159" s="270"/>
      <c r="J159" s="270"/>
      <c r="K159" s="270"/>
      <c r="L159" s="270"/>
      <c r="M159" s="270"/>
      <c r="N159" s="270"/>
      <c r="O159" s="270"/>
      <c r="P159" s="270"/>
      <c r="Q159" s="270"/>
      <c r="R159" s="270"/>
      <c r="S159" s="270"/>
      <c r="T159" s="270"/>
      <c r="U159" s="270"/>
    </row>
    <row r="160" spans="3:21">
      <c r="C160" s="270"/>
      <c r="D160" s="270"/>
      <c r="E160" s="270"/>
      <c r="F160" s="270"/>
      <c r="G160" s="270"/>
      <c r="H160" s="270"/>
      <c r="I160" s="270"/>
      <c r="J160" s="270"/>
      <c r="K160" s="270"/>
      <c r="L160" s="270"/>
      <c r="M160" s="270"/>
      <c r="N160" s="270"/>
      <c r="O160" s="270"/>
      <c r="P160" s="270"/>
      <c r="Q160" s="270"/>
      <c r="R160" s="270"/>
      <c r="S160" s="270"/>
      <c r="T160" s="270"/>
      <c r="U160" s="270"/>
    </row>
    <row r="161" spans="3:21">
      <c r="C161" s="270"/>
      <c r="D161" s="270"/>
      <c r="E161" s="270"/>
      <c r="F161" s="270"/>
      <c r="G161" s="270"/>
      <c r="H161" s="270"/>
      <c r="I161" s="270"/>
      <c r="J161" s="270"/>
      <c r="K161" s="270"/>
      <c r="L161" s="270"/>
      <c r="M161" s="270"/>
      <c r="N161" s="270"/>
      <c r="O161" s="270"/>
      <c r="P161" s="270"/>
      <c r="Q161" s="270"/>
      <c r="R161" s="270"/>
      <c r="S161" s="270"/>
      <c r="T161" s="270"/>
      <c r="U161" s="270"/>
    </row>
    <row r="162" spans="3:21">
      <c r="C162" s="270"/>
      <c r="D162" s="270"/>
      <c r="E162" s="270"/>
      <c r="F162" s="270"/>
      <c r="G162" s="270"/>
      <c r="H162" s="270"/>
      <c r="I162" s="270"/>
      <c r="J162" s="270"/>
      <c r="K162" s="270"/>
      <c r="L162" s="270"/>
      <c r="M162" s="270"/>
      <c r="N162" s="270"/>
      <c r="O162" s="270"/>
      <c r="P162" s="270"/>
      <c r="Q162" s="270"/>
      <c r="R162" s="270"/>
      <c r="S162" s="270"/>
      <c r="T162" s="270"/>
      <c r="U162" s="270"/>
    </row>
    <row r="163" spans="3:21">
      <c r="C163" s="270"/>
      <c r="D163" s="270"/>
      <c r="E163" s="270"/>
      <c r="F163" s="270"/>
      <c r="G163" s="270"/>
      <c r="H163" s="270"/>
      <c r="I163" s="270"/>
      <c r="J163" s="270"/>
      <c r="K163" s="270"/>
      <c r="L163" s="270"/>
      <c r="M163" s="270"/>
      <c r="N163" s="270"/>
      <c r="O163" s="270"/>
      <c r="P163" s="270"/>
      <c r="Q163" s="270"/>
      <c r="R163" s="270"/>
      <c r="S163" s="270"/>
      <c r="T163" s="270"/>
      <c r="U163" s="270"/>
    </row>
    <row r="164" spans="3:21">
      <c r="C164" s="270"/>
      <c r="D164" s="270"/>
      <c r="E164" s="270"/>
      <c r="F164" s="270"/>
      <c r="G164" s="270"/>
      <c r="H164" s="270"/>
      <c r="I164" s="270"/>
      <c r="J164" s="270"/>
      <c r="K164" s="270"/>
      <c r="L164" s="270"/>
      <c r="M164" s="270"/>
      <c r="N164" s="270"/>
      <c r="O164" s="270"/>
      <c r="P164" s="270"/>
      <c r="Q164" s="270"/>
      <c r="R164" s="270"/>
      <c r="S164" s="270"/>
      <c r="T164" s="270"/>
      <c r="U164" s="270"/>
    </row>
    <row r="165" spans="3:21">
      <c r="C165" s="270"/>
      <c r="D165" s="270"/>
      <c r="E165" s="270"/>
      <c r="F165" s="270"/>
      <c r="G165" s="270"/>
      <c r="H165" s="270"/>
      <c r="I165" s="270"/>
      <c r="J165" s="270"/>
      <c r="K165" s="270"/>
      <c r="L165" s="270"/>
      <c r="M165" s="270"/>
      <c r="N165" s="270"/>
      <c r="O165" s="270"/>
      <c r="P165" s="270"/>
      <c r="Q165" s="270"/>
      <c r="R165" s="270"/>
      <c r="S165" s="270"/>
      <c r="T165" s="270"/>
      <c r="U165" s="270"/>
    </row>
    <row r="166" spans="3:21">
      <c r="C166" s="270"/>
      <c r="D166" s="270"/>
      <c r="E166" s="270"/>
      <c r="F166" s="270"/>
      <c r="G166" s="270"/>
      <c r="H166" s="270"/>
      <c r="I166" s="270"/>
      <c r="J166" s="270"/>
      <c r="K166" s="270"/>
      <c r="L166" s="270"/>
      <c r="M166" s="270"/>
      <c r="N166" s="270"/>
      <c r="O166" s="270"/>
      <c r="P166" s="270"/>
      <c r="Q166" s="270"/>
      <c r="R166" s="270"/>
      <c r="S166" s="270"/>
      <c r="T166" s="270"/>
      <c r="U166" s="270"/>
    </row>
    <row r="167" spans="3:21">
      <c r="C167" s="270"/>
      <c r="D167" s="270"/>
      <c r="E167" s="270"/>
      <c r="F167" s="270"/>
      <c r="G167" s="270"/>
      <c r="H167" s="270"/>
      <c r="I167" s="270"/>
      <c r="J167" s="270"/>
      <c r="K167" s="270"/>
      <c r="L167" s="270"/>
      <c r="M167" s="270"/>
      <c r="N167" s="270"/>
      <c r="O167" s="270"/>
      <c r="P167" s="270"/>
      <c r="Q167" s="270"/>
      <c r="R167" s="270"/>
      <c r="S167" s="270"/>
      <c r="T167" s="270"/>
      <c r="U167" s="270"/>
    </row>
    <row r="168" spans="3:21">
      <c r="C168" s="270"/>
      <c r="D168" s="270"/>
      <c r="E168" s="270"/>
      <c r="F168" s="270"/>
      <c r="G168" s="270"/>
      <c r="H168" s="270"/>
      <c r="I168" s="270"/>
      <c r="J168" s="270"/>
      <c r="K168" s="270"/>
      <c r="L168" s="270"/>
      <c r="M168" s="270"/>
      <c r="N168" s="270"/>
      <c r="O168" s="270"/>
      <c r="P168" s="270"/>
      <c r="Q168" s="270"/>
      <c r="R168" s="270"/>
      <c r="S168" s="270"/>
      <c r="T168" s="270"/>
      <c r="U168" s="270"/>
    </row>
    <row r="169" spans="3:21">
      <c r="C169" s="270"/>
      <c r="D169" s="270"/>
      <c r="E169" s="270"/>
      <c r="F169" s="270"/>
      <c r="G169" s="270"/>
      <c r="H169" s="270"/>
      <c r="I169" s="270"/>
      <c r="J169" s="270"/>
      <c r="K169" s="270"/>
      <c r="L169" s="270"/>
      <c r="M169" s="270"/>
      <c r="N169" s="270"/>
      <c r="O169" s="270"/>
      <c r="P169" s="270"/>
      <c r="Q169" s="270"/>
      <c r="R169" s="270"/>
      <c r="S169" s="270"/>
      <c r="T169" s="270"/>
      <c r="U169" s="270"/>
    </row>
    <row r="170" spans="3:21">
      <c r="C170" s="270"/>
      <c r="D170" s="270"/>
      <c r="E170" s="270"/>
      <c r="F170" s="270"/>
      <c r="G170" s="270"/>
      <c r="H170" s="270"/>
      <c r="I170" s="270"/>
      <c r="J170" s="270"/>
      <c r="K170" s="270"/>
      <c r="L170" s="270"/>
      <c r="M170" s="270"/>
      <c r="N170" s="270"/>
      <c r="O170" s="270"/>
      <c r="P170" s="270"/>
      <c r="Q170" s="270"/>
      <c r="R170" s="270"/>
      <c r="S170" s="270"/>
      <c r="T170" s="270"/>
      <c r="U170" s="270"/>
    </row>
    <row r="171" spans="3:21">
      <c r="C171" s="270"/>
      <c r="D171" s="270"/>
      <c r="E171" s="270"/>
      <c r="F171" s="270"/>
      <c r="G171" s="270"/>
      <c r="H171" s="270"/>
      <c r="I171" s="270"/>
      <c r="J171" s="270"/>
      <c r="K171" s="270"/>
      <c r="L171" s="270"/>
      <c r="M171" s="270"/>
      <c r="N171" s="270"/>
      <c r="O171" s="270"/>
      <c r="P171" s="270"/>
      <c r="Q171" s="270"/>
      <c r="R171" s="270"/>
      <c r="S171" s="270"/>
      <c r="T171" s="270"/>
      <c r="U171" s="270"/>
    </row>
    <row r="172" spans="3:21">
      <c r="C172" s="270"/>
      <c r="D172" s="270"/>
      <c r="E172" s="270"/>
      <c r="F172" s="270"/>
      <c r="G172" s="270"/>
      <c r="H172" s="270"/>
      <c r="I172" s="270"/>
      <c r="J172" s="270"/>
      <c r="K172" s="270"/>
      <c r="L172" s="270"/>
      <c r="M172" s="270"/>
      <c r="N172" s="270"/>
      <c r="O172" s="270"/>
      <c r="P172" s="270"/>
      <c r="Q172" s="270"/>
      <c r="R172" s="270"/>
      <c r="S172" s="270"/>
      <c r="T172" s="270"/>
      <c r="U172" s="270"/>
    </row>
    <row r="173" spans="3:21">
      <c r="C173" s="270"/>
      <c r="D173" s="270"/>
      <c r="E173" s="270"/>
      <c r="F173" s="270"/>
      <c r="G173" s="270"/>
      <c r="H173" s="270"/>
      <c r="I173" s="270"/>
      <c r="J173" s="270"/>
      <c r="K173" s="270"/>
      <c r="L173" s="270"/>
      <c r="M173" s="270"/>
      <c r="N173" s="270"/>
      <c r="O173" s="270"/>
      <c r="P173" s="270"/>
      <c r="Q173" s="270"/>
      <c r="R173" s="270"/>
      <c r="S173" s="270"/>
      <c r="T173" s="270"/>
      <c r="U173" s="270"/>
    </row>
    <row r="174" spans="3:21">
      <c r="C174" s="270"/>
      <c r="D174" s="270"/>
      <c r="E174" s="270"/>
      <c r="F174" s="270"/>
      <c r="G174" s="270"/>
      <c r="H174" s="270"/>
      <c r="I174" s="270"/>
      <c r="J174" s="270"/>
      <c r="K174" s="270"/>
      <c r="L174" s="270"/>
      <c r="M174" s="270"/>
      <c r="N174" s="270"/>
      <c r="O174" s="270"/>
      <c r="P174" s="270"/>
      <c r="Q174" s="270"/>
      <c r="R174" s="270"/>
      <c r="S174" s="270"/>
      <c r="T174" s="270"/>
      <c r="U174" s="270"/>
    </row>
    <row r="175" spans="3:21">
      <c r="C175" s="270"/>
      <c r="D175" s="270"/>
      <c r="E175" s="270"/>
      <c r="F175" s="270"/>
      <c r="G175" s="270"/>
      <c r="H175" s="270"/>
      <c r="I175" s="270"/>
      <c r="J175" s="270"/>
      <c r="K175" s="270"/>
      <c r="L175" s="270"/>
      <c r="M175" s="270"/>
      <c r="N175" s="270"/>
      <c r="O175" s="270"/>
      <c r="P175" s="270"/>
      <c r="Q175" s="270"/>
      <c r="R175" s="270"/>
      <c r="S175" s="270"/>
      <c r="T175" s="270"/>
      <c r="U175" s="270"/>
    </row>
    <row r="176" spans="3:21">
      <c r="C176" s="270"/>
      <c r="D176" s="270"/>
      <c r="E176" s="270"/>
      <c r="F176" s="270"/>
      <c r="G176" s="270"/>
      <c r="H176" s="270"/>
      <c r="I176" s="270"/>
      <c r="J176" s="270"/>
      <c r="K176" s="270"/>
      <c r="L176" s="270"/>
      <c r="M176" s="270"/>
      <c r="N176" s="270"/>
      <c r="O176" s="270"/>
      <c r="P176" s="270"/>
      <c r="Q176" s="270"/>
      <c r="R176" s="270"/>
      <c r="S176" s="270"/>
      <c r="T176" s="270"/>
      <c r="U176" s="270"/>
    </row>
    <row r="177" spans="3:21">
      <c r="C177" s="270"/>
      <c r="D177" s="270"/>
      <c r="E177" s="270"/>
      <c r="F177" s="270"/>
      <c r="G177" s="270"/>
      <c r="H177" s="270"/>
      <c r="I177" s="270"/>
      <c r="J177" s="270"/>
      <c r="K177" s="270"/>
      <c r="L177" s="270"/>
      <c r="M177" s="270"/>
      <c r="N177" s="270"/>
      <c r="O177" s="270"/>
      <c r="P177" s="270"/>
      <c r="Q177" s="270"/>
      <c r="R177" s="270"/>
      <c r="S177" s="270"/>
      <c r="T177" s="270"/>
      <c r="U177" s="270"/>
    </row>
    <row r="178" spans="3:21">
      <c r="C178" s="270"/>
      <c r="D178" s="270"/>
      <c r="E178" s="270"/>
      <c r="F178" s="270"/>
      <c r="G178" s="270"/>
      <c r="H178" s="270"/>
      <c r="I178" s="270"/>
      <c r="J178" s="270"/>
      <c r="K178" s="270"/>
      <c r="L178" s="270"/>
      <c r="M178" s="270"/>
      <c r="N178" s="270"/>
      <c r="O178" s="270"/>
      <c r="P178" s="270"/>
      <c r="Q178" s="270"/>
      <c r="R178" s="270"/>
      <c r="S178" s="270"/>
      <c r="T178" s="270"/>
      <c r="U178" s="270"/>
    </row>
    <row r="179" spans="3:21">
      <c r="C179" s="270"/>
      <c r="D179" s="270"/>
      <c r="E179" s="270"/>
      <c r="F179" s="270"/>
      <c r="G179" s="270"/>
      <c r="H179" s="270"/>
      <c r="I179" s="270"/>
      <c r="J179" s="270"/>
      <c r="K179" s="270"/>
      <c r="L179" s="270"/>
      <c r="M179" s="270"/>
      <c r="N179" s="270"/>
      <c r="O179" s="270"/>
      <c r="P179" s="270"/>
      <c r="Q179" s="270"/>
      <c r="R179" s="270"/>
      <c r="S179" s="270"/>
      <c r="T179" s="270"/>
      <c r="U179" s="270"/>
    </row>
    <row r="180" spans="3:21">
      <c r="C180" s="270"/>
      <c r="D180" s="270"/>
      <c r="E180" s="270"/>
      <c r="F180" s="270"/>
      <c r="G180" s="270"/>
      <c r="H180" s="270"/>
      <c r="I180" s="270"/>
      <c r="J180" s="270"/>
      <c r="K180" s="270"/>
      <c r="L180" s="270"/>
      <c r="M180" s="270"/>
      <c r="N180" s="270"/>
      <c r="O180" s="270"/>
      <c r="P180" s="270"/>
      <c r="Q180" s="270"/>
      <c r="R180" s="270"/>
      <c r="S180" s="270"/>
      <c r="T180" s="270"/>
      <c r="U180" s="270"/>
    </row>
    <row r="181" spans="3:21">
      <c r="C181" s="270"/>
      <c r="D181" s="270"/>
      <c r="E181" s="270"/>
      <c r="F181" s="270"/>
      <c r="G181" s="270"/>
      <c r="H181" s="270"/>
      <c r="I181" s="270"/>
      <c r="J181" s="270"/>
      <c r="K181" s="270"/>
      <c r="L181" s="270"/>
      <c r="M181" s="270"/>
      <c r="N181" s="270"/>
      <c r="O181" s="270"/>
      <c r="P181" s="270"/>
      <c r="Q181" s="270"/>
      <c r="R181" s="270"/>
      <c r="S181" s="270"/>
      <c r="T181" s="270"/>
      <c r="U181" s="270"/>
    </row>
    <row r="182" spans="3:21">
      <c r="C182" s="270"/>
      <c r="D182" s="270"/>
      <c r="E182" s="270"/>
      <c r="F182" s="270"/>
      <c r="G182" s="270"/>
      <c r="H182" s="270"/>
      <c r="I182" s="270"/>
      <c r="J182" s="270"/>
      <c r="K182" s="270"/>
      <c r="L182" s="270"/>
      <c r="M182" s="270"/>
      <c r="N182" s="270"/>
      <c r="O182" s="270"/>
      <c r="P182" s="270"/>
      <c r="Q182" s="270"/>
      <c r="R182" s="270"/>
      <c r="S182" s="270"/>
      <c r="T182" s="270"/>
      <c r="U182" s="270"/>
    </row>
    <row r="183" spans="3:21">
      <c r="C183" s="270"/>
      <c r="D183" s="270"/>
      <c r="E183" s="270"/>
      <c r="F183" s="270"/>
      <c r="G183" s="270"/>
      <c r="H183" s="270"/>
      <c r="I183" s="270"/>
      <c r="J183" s="270"/>
      <c r="K183" s="270"/>
      <c r="L183" s="270"/>
      <c r="M183" s="270"/>
      <c r="N183" s="270"/>
      <c r="O183" s="270"/>
      <c r="P183" s="270"/>
      <c r="Q183" s="270"/>
      <c r="R183" s="270"/>
      <c r="S183" s="270"/>
      <c r="T183" s="270"/>
      <c r="U183" s="270"/>
    </row>
    <row r="184" spans="3:21">
      <c r="C184" s="270"/>
      <c r="D184" s="270"/>
      <c r="E184" s="270"/>
      <c r="F184" s="270"/>
      <c r="G184" s="270"/>
      <c r="H184" s="270"/>
      <c r="I184" s="270"/>
      <c r="J184" s="270"/>
      <c r="K184" s="270"/>
      <c r="L184" s="270"/>
      <c r="M184" s="270"/>
      <c r="N184" s="270"/>
      <c r="O184" s="270"/>
      <c r="P184" s="270"/>
      <c r="Q184" s="270"/>
      <c r="R184" s="270"/>
      <c r="S184" s="270"/>
      <c r="T184" s="270"/>
      <c r="U184" s="270"/>
    </row>
    <row r="185" spans="3:21">
      <c r="C185" s="270"/>
      <c r="D185" s="270"/>
      <c r="E185" s="270"/>
      <c r="F185" s="270"/>
      <c r="G185" s="270"/>
      <c r="H185" s="270"/>
      <c r="I185" s="270"/>
      <c r="J185" s="270"/>
      <c r="K185" s="270"/>
      <c r="L185" s="270"/>
      <c r="M185" s="270"/>
      <c r="N185" s="270"/>
      <c r="O185" s="270"/>
      <c r="P185" s="270"/>
      <c r="Q185" s="270"/>
      <c r="R185" s="270"/>
      <c r="S185" s="270"/>
      <c r="T185" s="270"/>
      <c r="U185" s="270"/>
    </row>
    <row r="186" spans="3:21">
      <c r="C186" s="270"/>
      <c r="D186" s="270"/>
      <c r="E186" s="270"/>
      <c r="F186" s="270"/>
      <c r="G186" s="270"/>
      <c r="H186" s="270"/>
      <c r="I186" s="270"/>
      <c r="J186" s="270"/>
      <c r="K186" s="270"/>
      <c r="L186" s="270"/>
      <c r="M186" s="270"/>
      <c r="N186" s="270"/>
      <c r="O186" s="270"/>
      <c r="P186" s="270"/>
      <c r="Q186" s="270"/>
      <c r="R186" s="270"/>
      <c r="S186" s="270"/>
      <c r="T186" s="270"/>
      <c r="U186" s="270"/>
    </row>
    <row r="187" spans="3:21">
      <c r="C187" s="270"/>
      <c r="D187" s="270"/>
      <c r="E187" s="270"/>
      <c r="F187" s="270"/>
      <c r="G187" s="270"/>
      <c r="H187" s="270"/>
      <c r="I187" s="270"/>
      <c r="J187" s="270"/>
      <c r="K187" s="270"/>
      <c r="L187" s="270"/>
      <c r="M187" s="270"/>
      <c r="N187" s="270"/>
      <c r="O187" s="270"/>
      <c r="P187" s="270"/>
      <c r="Q187" s="270"/>
      <c r="R187" s="270"/>
      <c r="S187" s="270"/>
      <c r="T187" s="270"/>
      <c r="U187" s="270"/>
    </row>
    <row r="188" spans="3:21">
      <c r="C188" s="270"/>
      <c r="D188" s="270"/>
      <c r="E188" s="270"/>
      <c r="F188" s="270"/>
      <c r="G188" s="270"/>
      <c r="H188" s="270"/>
      <c r="I188" s="270"/>
      <c r="J188" s="270"/>
      <c r="K188" s="270"/>
      <c r="L188" s="270"/>
      <c r="M188" s="270"/>
      <c r="N188" s="270"/>
      <c r="O188" s="270"/>
      <c r="P188" s="270"/>
      <c r="Q188" s="270"/>
      <c r="R188" s="270"/>
      <c r="S188" s="270"/>
      <c r="T188" s="270"/>
      <c r="U188" s="270"/>
    </row>
    <row r="189" spans="3:21">
      <c r="C189" s="270"/>
      <c r="D189" s="270"/>
      <c r="E189" s="270"/>
      <c r="F189" s="270"/>
      <c r="G189" s="270"/>
      <c r="H189" s="270"/>
      <c r="I189" s="270"/>
      <c r="J189" s="270"/>
      <c r="K189" s="270"/>
      <c r="L189" s="270"/>
      <c r="M189" s="270"/>
      <c r="N189" s="270"/>
      <c r="O189" s="270"/>
      <c r="P189" s="270"/>
      <c r="Q189" s="270"/>
      <c r="R189" s="270"/>
      <c r="S189" s="270"/>
      <c r="T189" s="270"/>
      <c r="U189" s="270"/>
    </row>
    <row r="190" spans="3:21">
      <c r="C190" s="270"/>
      <c r="D190" s="270"/>
      <c r="E190" s="270"/>
      <c r="F190" s="270"/>
      <c r="G190" s="270"/>
      <c r="H190" s="270"/>
      <c r="I190" s="270"/>
      <c r="J190" s="270"/>
      <c r="K190" s="270"/>
      <c r="L190" s="270"/>
      <c r="M190" s="270"/>
      <c r="N190" s="270"/>
      <c r="O190" s="270"/>
      <c r="P190" s="270"/>
      <c r="Q190" s="270"/>
      <c r="R190" s="270"/>
      <c r="S190" s="270"/>
      <c r="T190" s="270"/>
      <c r="U190" s="270"/>
    </row>
    <row r="191" spans="3:21">
      <c r="C191" s="270"/>
      <c r="D191" s="270"/>
      <c r="E191" s="270"/>
      <c r="F191" s="270"/>
      <c r="G191" s="270"/>
      <c r="H191" s="270"/>
      <c r="I191" s="270"/>
      <c r="J191" s="270"/>
      <c r="K191" s="270"/>
      <c r="L191" s="270"/>
      <c r="M191" s="270"/>
      <c r="N191" s="270"/>
      <c r="O191" s="270"/>
      <c r="P191" s="270"/>
      <c r="Q191" s="270"/>
      <c r="R191" s="270"/>
      <c r="S191" s="270"/>
      <c r="T191" s="270"/>
      <c r="U191" s="270"/>
    </row>
    <row r="192" spans="3:21">
      <c r="C192" s="270"/>
      <c r="D192" s="270"/>
      <c r="E192" s="270"/>
      <c r="F192" s="270"/>
      <c r="G192" s="270"/>
      <c r="H192" s="270"/>
      <c r="I192" s="270"/>
      <c r="J192" s="270"/>
      <c r="K192" s="270"/>
      <c r="L192" s="270"/>
      <c r="M192" s="270"/>
      <c r="N192" s="270"/>
      <c r="O192" s="270"/>
      <c r="P192" s="270"/>
      <c r="Q192" s="270"/>
      <c r="R192" s="270"/>
      <c r="S192" s="270"/>
      <c r="T192" s="270"/>
      <c r="U192" s="270"/>
    </row>
    <row r="193" spans="3:21">
      <c r="C193" s="270"/>
      <c r="D193" s="270"/>
      <c r="E193" s="270"/>
      <c r="F193" s="270"/>
      <c r="G193" s="270"/>
      <c r="H193" s="270"/>
      <c r="I193" s="270"/>
      <c r="J193" s="270"/>
      <c r="K193" s="270"/>
      <c r="L193" s="270"/>
      <c r="M193" s="270"/>
      <c r="N193" s="270"/>
      <c r="O193" s="270"/>
      <c r="P193" s="270"/>
      <c r="Q193" s="270"/>
      <c r="R193" s="270"/>
      <c r="S193" s="270"/>
      <c r="T193" s="270"/>
      <c r="U193" s="270"/>
    </row>
    <row r="194" spans="3:21">
      <c r="C194" s="270"/>
      <c r="D194" s="270"/>
      <c r="E194" s="270"/>
      <c r="F194" s="270"/>
      <c r="G194" s="270"/>
      <c r="H194" s="270"/>
      <c r="I194" s="270"/>
      <c r="J194" s="270"/>
      <c r="K194" s="270"/>
      <c r="L194" s="270"/>
      <c r="M194" s="270"/>
      <c r="N194" s="270"/>
      <c r="O194" s="270"/>
      <c r="P194" s="270"/>
      <c r="Q194" s="270"/>
      <c r="R194" s="270"/>
      <c r="S194" s="270"/>
      <c r="T194" s="270"/>
      <c r="U194" s="270"/>
    </row>
    <row r="195" spans="3:21">
      <c r="C195" s="270"/>
      <c r="D195" s="270"/>
      <c r="E195" s="270"/>
      <c r="F195" s="270"/>
      <c r="G195" s="270"/>
      <c r="H195" s="270"/>
      <c r="I195" s="270"/>
      <c r="J195" s="270"/>
      <c r="K195" s="270"/>
      <c r="L195" s="270"/>
      <c r="M195" s="270"/>
      <c r="N195" s="270"/>
      <c r="O195" s="270"/>
      <c r="P195" s="270"/>
      <c r="Q195" s="270"/>
      <c r="R195" s="270"/>
      <c r="S195" s="270"/>
      <c r="T195" s="270"/>
      <c r="U195" s="270"/>
    </row>
    <row r="196" spans="3:21">
      <c r="C196" s="270"/>
      <c r="D196" s="270"/>
      <c r="E196" s="270"/>
      <c r="F196" s="270"/>
      <c r="G196" s="270"/>
      <c r="H196" s="270"/>
      <c r="I196" s="270"/>
      <c r="J196" s="270"/>
      <c r="K196" s="270"/>
      <c r="L196" s="270"/>
      <c r="M196" s="270"/>
      <c r="N196" s="270"/>
      <c r="O196" s="270"/>
      <c r="P196" s="270"/>
      <c r="Q196" s="270"/>
      <c r="R196" s="270"/>
      <c r="S196" s="270"/>
      <c r="T196" s="270"/>
      <c r="U196" s="270"/>
    </row>
    <row r="197" spans="3:21">
      <c r="C197" s="270"/>
      <c r="D197" s="270"/>
      <c r="E197" s="270"/>
      <c r="F197" s="270"/>
      <c r="G197" s="270"/>
      <c r="H197" s="270"/>
      <c r="I197" s="270"/>
      <c r="J197" s="270"/>
      <c r="K197" s="270"/>
      <c r="L197" s="270"/>
      <c r="M197" s="270"/>
      <c r="N197" s="270"/>
      <c r="O197" s="270"/>
      <c r="P197" s="270"/>
      <c r="Q197" s="270"/>
      <c r="R197" s="270"/>
      <c r="S197" s="270"/>
      <c r="T197" s="270"/>
      <c r="U197" s="270"/>
    </row>
    <row r="198" spans="3:21">
      <c r="C198" s="270"/>
      <c r="D198" s="270"/>
      <c r="E198" s="270"/>
      <c r="F198" s="270"/>
      <c r="G198" s="270"/>
      <c r="H198" s="270"/>
      <c r="I198" s="270"/>
      <c r="J198" s="270"/>
      <c r="K198" s="270"/>
      <c r="L198" s="270"/>
      <c r="M198" s="270"/>
      <c r="N198" s="270"/>
      <c r="O198" s="270"/>
      <c r="P198" s="270"/>
      <c r="Q198" s="270"/>
      <c r="R198" s="270"/>
      <c r="S198" s="270"/>
      <c r="T198" s="270"/>
      <c r="U198" s="270"/>
    </row>
    <row r="199" spans="3:21">
      <c r="C199" s="270"/>
      <c r="D199" s="270"/>
      <c r="E199" s="270"/>
      <c r="F199" s="270"/>
      <c r="G199" s="270"/>
      <c r="H199" s="270"/>
      <c r="I199" s="270"/>
      <c r="J199" s="270"/>
      <c r="K199" s="270"/>
      <c r="L199" s="270"/>
      <c r="M199" s="270"/>
      <c r="N199" s="270"/>
      <c r="O199" s="270"/>
      <c r="P199" s="270"/>
      <c r="Q199" s="270"/>
      <c r="R199" s="270"/>
      <c r="S199" s="270"/>
      <c r="T199" s="270"/>
      <c r="U199" s="270"/>
    </row>
    <row r="200" spans="3:21">
      <c r="C200" s="270"/>
      <c r="D200" s="270"/>
      <c r="E200" s="270"/>
      <c r="F200" s="270"/>
      <c r="G200" s="270"/>
      <c r="H200" s="270"/>
      <c r="I200" s="270"/>
      <c r="J200" s="270"/>
      <c r="K200" s="270"/>
      <c r="L200" s="270"/>
      <c r="M200" s="270"/>
      <c r="N200" s="270"/>
      <c r="O200" s="270"/>
      <c r="P200" s="270"/>
      <c r="Q200" s="270"/>
      <c r="R200" s="270"/>
      <c r="S200" s="270"/>
      <c r="T200" s="270"/>
      <c r="U200" s="270"/>
    </row>
    <row r="201" spans="3:21">
      <c r="C201" s="270"/>
      <c r="D201" s="270"/>
      <c r="E201" s="270"/>
      <c r="F201" s="270"/>
      <c r="G201" s="270"/>
      <c r="H201" s="270"/>
      <c r="I201" s="270"/>
      <c r="J201" s="270"/>
      <c r="K201" s="270"/>
      <c r="L201" s="270"/>
      <c r="M201" s="270"/>
      <c r="N201" s="270"/>
      <c r="O201" s="270"/>
      <c r="P201" s="270"/>
      <c r="Q201" s="270"/>
      <c r="R201" s="270"/>
      <c r="S201" s="270"/>
      <c r="T201" s="270"/>
      <c r="U201" s="270"/>
    </row>
    <row r="202" spans="3:21">
      <c r="C202" s="270"/>
      <c r="D202" s="270"/>
      <c r="E202" s="270"/>
      <c r="F202" s="270"/>
      <c r="G202" s="270"/>
      <c r="H202" s="270"/>
      <c r="I202" s="270"/>
      <c r="J202" s="270"/>
      <c r="K202" s="270"/>
      <c r="L202" s="270"/>
      <c r="M202" s="270"/>
      <c r="N202" s="270"/>
      <c r="O202" s="270"/>
      <c r="P202" s="270"/>
      <c r="Q202" s="270"/>
      <c r="R202" s="270"/>
      <c r="S202" s="270"/>
      <c r="T202" s="270"/>
      <c r="U202" s="270"/>
    </row>
    <row r="203" spans="3:21">
      <c r="C203" s="270"/>
      <c r="D203" s="270"/>
      <c r="E203" s="270"/>
      <c r="F203" s="270"/>
      <c r="G203" s="270"/>
      <c r="H203" s="270"/>
      <c r="I203" s="270"/>
      <c r="J203" s="270"/>
      <c r="K203" s="270"/>
      <c r="L203" s="270"/>
      <c r="M203" s="270"/>
      <c r="N203" s="270"/>
      <c r="O203" s="270"/>
      <c r="P203" s="270"/>
      <c r="Q203" s="270"/>
      <c r="R203" s="270"/>
      <c r="S203" s="270"/>
      <c r="T203" s="270"/>
      <c r="U203" s="270"/>
    </row>
    <row r="204" spans="3:21">
      <c r="C204" s="270"/>
      <c r="D204" s="270"/>
      <c r="E204" s="270"/>
      <c r="F204" s="270"/>
      <c r="G204" s="270"/>
      <c r="H204" s="270"/>
      <c r="I204" s="270"/>
      <c r="J204" s="270"/>
      <c r="K204" s="270"/>
      <c r="L204" s="270"/>
      <c r="M204" s="270"/>
      <c r="N204" s="270"/>
      <c r="O204" s="270"/>
      <c r="P204" s="270"/>
      <c r="Q204" s="270"/>
      <c r="R204" s="270"/>
      <c r="S204" s="270"/>
      <c r="T204" s="270"/>
      <c r="U204" s="270"/>
    </row>
    <row r="205" spans="3:21">
      <c r="C205" s="270"/>
      <c r="D205" s="270"/>
      <c r="E205" s="270"/>
      <c r="F205" s="270"/>
      <c r="G205" s="270"/>
      <c r="H205" s="270"/>
      <c r="I205" s="270"/>
      <c r="J205" s="270"/>
      <c r="K205" s="270"/>
      <c r="L205" s="270"/>
      <c r="M205" s="270"/>
      <c r="N205" s="270"/>
      <c r="O205" s="270"/>
      <c r="P205" s="270"/>
      <c r="Q205" s="270"/>
      <c r="R205" s="270"/>
      <c r="S205" s="270"/>
      <c r="T205" s="270"/>
      <c r="U205" s="270"/>
    </row>
    <row r="206" spans="3:21">
      <c r="C206" s="270"/>
      <c r="D206" s="270"/>
      <c r="E206" s="270"/>
      <c r="F206" s="270"/>
      <c r="G206" s="270"/>
      <c r="H206" s="270"/>
      <c r="I206" s="270"/>
      <c r="J206" s="270"/>
      <c r="K206" s="270"/>
      <c r="L206" s="270"/>
      <c r="M206" s="270"/>
      <c r="N206" s="270"/>
      <c r="O206" s="270"/>
      <c r="P206" s="270"/>
      <c r="Q206" s="270"/>
      <c r="R206" s="270"/>
      <c r="S206" s="270"/>
      <c r="T206" s="270"/>
      <c r="U206" s="270"/>
    </row>
    <row r="207" spans="3:21">
      <c r="C207" s="270"/>
      <c r="D207" s="270"/>
      <c r="E207" s="270"/>
      <c r="F207" s="270"/>
      <c r="G207" s="270"/>
      <c r="H207" s="270"/>
      <c r="I207" s="270"/>
      <c r="J207" s="270"/>
      <c r="K207" s="270"/>
      <c r="L207" s="270"/>
      <c r="M207" s="270"/>
      <c r="N207" s="270"/>
      <c r="O207" s="270"/>
      <c r="P207" s="270"/>
      <c r="Q207" s="270"/>
      <c r="R207" s="270"/>
      <c r="S207" s="270"/>
      <c r="T207" s="270"/>
      <c r="U207" s="270"/>
    </row>
    <row r="208" spans="3:21">
      <c r="C208" s="270"/>
      <c r="D208" s="270"/>
      <c r="E208" s="270"/>
      <c r="F208" s="270"/>
      <c r="G208" s="270"/>
      <c r="H208" s="270"/>
      <c r="I208" s="270"/>
      <c r="J208" s="270"/>
      <c r="K208" s="270"/>
      <c r="L208" s="270"/>
      <c r="M208" s="270"/>
      <c r="N208" s="270"/>
      <c r="O208" s="270"/>
      <c r="P208" s="270"/>
      <c r="Q208" s="270"/>
      <c r="R208" s="270"/>
      <c r="S208" s="270"/>
      <c r="T208" s="270"/>
      <c r="U208" s="270"/>
    </row>
    <row r="209" spans="3:21">
      <c r="C209" s="270"/>
      <c r="D209" s="270"/>
      <c r="E209" s="270"/>
      <c r="F209" s="270"/>
      <c r="G209" s="270"/>
      <c r="H209" s="270"/>
      <c r="I209" s="270"/>
      <c r="J209" s="270"/>
      <c r="K209" s="270"/>
      <c r="L209" s="270"/>
      <c r="M209" s="270"/>
      <c r="N209" s="270"/>
      <c r="O209" s="270"/>
      <c r="P209" s="270"/>
      <c r="Q209" s="270"/>
      <c r="R209" s="270"/>
      <c r="S209" s="270"/>
      <c r="T209" s="270"/>
      <c r="U209" s="270"/>
    </row>
    <row r="210" spans="3:21">
      <c r="C210" s="270"/>
      <c r="D210" s="270"/>
      <c r="E210" s="270"/>
      <c r="F210" s="270"/>
      <c r="G210" s="270"/>
      <c r="H210" s="270"/>
      <c r="I210" s="270"/>
      <c r="J210" s="270"/>
      <c r="K210" s="270"/>
      <c r="L210" s="270"/>
      <c r="M210" s="270"/>
      <c r="N210" s="270"/>
      <c r="O210" s="270"/>
      <c r="P210" s="270"/>
      <c r="Q210" s="270"/>
      <c r="R210" s="270"/>
      <c r="S210" s="270"/>
      <c r="T210" s="270"/>
      <c r="U210" s="270"/>
    </row>
    <row r="211" spans="3:21">
      <c r="C211" s="270"/>
      <c r="D211" s="270"/>
      <c r="E211" s="270"/>
      <c r="F211" s="270"/>
      <c r="G211" s="270"/>
      <c r="H211" s="270"/>
      <c r="I211" s="270"/>
      <c r="J211" s="270"/>
      <c r="K211" s="270"/>
      <c r="L211" s="270"/>
      <c r="M211" s="270"/>
      <c r="N211" s="270"/>
      <c r="O211" s="270"/>
      <c r="P211" s="270"/>
      <c r="Q211" s="270"/>
      <c r="R211" s="270"/>
      <c r="S211" s="270"/>
      <c r="T211" s="270"/>
      <c r="U211" s="270"/>
    </row>
    <row r="212" spans="3:21">
      <c r="C212" s="270"/>
      <c r="D212" s="270"/>
      <c r="E212" s="270"/>
      <c r="F212" s="270"/>
      <c r="G212" s="270"/>
      <c r="H212" s="270"/>
      <c r="I212" s="270"/>
      <c r="J212" s="270"/>
      <c r="K212" s="270"/>
      <c r="L212" s="270"/>
      <c r="M212" s="270"/>
      <c r="N212" s="270"/>
      <c r="O212" s="270"/>
      <c r="P212" s="270"/>
      <c r="Q212" s="270"/>
      <c r="R212" s="270"/>
      <c r="S212" s="270"/>
      <c r="T212" s="270"/>
      <c r="U212" s="270"/>
    </row>
    <row r="213" spans="3:21">
      <c r="C213" s="270"/>
      <c r="D213" s="270"/>
      <c r="E213" s="270"/>
      <c r="F213" s="270"/>
      <c r="G213" s="270"/>
      <c r="H213" s="270"/>
      <c r="I213" s="270"/>
      <c r="J213" s="270"/>
      <c r="K213" s="270"/>
      <c r="L213" s="270"/>
      <c r="M213" s="270"/>
      <c r="N213" s="270"/>
      <c r="O213" s="270"/>
      <c r="P213" s="270"/>
      <c r="Q213" s="270"/>
      <c r="R213" s="270"/>
      <c r="S213" s="270"/>
      <c r="T213" s="270"/>
      <c r="U213" s="270"/>
    </row>
    <row r="214" spans="3:21">
      <c r="C214" s="270"/>
      <c r="D214" s="270"/>
      <c r="E214" s="270"/>
      <c r="F214" s="270"/>
      <c r="G214" s="270"/>
      <c r="H214" s="270"/>
      <c r="I214" s="270"/>
      <c r="J214" s="270"/>
      <c r="K214" s="270"/>
      <c r="L214" s="270"/>
      <c r="M214" s="270"/>
      <c r="N214" s="270"/>
      <c r="O214" s="270"/>
      <c r="P214" s="270"/>
      <c r="Q214" s="270"/>
      <c r="R214" s="270"/>
      <c r="S214" s="270"/>
      <c r="T214" s="270"/>
      <c r="U214" s="270"/>
    </row>
    <row r="215" spans="3:21">
      <c r="C215" s="270"/>
      <c r="D215" s="270"/>
      <c r="E215" s="270"/>
      <c r="F215" s="270"/>
      <c r="G215" s="270"/>
      <c r="H215" s="270"/>
      <c r="I215" s="270"/>
      <c r="J215" s="270"/>
      <c r="K215" s="270"/>
      <c r="L215" s="270"/>
      <c r="M215" s="270"/>
      <c r="N215" s="270"/>
      <c r="O215" s="270"/>
      <c r="P215" s="270"/>
      <c r="Q215" s="270"/>
      <c r="R215" s="270"/>
      <c r="S215" s="270"/>
      <c r="T215" s="270"/>
      <c r="U215" s="270"/>
    </row>
    <row r="216" spans="3:21">
      <c r="C216" s="270"/>
      <c r="D216" s="270"/>
      <c r="E216" s="270"/>
      <c r="F216" s="270"/>
      <c r="G216" s="270"/>
      <c r="H216" s="270"/>
      <c r="I216" s="270"/>
      <c r="J216" s="270"/>
      <c r="K216" s="270"/>
      <c r="L216" s="270"/>
      <c r="M216" s="270"/>
      <c r="N216" s="270"/>
      <c r="O216" s="270"/>
      <c r="P216" s="270"/>
      <c r="Q216" s="270"/>
      <c r="R216" s="270"/>
      <c r="S216" s="270"/>
      <c r="T216" s="270"/>
      <c r="U216" s="270"/>
    </row>
    <row r="217" spans="3:21">
      <c r="C217" s="270"/>
      <c r="D217" s="270"/>
      <c r="E217" s="270"/>
      <c r="F217" s="270"/>
      <c r="G217" s="270"/>
      <c r="H217" s="270"/>
      <c r="I217" s="270"/>
      <c r="J217" s="270"/>
      <c r="K217" s="270"/>
      <c r="L217" s="270"/>
      <c r="M217" s="270"/>
      <c r="N217" s="270"/>
      <c r="O217" s="270"/>
      <c r="P217" s="270"/>
      <c r="Q217" s="270"/>
      <c r="R217" s="270"/>
      <c r="S217" s="270"/>
      <c r="T217" s="270"/>
      <c r="U217" s="270"/>
    </row>
    <row r="218" spans="3:21">
      <c r="C218" s="270"/>
      <c r="D218" s="270"/>
      <c r="E218" s="270"/>
      <c r="F218" s="270"/>
      <c r="G218" s="270"/>
      <c r="H218" s="270"/>
      <c r="I218" s="270"/>
      <c r="J218" s="270"/>
      <c r="K218" s="270"/>
      <c r="L218" s="270"/>
      <c r="M218" s="270"/>
      <c r="N218" s="270"/>
      <c r="O218" s="270"/>
      <c r="P218" s="270"/>
      <c r="Q218" s="270"/>
      <c r="R218" s="270"/>
      <c r="S218" s="270"/>
      <c r="T218" s="270"/>
      <c r="U218" s="270"/>
    </row>
    <row r="219" spans="3:21">
      <c r="C219" s="270"/>
      <c r="D219" s="270"/>
      <c r="E219" s="270"/>
      <c r="F219" s="270"/>
      <c r="G219" s="270"/>
      <c r="H219" s="270"/>
      <c r="I219" s="270"/>
      <c r="J219" s="270"/>
      <c r="K219" s="270"/>
      <c r="L219" s="270"/>
      <c r="M219" s="270"/>
      <c r="N219" s="270"/>
      <c r="O219" s="270"/>
      <c r="P219" s="270"/>
      <c r="Q219" s="270"/>
      <c r="R219" s="270"/>
      <c r="S219" s="270"/>
      <c r="T219" s="270"/>
      <c r="U219" s="270"/>
    </row>
    <row r="220" spans="3:21">
      <c r="C220" s="270"/>
      <c r="D220" s="270"/>
      <c r="E220" s="270"/>
      <c r="F220" s="270"/>
      <c r="G220" s="270"/>
      <c r="H220" s="270"/>
      <c r="I220" s="270"/>
      <c r="J220" s="270"/>
      <c r="K220" s="270"/>
      <c r="L220" s="270"/>
      <c r="M220" s="270"/>
      <c r="N220" s="270"/>
      <c r="O220" s="270"/>
      <c r="P220" s="270"/>
      <c r="Q220" s="270"/>
      <c r="R220" s="270"/>
      <c r="S220" s="270"/>
      <c r="T220" s="270"/>
      <c r="U220" s="270"/>
    </row>
    <row r="221" spans="3:21">
      <c r="C221" s="270"/>
      <c r="D221" s="270"/>
      <c r="E221" s="270"/>
      <c r="F221" s="270"/>
      <c r="G221" s="270"/>
      <c r="H221" s="270"/>
      <c r="I221" s="270"/>
      <c r="J221" s="270"/>
      <c r="K221" s="270"/>
      <c r="L221" s="270"/>
      <c r="M221" s="270"/>
      <c r="N221" s="270"/>
      <c r="O221" s="270"/>
      <c r="P221" s="270"/>
      <c r="Q221" s="270"/>
      <c r="R221" s="270"/>
      <c r="S221" s="270"/>
      <c r="T221" s="270"/>
      <c r="U221" s="270"/>
    </row>
    <row r="222" spans="3:21">
      <c r="C222" s="270"/>
      <c r="D222" s="270"/>
      <c r="E222" s="270"/>
      <c r="F222" s="270"/>
      <c r="G222" s="270"/>
      <c r="H222" s="270"/>
      <c r="I222" s="270"/>
      <c r="J222" s="270"/>
      <c r="K222" s="270"/>
      <c r="L222" s="270"/>
      <c r="M222" s="270"/>
      <c r="N222" s="270"/>
      <c r="O222" s="270"/>
      <c r="P222" s="270"/>
      <c r="Q222" s="270"/>
      <c r="R222" s="270"/>
      <c r="S222" s="270"/>
      <c r="T222" s="270"/>
      <c r="U222" s="270"/>
    </row>
    <row r="223" spans="3:21">
      <c r="C223" s="270"/>
      <c r="D223" s="270"/>
      <c r="E223" s="270"/>
      <c r="F223" s="270"/>
      <c r="G223" s="270"/>
      <c r="H223" s="270"/>
      <c r="I223" s="270"/>
      <c r="J223" s="270"/>
      <c r="K223" s="270"/>
      <c r="L223" s="270"/>
      <c r="M223" s="270"/>
      <c r="N223" s="270"/>
      <c r="O223" s="270"/>
      <c r="P223" s="270"/>
      <c r="Q223" s="270"/>
      <c r="R223" s="270"/>
      <c r="S223" s="270"/>
      <c r="T223" s="270"/>
      <c r="U223" s="270"/>
    </row>
    <row r="224" spans="3:21">
      <c r="C224" s="270"/>
      <c r="D224" s="270"/>
      <c r="E224" s="270"/>
      <c r="F224" s="270"/>
      <c r="G224" s="270"/>
      <c r="H224" s="270"/>
      <c r="I224" s="270"/>
      <c r="J224" s="270"/>
      <c r="K224" s="270"/>
      <c r="L224" s="270"/>
      <c r="M224" s="270"/>
      <c r="N224" s="270"/>
      <c r="O224" s="270"/>
      <c r="P224" s="270"/>
      <c r="Q224" s="270"/>
      <c r="R224" s="270"/>
      <c r="S224" s="270"/>
      <c r="T224" s="270"/>
      <c r="U224" s="270"/>
    </row>
    <row r="225" spans="3:21">
      <c r="C225" s="270"/>
      <c r="D225" s="270"/>
      <c r="E225" s="270"/>
      <c r="F225" s="270"/>
      <c r="G225" s="270"/>
      <c r="H225" s="270"/>
      <c r="I225" s="270"/>
      <c r="J225" s="270"/>
      <c r="K225" s="270"/>
      <c r="L225" s="270"/>
      <c r="M225" s="270"/>
      <c r="N225" s="270"/>
      <c r="O225" s="270"/>
      <c r="P225" s="270"/>
      <c r="Q225" s="270"/>
      <c r="R225" s="270"/>
      <c r="S225" s="270"/>
      <c r="T225" s="270"/>
      <c r="U225" s="270"/>
    </row>
    <row r="226" spans="3:21">
      <c r="C226" s="270"/>
      <c r="D226" s="270"/>
      <c r="E226" s="270"/>
      <c r="F226" s="270"/>
      <c r="G226" s="270"/>
      <c r="H226" s="270"/>
      <c r="I226" s="270"/>
      <c r="J226" s="270"/>
      <c r="K226" s="270"/>
      <c r="L226" s="270"/>
      <c r="M226" s="270"/>
      <c r="N226" s="270"/>
      <c r="O226" s="270"/>
      <c r="P226" s="270"/>
      <c r="Q226" s="270"/>
      <c r="R226" s="270"/>
      <c r="S226" s="270"/>
      <c r="T226" s="270"/>
      <c r="U226" s="270"/>
    </row>
    <row r="227" spans="3:21">
      <c r="C227" s="270"/>
      <c r="D227" s="270"/>
      <c r="E227" s="270"/>
      <c r="F227" s="270"/>
      <c r="G227" s="270"/>
      <c r="H227" s="270"/>
      <c r="I227" s="270"/>
      <c r="J227" s="270"/>
      <c r="K227" s="270"/>
      <c r="L227" s="270"/>
      <c r="M227" s="270"/>
      <c r="N227" s="270"/>
      <c r="O227" s="270"/>
      <c r="P227" s="270"/>
      <c r="Q227" s="270"/>
      <c r="R227" s="270"/>
      <c r="S227" s="270"/>
      <c r="T227" s="270"/>
      <c r="U227" s="270"/>
    </row>
    <row r="228" spans="3:21">
      <c r="C228" s="270"/>
      <c r="D228" s="270"/>
      <c r="E228" s="270"/>
      <c r="F228" s="270"/>
      <c r="G228" s="270"/>
      <c r="H228" s="270"/>
      <c r="I228" s="270"/>
      <c r="J228" s="270"/>
      <c r="K228" s="270"/>
      <c r="L228" s="270"/>
      <c r="M228" s="270"/>
      <c r="N228" s="270"/>
      <c r="O228" s="270"/>
      <c r="P228" s="270"/>
      <c r="Q228" s="270"/>
      <c r="R228" s="270"/>
      <c r="S228" s="270"/>
      <c r="T228" s="270"/>
      <c r="U228" s="270"/>
    </row>
    <row r="229" spans="3:21">
      <c r="C229" s="270"/>
      <c r="D229" s="270"/>
      <c r="E229" s="270"/>
      <c r="F229" s="270"/>
      <c r="G229" s="270"/>
      <c r="H229" s="270"/>
      <c r="I229" s="270"/>
      <c r="J229" s="270"/>
      <c r="K229" s="270"/>
      <c r="L229" s="270"/>
      <c r="M229" s="270"/>
      <c r="N229" s="270"/>
      <c r="O229" s="270"/>
      <c r="P229" s="270"/>
      <c r="Q229" s="270"/>
      <c r="R229" s="270"/>
      <c r="S229" s="270"/>
      <c r="T229" s="270"/>
      <c r="U229" s="270"/>
    </row>
    <row r="230" spans="3:21">
      <c r="C230" s="270"/>
      <c r="D230" s="270"/>
      <c r="E230" s="270"/>
      <c r="F230" s="270"/>
      <c r="G230" s="270"/>
      <c r="H230" s="270"/>
      <c r="I230" s="270"/>
      <c r="J230" s="270"/>
      <c r="K230" s="270"/>
      <c r="L230" s="270"/>
      <c r="M230" s="270"/>
      <c r="N230" s="270"/>
      <c r="O230" s="270"/>
      <c r="P230" s="270"/>
      <c r="Q230" s="270"/>
      <c r="R230" s="270"/>
      <c r="S230" s="270"/>
      <c r="T230" s="270"/>
      <c r="U230" s="270"/>
    </row>
    <row r="231" spans="3:21">
      <c r="C231" s="270"/>
      <c r="D231" s="270"/>
      <c r="E231" s="270"/>
      <c r="F231" s="270"/>
      <c r="G231" s="270"/>
      <c r="H231" s="270"/>
      <c r="I231" s="270"/>
      <c r="J231" s="270"/>
      <c r="K231" s="270"/>
      <c r="L231" s="270"/>
      <c r="M231" s="270"/>
      <c r="N231" s="270"/>
      <c r="O231" s="270"/>
      <c r="P231" s="270"/>
      <c r="Q231" s="270"/>
      <c r="R231" s="270"/>
      <c r="S231" s="270"/>
      <c r="T231" s="270"/>
      <c r="U231" s="270"/>
    </row>
    <row r="232" spans="3:21">
      <c r="C232" s="270"/>
      <c r="D232" s="270"/>
      <c r="E232" s="270"/>
      <c r="F232" s="270"/>
      <c r="G232" s="270"/>
      <c r="H232" s="270"/>
      <c r="I232" s="270"/>
      <c r="J232" s="270"/>
      <c r="K232" s="270"/>
      <c r="L232" s="270"/>
      <c r="M232" s="270"/>
      <c r="N232" s="270"/>
      <c r="O232" s="270"/>
      <c r="P232" s="270"/>
      <c r="Q232" s="270"/>
      <c r="R232" s="270"/>
      <c r="S232" s="270"/>
      <c r="T232" s="270"/>
      <c r="U232" s="270"/>
    </row>
    <row r="233" spans="3:21">
      <c r="C233" s="270"/>
      <c r="D233" s="270"/>
      <c r="E233" s="270"/>
      <c r="F233" s="270"/>
      <c r="G233" s="270"/>
      <c r="H233" s="270"/>
      <c r="I233" s="270"/>
      <c r="J233" s="270"/>
      <c r="K233" s="270"/>
      <c r="L233" s="270"/>
      <c r="M233" s="270"/>
      <c r="N233" s="270"/>
      <c r="O233" s="270"/>
      <c r="P233" s="270"/>
      <c r="Q233" s="270"/>
      <c r="R233" s="270"/>
      <c r="S233" s="270"/>
      <c r="T233" s="270"/>
      <c r="U233" s="270"/>
    </row>
    <row r="234" spans="3:21">
      <c r="C234" s="270"/>
      <c r="D234" s="270"/>
      <c r="E234" s="270"/>
      <c r="F234" s="270"/>
      <c r="G234" s="270"/>
      <c r="H234" s="270"/>
      <c r="I234" s="270"/>
      <c r="J234" s="270"/>
      <c r="K234" s="270"/>
      <c r="L234" s="270"/>
      <c r="M234" s="270"/>
      <c r="N234" s="270"/>
      <c r="O234" s="270"/>
      <c r="P234" s="270"/>
      <c r="Q234" s="270"/>
      <c r="R234" s="270"/>
      <c r="S234" s="270"/>
      <c r="T234" s="270"/>
      <c r="U234" s="270"/>
    </row>
    <row r="235" spans="3:21">
      <c r="C235" s="270"/>
      <c r="D235" s="270"/>
      <c r="E235" s="270"/>
      <c r="F235" s="270"/>
      <c r="G235" s="270"/>
      <c r="H235" s="270"/>
      <c r="I235" s="270"/>
      <c r="J235" s="270"/>
      <c r="K235" s="270"/>
      <c r="L235" s="270"/>
      <c r="M235" s="270"/>
      <c r="N235" s="270"/>
      <c r="O235" s="270"/>
      <c r="P235" s="270"/>
      <c r="Q235" s="270"/>
      <c r="R235" s="270"/>
      <c r="S235" s="270"/>
      <c r="T235" s="270"/>
      <c r="U235" s="270"/>
    </row>
    <row r="236" spans="3:21">
      <c r="C236" s="270"/>
      <c r="D236" s="270"/>
      <c r="E236" s="270"/>
      <c r="F236" s="270"/>
      <c r="G236" s="270"/>
      <c r="H236" s="270"/>
      <c r="I236" s="270"/>
      <c r="J236" s="270"/>
      <c r="K236" s="270"/>
      <c r="L236" s="270"/>
      <c r="M236" s="270"/>
      <c r="N236" s="270"/>
      <c r="O236" s="270"/>
      <c r="P236" s="270"/>
      <c r="Q236" s="270"/>
      <c r="R236" s="270"/>
      <c r="S236" s="270"/>
      <c r="T236" s="270"/>
      <c r="U236" s="270"/>
    </row>
    <row r="237" spans="3:21">
      <c r="C237" s="270"/>
      <c r="D237" s="270"/>
      <c r="E237" s="270"/>
      <c r="F237" s="270"/>
      <c r="G237" s="270"/>
      <c r="H237" s="270"/>
      <c r="I237" s="270"/>
      <c r="J237" s="270"/>
      <c r="K237" s="270"/>
      <c r="L237" s="270"/>
      <c r="M237" s="270"/>
      <c r="N237" s="270"/>
      <c r="O237" s="270"/>
      <c r="P237" s="270"/>
      <c r="Q237" s="270"/>
      <c r="R237" s="270"/>
      <c r="S237" s="270"/>
      <c r="T237" s="270"/>
      <c r="U237" s="270"/>
    </row>
    <row r="238" spans="3:21">
      <c r="C238" s="270"/>
      <c r="D238" s="270"/>
      <c r="E238" s="270"/>
      <c r="F238" s="270"/>
      <c r="G238" s="270"/>
      <c r="H238" s="270"/>
      <c r="I238" s="270"/>
      <c r="J238" s="270"/>
      <c r="K238" s="270"/>
      <c r="L238" s="270"/>
      <c r="M238" s="270"/>
      <c r="N238" s="270"/>
      <c r="O238" s="270"/>
      <c r="P238" s="270"/>
      <c r="Q238" s="270"/>
      <c r="R238" s="270"/>
      <c r="S238" s="270"/>
      <c r="T238" s="270"/>
      <c r="U238" s="270"/>
    </row>
    <row r="239" spans="3:21">
      <c r="C239" s="270"/>
      <c r="D239" s="270"/>
      <c r="E239" s="270"/>
      <c r="F239" s="270"/>
      <c r="G239" s="270"/>
      <c r="H239" s="270"/>
      <c r="I239" s="270"/>
      <c r="J239" s="270"/>
      <c r="K239" s="270"/>
      <c r="L239" s="270"/>
      <c r="M239" s="270"/>
      <c r="N239" s="270"/>
      <c r="O239" s="270"/>
      <c r="P239" s="270"/>
      <c r="Q239" s="270"/>
      <c r="R239" s="270"/>
      <c r="S239" s="270"/>
      <c r="T239" s="270"/>
      <c r="U239" s="270"/>
    </row>
    <row r="240" spans="3:21">
      <c r="C240" s="270"/>
      <c r="D240" s="270"/>
      <c r="E240" s="270"/>
      <c r="F240" s="270"/>
      <c r="G240" s="270"/>
      <c r="H240" s="270"/>
      <c r="I240" s="270"/>
      <c r="J240" s="270"/>
      <c r="K240" s="270"/>
      <c r="L240" s="270"/>
      <c r="M240" s="270"/>
      <c r="N240" s="270"/>
      <c r="O240" s="270"/>
      <c r="P240" s="270"/>
      <c r="Q240" s="270"/>
      <c r="R240" s="270"/>
      <c r="S240" s="270"/>
      <c r="T240" s="270"/>
      <c r="U240" s="270"/>
    </row>
    <row r="241" spans="3:21">
      <c r="C241" s="270"/>
      <c r="D241" s="270"/>
      <c r="E241" s="270"/>
      <c r="F241" s="270"/>
      <c r="G241" s="270"/>
      <c r="H241" s="270"/>
      <c r="I241" s="270"/>
      <c r="J241" s="270"/>
      <c r="K241" s="270"/>
      <c r="L241" s="270"/>
      <c r="M241" s="270"/>
      <c r="N241" s="270"/>
      <c r="O241" s="270"/>
      <c r="P241" s="270"/>
      <c r="Q241" s="270"/>
      <c r="R241" s="270"/>
      <c r="S241" s="270"/>
      <c r="T241" s="270"/>
      <c r="U241" s="270"/>
    </row>
    <row r="242" spans="3:21">
      <c r="C242" s="270"/>
      <c r="D242" s="270"/>
      <c r="E242" s="270"/>
      <c r="F242" s="270"/>
      <c r="G242" s="270"/>
      <c r="H242" s="270"/>
      <c r="I242" s="270"/>
      <c r="J242" s="270"/>
      <c r="K242" s="270"/>
      <c r="L242" s="270"/>
      <c r="M242" s="270"/>
      <c r="N242" s="270"/>
      <c r="O242" s="270"/>
      <c r="P242" s="270"/>
      <c r="Q242" s="270"/>
      <c r="R242" s="270"/>
      <c r="S242" s="270"/>
      <c r="T242" s="270"/>
      <c r="U242" s="270"/>
    </row>
    <row r="243" spans="3:21">
      <c r="C243" s="270"/>
      <c r="D243" s="270"/>
      <c r="E243" s="270"/>
      <c r="F243" s="270"/>
      <c r="G243" s="270"/>
      <c r="H243" s="270"/>
      <c r="I243" s="270"/>
      <c r="J243" s="270"/>
      <c r="K243" s="270"/>
      <c r="L243" s="270"/>
      <c r="M243" s="270"/>
      <c r="N243" s="270"/>
      <c r="O243" s="270"/>
      <c r="P243" s="270"/>
      <c r="Q243" s="270"/>
      <c r="R243" s="270"/>
      <c r="S243" s="270"/>
      <c r="T243" s="270"/>
      <c r="U243" s="270"/>
    </row>
    <row r="244" spans="3:21">
      <c r="C244" s="270"/>
      <c r="D244" s="270"/>
      <c r="E244" s="270"/>
      <c r="F244" s="270"/>
      <c r="G244" s="270"/>
      <c r="H244" s="270"/>
      <c r="I244" s="270"/>
      <c r="J244" s="270"/>
      <c r="K244" s="270"/>
      <c r="L244" s="270"/>
      <c r="M244" s="270"/>
      <c r="N244" s="270"/>
      <c r="O244" s="270"/>
      <c r="P244" s="270"/>
      <c r="Q244" s="270"/>
      <c r="R244" s="270"/>
      <c r="S244" s="270"/>
      <c r="T244" s="270"/>
      <c r="U244" s="270"/>
    </row>
    <row r="245" spans="3:21">
      <c r="C245" s="270"/>
      <c r="D245" s="270"/>
      <c r="E245" s="270"/>
      <c r="F245" s="270"/>
      <c r="G245" s="270"/>
      <c r="H245" s="270"/>
      <c r="I245" s="270"/>
      <c r="J245" s="270"/>
      <c r="K245" s="270"/>
      <c r="L245" s="270"/>
      <c r="M245" s="270"/>
      <c r="N245" s="270"/>
      <c r="O245" s="270"/>
      <c r="P245" s="270"/>
      <c r="Q245" s="270"/>
      <c r="R245" s="270"/>
      <c r="S245" s="270"/>
      <c r="T245" s="270"/>
      <c r="U245" s="270"/>
    </row>
    <row r="246" spans="3:21">
      <c r="C246" s="270"/>
      <c r="D246" s="270"/>
      <c r="E246" s="270"/>
      <c r="F246" s="270"/>
      <c r="G246" s="270"/>
      <c r="H246" s="270"/>
      <c r="I246" s="270"/>
      <c r="J246" s="270"/>
      <c r="K246" s="270"/>
      <c r="L246" s="270"/>
      <c r="M246" s="270"/>
      <c r="N246" s="270"/>
      <c r="O246" s="270"/>
      <c r="P246" s="270"/>
      <c r="Q246" s="270"/>
      <c r="R246" s="270"/>
      <c r="S246" s="270"/>
      <c r="T246" s="270"/>
      <c r="U246" s="270"/>
    </row>
    <row r="247" spans="3:21">
      <c r="C247" s="270"/>
      <c r="D247" s="270"/>
      <c r="E247" s="270"/>
      <c r="F247" s="270"/>
      <c r="G247" s="270"/>
      <c r="H247" s="270"/>
      <c r="I247" s="270"/>
      <c r="J247" s="270"/>
      <c r="K247" s="270"/>
      <c r="L247" s="270"/>
      <c r="M247" s="270"/>
      <c r="N247" s="270"/>
      <c r="O247" s="270"/>
      <c r="P247" s="270"/>
      <c r="Q247" s="270"/>
      <c r="R247" s="270"/>
      <c r="S247" s="270"/>
      <c r="T247" s="270"/>
      <c r="U247" s="270"/>
    </row>
    <row r="248" spans="3:21">
      <c r="C248" s="270"/>
      <c r="D248" s="270"/>
      <c r="E248" s="270"/>
      <c r="F248" s="270"/>
      <c r="G248" s="270"/>
      <c r="H248" s="270"/>
      <c r="I248" s="270"/>
      <c r="J248" s="270"/>
      <c r="K248" s="270"/>
      <c r="L248" s="270"/>
      <c r="M248" s="270"/>
      <c r="N248" s="270"/>
      <c r="O248" s="270"/>
      <c r="P248" s="270"/>
      <c r="Q248" s="270"/>
      <c r="R248" s="270"/>
      <c r="S248" s="270"/>
      <c r="T248" s="270"/>
      <c r="U248" s="270"/>
    </row>
    <row r="249" spans="3:21">
      <c r="C249" s="270"/>
      <c r="D249" s="270"/>
      <c r="E249" s="270"/>
      <c r="F249" s="270"/>
      <c r="G249" s="270"/>
      <c r="H249" s="270"/>
      <c r="I249" s="270"/>
      <c r="J249" s="270"/>
      <c r="K249" s="270"/>
      <c r="L249" s="270"/>
      <c r="M249" s="270"/>
      <c r="N249" s="270"/>
      <c r="O249" s="270"/>
      <c r="P249" s="270"/>
      <c r="Q249" s="270"/>
      <c r="R249" s="270"/>
      <c r="S249" s="270"/>
      <c r="T249" s="270"/>
      <c r="U249" s="270"/>
    </row>
    <row r="250" spans="3:21">
      <c r="C250" s="270"/>
      <c r="D250" s="270"/>
      <c r="E250" s="270"/>
      <c r="F250" s="270"/>
      <c r="G250" s="270"/>
      <c r="H250" s="270"/>
      <c r="I250" s="270"/>
      <c r="J250" s="270"/>
      <c r="K250" s="270"/>
      <c r="L250" s="270"/>
      <c r="M250" s="270"/>
      <c r="N250" s="270"/>
      <c r="O250" s="270"/>
      <c r="P250" s="270"/>
      <c r="Q250" s="270"/>
      <c r="R250" s="270"/>
      <c r="S250" s="270"/>
      <c r="T250" s="270"/>
      <c r="U250" s="270"/>
    </row>
    <row r="251" spans="3:21">
      <c r="C251" s="270"/>
      <c r="D251" s="270"/>
      <c r="E251" s="270"/>
      <c r="F251" s="270"/>
      <c r="G251" s="270"/>
      <c r="H251" s="270"/>
      <c r="I251" s="270"/>
      <c r="J251" s="270"/>
      <c r="K251" s="270"/>
      <c r="L251" s="270"/>
      <c r="M251" s="270"/>
      <c r="N251" s="270"/>
      <c r="O251" s="270"/>
      <c r="P251" s="270"/>
      <c r="Q251" s="270"/>
      <c r="R251" s="270"/>
      <c r="S251" s="270"/>
      <c r="T251" s="270"/>
      <c r="U251" s="270"/>
    </row>
    <row r="252" spans="3:21">
      <c r="C252" s="270"/>
      <c r="D252" s="270"/>
      <c r="E252" s="270"/>
      <c r="F252" s="270"/>
      <c r="G252" s="270"/>
      <c r="H252" s="270"/>
      <c r="I252" s="270"/>
      <c r="J252" s="270"/>
      <c r="K252" s="270"/>
      <c r="L252" s="270"/>
      <c r="M252" s="270"/>
      <c r="N252" s="270"/>
      <c r="O252" s="270"/>
      <c r="P252" s="270"/>
      <c r="Q252" s="270"/>
      <c r="R252" s="270"/>
      <c r="S252" s="270"/>
      <c r="T252" s="270"/>
      <c r="U252" s="270"/>
    </row>
    <row r="253" spans="3:21">
      <c r="C253" s="270"/>
      <c r="D253" s="270"/>
      <c r="E253" s="270"/>
      <c r="F253" s="270"/>
      <c r="G253" s="270"/>
      <c r="H253" s="270"/>
      <c r="I253" s="270"/>
      <c r="J253" s="270"/>
      <c r="K253" s="270"/>
      <c r="L253" s="270"/>
      <c r="M253" s="270"/>
      <c r="N253" s="270"/>
      <c r="O253" s="270"/>
      <c r="P253" s="270"/>
      <c r="Q253" s="270"/>
      <c r="R253" s="270"/>
      <c r="S253" s="270"/>
      <c r="T253" s="270"/>
      <c r="U253" s="270"/>
    </row>
    <row r="254" spans="3:21">
      <c r="C254" s="270"/>
      <c r="D254" s="270"/>
      <c r="E254" s="270"/>
      <c r="F254" s="270"/>
      <c r="G254" s="270"/>
      <c r="H254" s="270"/>
      <c r="I254" s="270"/>
      <c r="J254" s="270"/>
      <c r="K254" s="270"/>
      <c r="L254" s="270"/>
      <c r="M254" s="270"/>
      <c r="N254" s="270"/>
      <c r="O254" s="270"/>
      <c r="P254" s="270"/>
      <c r="Q254" s="270"/>
      <c r="R254" s="270"/>
      <c r="S254" s="270"/>
      <c r="T254" s="270"/>
      <c r="U254" s="270"/>
    </row>
    <row r="255" spans="3:21">
      <c r="C255" s="270"/>
      <c r="D255" s="270"/>
      <c r="E255" s="270"/>
      <c r="F255" s="270"/>
      <c r="G255" s="270"/>
      <c r="H255" s="270"/>
      <c r="I255" s="270"/>
      <c r="J255" s="270"/>
      <c r="K255" s="270"/>
      <c r="L255" s="270"/>
      <c r="M255" s="270"/>
      <c r="N255" s="270"/>
      <c r="O255" s="270"/>
      <c r="P255" s="270"/>
      <c r="Q255" s="270"/>
      <c r="R255" s="270"/>
      <c r="S255" s="270"/>
      <c r="T255" s="270"/>
      <c r="U255" s="270"/>
    </row>
    <row r="256" spans="3:21">
      <c r="C256" s="270"/>
      <c r="D256" s="270"/>
      <c r="E256" s="270"/>
      <c r="F256" s="270"/>
      <c r="G256" s="270"/>
      <c r="H256" s="270"/>
      <c r="I256" s="270"/>
      <c r="J256" s="270"/>
      <c r="K256" s="270"/>
      <c r="L256" s="270"/>
      <c r="M256" s="270"/>
      <c r="N256" s="270"/>
      <c r="O256" s="270"/>
      <c r="P256" s="270"/>
      <c r="Q256" s="270"/>
      <c r="R256" s="270"/>
      <c r="S256" s="270"/>
      <c r="T256" s="270"/>
      <c r="U256" s="270"/>
    </row>
    <row r="257" spans="3:21">
      <c r="C257" s="270"/>
      <c r="D257" s="270"/>
      <c r="E257" s="270"/>
      <c r="F257" s="270"/>
      <c r="G257" s="270"/>
      <c r="H257" s="270"/>
      <c r="I257" s="270"/>
      <c r="J257" s="270"/>
      <c r="K257" s="270"/>
      <c r="L257" s="270"/>
      <c r="M257" s="270"/>
      <c r="N257" s="270"/>
      <c r="O257" s="270"/>
      <c r="P257" s="270"/>
      <c r="Q257" s="270"/>
      <c r="R257" s="270"/>
      <c r="S257" s="270"/>
      <c r="T257" s="270"/>
      <c r="U257" s="270"/>
    </row>
    <row r="258" spans="3:21">
      <c r="C258" s="270"/>
      <c r="D258" s="270"/>
      <c r="E258" s="270"/>
      <c r="F258" s="270"/>
      <c r="G258" s="270"/>
      <c r="H258" s="270"/>
      <c r="I258" s="270"/>
      <c r="J258" s="270"/>
      <c r="K258" s="270"/>
      <c r="L258" s="270"/>
      <c r="M258" s="270"/>
      <c r="N258" s="270"/>
      <c r="O258" s="270"/>
      <c r="P258" s="270"/>
      <c r="Q258" s="270"/>
      <c r="R258" s="270"/>
      <c r="S258" s="270"/>
      <c r="T258" s="270"/>
      <c r="U258" s="270"/>
    </row>
    <row r="259" spans="3:21">
      <c r="C259" s="270"/>
      <c r="D259" s="270"/>
      <c r="E259" s="270"/>
      <c r="F259" s="270"/>
      <c r="G259" s="270"/>
      <c r="H259" s="270"/>
      <c r="I259" s="270"/>
      <c r="J259" s="270"/>
      <c r="K259" s="270"/>
      <c r="L259" s="270"/>
      <c r="M259" s="270"/>
      <c r="N259" s="270"/>
      <c r="O259" s="270"/>
      <c r="P259" s="270"/>
      <c r="Q259" s="270"/>
      <c r="R259" s="270"/>
      <c r="S259" s="270"/>
      <c r="T259" s="270"/>
      <c r="U259" s="270"/>
    </row>
    <row r="260" spans="3:21">
      <c r="C260" s="270"/>
      <c r="D260" s="270"/>
      <c r="E260" s="270"/>
      <c r="F260" s="270"/>
      <c r="G260" s="270"/>
      <c r="H260" s="270"/>
      <c r="I260" s="270"/>
      <c r="J260" s="270"/>
      <c r="K260" s="270"/>
      <c r="L260" s="270"/>
      <c r="M260" s="270"/>
      <c r="N260" s="270"/>
      <c r="O260" s="270"/>
      <c r="P260" s="270"/>
      <c r="Q260" s="270"/>
      <c r="R260" s="270"/>
      <c r="S260" s="270"/>
      <c r="T260" s="270"/>
      <c r="U260" s="270"/>
    </row>
    <row r="261" spans="3:21">
      <c r="C261" s="270"/>
      <c r="D261" s="270"/>
      <c r="E261" s="270"/>
      <c r="F261" s="270"/>
      <c r="G261" s="270"/>
      <c r="H261" s="270"/>
      <c r="I261" s="270"/>
      <c r="J261" s="270"/>
      <c r="K261" s="270"/>
      <c r="L261" s="270"/>
      <c r="M261" s="270"/>
      <c r="N261" s="270"/>
      <c r="O261" s="270"/>
      <c r="P261" s="270"/>
      <c r="Q261" s="270"/>
      <c r="R261" s="270"/>
      <c r="S261" s="270"/>
      <c r="T261" s="270"/>
      <c r="U261" s="270"/>
    </row>
    <row r="262" spans="3:21">
      <c r="C262" s="270"/>
      <c r="D262" s="270"/>
      <c r="E262" s="270"/>
      <c r="F262" s="270"/>
      <c r="G262" s="270"/>
      <c r="H262" s="270"/>
      <c r="I262" s="270"/>
      <c r="J262" s="270"/>
      <c r="K262" s="270"/>
      <c r="L262" s="270"/>
      <c r="M262" s="270"/>
      <c r="N262" s="270"/>
      <c r="O262" s="270"/>
      <c r="P262" s="270"/>
      <c r="Q262" s="270"/>
      <c r="R262" s="270"/>
      <c r="S262" s="270"/>
      <c r="T262" s="270"/>
      <c r="U262" s="270"/>
    </row>
    <row r="263" spans="3:21">
      <c r="C263" s="270"/>
      <c r="D263" s="270"/>
      <c r="E263" s="270"/>
      <c r="F263" s="270"/>
      <c r="G263" s="270"/>
      <c r="H263" s="270"/>
      <c r="I263" s="270"/>
      <c r="J263" s="270"/>
      <c r="K263" s="270"/>
      <c r="L263" s="270"/>
      <c r="M263" s="270"/>
      <c r="N263" s="270"/>
      <c r="O263" s="270"/>
      <c r="P263" s="270"/>
      <c r="Q263" s="270"/>
      <c r="R263" s="270"/>
      <c r="S263" s="270"/>
      <c r="T263" s="270"/>
      <c r="U263" s="270"/>
    </row>
    <row r="264" spans="3:21">
      <c r="C264" s="270"/>
      <c r="D264" s="270"/>
      <c r="E264" s="270"/>
      <c r="F264" s="270"/>
      <c r="G264" s="270"/>
      <c r="H264" s="270"/>
      <c r="I264" s="270"/>
      <c r="J264" s="270"/>
      <c r="K264" s="270"/>
      <c r="L264" s="270"/>
      <c r="M264" s="270"/>
      <c r="N264" s="270"/>
      <c r="O264" s="270"/>
      <c r="P264" s="270"/>
      <c r="Q264" s="270"/>
      <c r="R264" s="270"/>
      <c r="S264" s="270"/>
      <c r="T264" s="270"/>
      <c r="U264" s="270"/>
    </row>
    <row r="265" spans="3:21">
      <c r="C265" s="270"/>
      <c r="D265" s="270"/>
      <c r="E265" s="270"/>
      <c r="F265" s="270"/>
      <c r="G265" s="270"/>
      <c r="H265" s="270"/>
      <c r="I265" s="270"/>
      <c r="J265" s="270"/>
      <c r="K265" s="270"/>
      <c r="L265" s="270"/>
      <c r="M265" s="270"/>
      <c r="N265" s="270"/>
      <c r="O265" s="270"/>
      <c r="P265" s="270"/>
      <c r="Q265" s="270"/>
      <c r="R265" s="270"/>
      <c r="S265" s="270"/>
      <c r="T265" s="270"/>
      <c r="U265" s="270"/>
    </row>
    <row r="266" spans="3:21">
      <c r="C266" s="270"/>
      <c r="D266" s="270"/>
      <c r="E266" s="270"/>
      <c r="F266" s="270"/>
      <c r="G266" s="270"/>
      <c r="H266" s="270"/>
      <c r="I266" s="270"/>
      <c r="J266" s="270"/>
      <c r="K266" s="270"/>
      <c r="L266" s="270"/>
      <c r="M266" s="270"/>
      <c r="N266" s="270"/>
      <c r="O266" s="270"/>
      <c r="P266" s="270"/>
      <c r="Q266" s="270"/>
      <c r="R266" s="270"/>
      <c r="S266" s="270"/>
      <c r="T266" s="270"/>
      <c r="U266" s="270"/>
    </row>
    <row r="267" spans="3:21">
      <c r="C267" s="270"/>
      <c r="D267" s="270"/>
      <c r="E267" s="270"/>
      <c r="F267" s="270"/>
      <c r="G267" s="270"/>
      <c r="H267" s="270"/>
      <c r="I267" s="270"/>
      <c r="J267" s="270"/>
      <c r="K267" s="270"/>
      <c r="L267" s="270"/>
      <c r="M267" s="270"/>
      <c r="N267" s="270"/>
      <c r="O267" s="270"/>
      <c r="P267" s="270"/>
      <c r="Q267" s="270"/>
      <c r="R267" s="270"/>
      <c r="S267" s="270"/>
      <c r="T267" s="270"/>
      <c r="U267" s="270"/>
    </row>
    <row r="268" spans="3:21">
      <c r="C268" s="270"/>
      <c r="D268" s="270"/>
      <c r="E268" s="270"/>
      <c r="F268" s="270"/>
      <c r="G268" s="270"/>
      <c r="H268" s="270"/>
      <c r="I268" s="270"/>
      <c r="J268" s="270"/>
      <c r="K268" s="270"/>
      <c r="L268" s="270"/>
      <c r="M268" s="270"/>
      <c r="N268" s="270"/>
      <c r="O268" s="270"/>
      <c r="P268" s="270"/>
      <c r="Q268" s="270"/>
      <c r="R268" s="270"/>
      <c r="S268" s="270"/>
      <c r="T268" s="270"/>
      <c r="U268" s="270"/>
    </row>
    <row r="269" spans="3:21">
      <c r="C269" s="270"/>
      <c r="D269" s="270"/>
      <c r="E269" s="270"/>
      <c r="F269" s="270"/>
      <c r="G269" s="270"/>
      <c r="H269" s="270"/>
      <c r="I269" s="270"/>
      <c r="J269" s="270"/>
      <c r="K269" s="270"/>
      <c r="L269" s="270"/>
      <c r="M269" s="270"/>
      <c r="N269" s="270"/>
      <c r="O269" s="270"/>
      <c r="P269" s="270"/>
      <c r="Q269" s="270"/>
      <c r="R269" s="270"/>
      <c r="S269" s="270"/>
      <c r="T269" s="270"/>
      <c r="U269" s="270"/>
    </row>
    <row r="270" spans="3:21">
      <c r="C270" s="270"/>
      <c r="D270" s="270"/>
      <c r="E270" s="270"/>
      <c r="F270" s="270"/>
      <c r="G270" s="270"/>
      <c r="H270" s="270"/>
      <c r="I270" s="270"/>
      <c r="J270" s="270"/>
      <c r="K270" s="270"/>
      <c r="L270" s="270"/>
      <c r="M270" s="270"/>
      <c r="N270" s="270"/>
      <c r="O270" s="270"/>
      <c r="P270" s="270"/>
      <c r="Q270" s="270"/>
      <c r="R270" s="270"/>
      <c r="S270" s="270"/>
      <c r="T270" s="270"/>
      <c r="U270" s="270"/>
    </row>
    <row r="271" spans="3:21">
      <c r="C271" s="270"/>
      <c r="D271" s="270"/>
      <c r="E271" s="270"/>
      <c r="F271" s="270"/>
      <c r="G271" s="270"/>
      <c r="H271" s="270"/>
      <c r="I271" s="270"/>
      <c r="J271" s="270"/>
      <c r="K271" s="270"/>
      <c r="L271" s="270"/>
      <c r="M271" s="270"/>
      <c r="N271" s="270"/>
      <c r="O271" s="270"/>
      <c r="P271" s="270"/>
      <c r="Q271" s="270"/>
      <c r="R271" s="270"/>
      <c r="S271" s="270"/>
      <c r="T271" s="270"/>
      <c r="U271" s="270"/>
    </row>
    <row r="272" spans="3:21">
      <c r="C272" s="270"/>
      <c r="D272" s="270"/>
      <c r="E272" s="270"/>
      <c r="F272" s="270"/>
      <c r="G272" s="270"/>
      <c r="H272" s="270"/>
      <c r="I272" s="270"/>
      <c r="J272" s="270"/>
      <c r="K272" s="270"/>
      <c r="L272" s="270"/>
      <c r="M272" s="270"/>
      <c r="N272" s="270"/>
      <c r="O272" s="270"/>
      <c r="P272" s="270"/>
      <c r="Q272" s="270"/>
      <c r="R272" s="270"/>
      <c r="S272" s="270"/>
      <c r="T272" s="270"/>
      <c r="U272" s="270"/>
    </row>
    <row r="273" spans="3:21">
      <c r="C273" s="270"/>
      <c r="D273" s="270"/>
      <c r="E273" s="270"/>
      <c r="F273" s="270"/>
      <c r="G273" s="270"/>
      <c r="H273" s="270"/>
      <c r="I273" s="270"/>
      <c r="J273" s="270"/>
      <c r="K273" s="270"/>
      <c r="L273" s="270"/>
      <c r="M273" s="270"/>
      <c r="N273" s="270"/>
      <c r="O273" s="270"/>
      <c r="P273" s="270"/>
      <c r="Q273" s="270"/>
      <c r="R273" s="270"/>
      <c r="S273" s="270"/>
      <c r="T273" s="270"/>
      <c r="U273" s="270"/>
    </row>
    <row r="274" spans="3:21">
      <c r="C274" s="270"/>
      <c r="D274" s="270"/>
      <c r="E274" s="270"/>
      <c r="F274" s="270"/>
      <c r="G274" s="270"/>
      <c r="H274" s="270"/>
      <c r="I274" s="270"/>
      <c r="J274" s="270"/>
      <c r="K274" s="270"/>
      <c r="L274" s="270"/>
      <c r="M274" s="270"/>
      <c r="N274" s="270"/>
      <c r="O274" s="270"/>
      <c r="P274" s="270"/>
      <c r="Q274" s="270"/>
      <c r="R274" s="270"/>
      <c r="S274" s="270"/>
      <c r="T274" s="270"/>
      <c r="U274" s="270"/>
    </row>
    <row r="275" spans="3:21">
      <c r="C275" s="270"/>
      <c r="D275" s="270"/>
      <c r="E275" s="270"/>
      <c r="F275" s="270"/>
      <c r="G275" s="270"/>
      <c r="H275" s="270"/>
      <c r="I275" s="270"/>
      <c r="J275" s="270"/>
      <c r="K275" s="270"/>
      <c r="L275" s="270"/>
      <c r="M275" s="270"/>
      <c r="N275" s="270"/>
      <c r="O275" s="270"/>
      <c r="P275" s="270"/>
      <c r="Q275" s="270"/>
      <c r="R275" s="270"/>
      <c r="S275" s="270"/>
      <c r="T275" s="270"/>
      <c r="U275" s="270"/>
    </row>
    <row r="276" spans="3:21">
      <c r="C276" s="270"/>
      <c r="D276" s="270"/>
      <c r="E276" s="270"/>
      <c r="F276" s="270"/>
      <c r="G276" s="270"/>
      <c r="H276" s="270"/>
      <c r="I276" s="270"/>
      <c r="J276" s="270"/>
      <c r="K276" s="270"/>
      <c r="L276" s="270"/>
      <c r="M276" s="270"/>
      <c r="N276" s="270"/>
      <c r="O276" s="270"/>
      <c r="P276" s="270"/>
      <c r="Q276" s="270"/>
      <c r="R276" s="270"/>
      <c r="S276" s="270"/>
      <c r="T276" s="270"/>
      <c r="U276" s="270"/>
    </row>
    <row r="277" spans="3:21">
      <c r="C277" s="270"/>
      <c r="D277" s="270"/>
      <c r="E277" s="270"/>
      <c r="F277" s="270"/>
      <c r="G277" s="270"/>
      <c r="H277" s="270"/>
      <c r="I277" s="270"/>
      <c r="J277" s="270"/>
      <c r="K277" s="270"/>
      <c r="L277" s="270"/>
      <c r="M277" s="270"/>
      <c r="N277" s="270"/>
      <c r="O277" s="270"/>
      <c r="P277" s="270"/>
      <c r="Q277" s="270"/>
      <c r="R277" s="270"/>
      <c r="S277" s="270"/>
      <c r="T277" s="270"/>
      <c r="U277" s="270"/>
    </row>
    <row r="278" spans="3:21">
      <c r="C278" s="270"/>
      <c r="D278" s="270"/>
      <c r="E278" s="270"/>
      <c r="F278" s="270"/>
      <c r="G278" s="270"/>
      <c r="H278" s="270"/>
      <c r="I278" s="270"/>
      <c r="J278" s="270"/>
      <c r="K278" s="270"/>
      <c r="L278" s="270"/>
      <c r="M278" s="270"/>
      <c r="N278" s="270"/>
      <c r="O278" s="270"/>
      <c r="P278" s="270"/>
      <c r="Q278" s="270"/>
      <c r="R278" s="270"/>
      <c r="S278" s="270"/>
      <c r="T278" s="270"/>
      <c r="U278" s="270"/>
    </row>
    <row r="279" spans="3:21">
      <c r="C279" s="270"/>
      <c r="D279" s="270"/>
      <c r="E279" s="270"/>
      <c r="F279" s="270"/>
      <c r="G279" s="270"/>
      <c r="H279" s="270"/>
      <c r="I279" s="270"/>
      <c r="J279" s="270"/>
      <c r="K279" s="270"/>
      <c r="L279" s="270"/>
      <c r="M279" s="270"/>
      <c r="N279" s="270"/>
      <c r="O279" s="270"/>
      <c r="P279" s="270"/>
      <c r="Q279" s="270"/>
      <c r="R279" s="270"/>
      <c r="S279" s="270"/>
      <c r="T279" s="270"/>
      <c r="U279" s="270"/>
    </row>
    <row r="280" spans="3:21">
      <c r="C280" s="270"/>
      <c r="D280" s="270"/>
      <c r="E280" s="270"/>
      <c r="F280" s="270"/>
      <c r="G280" s="270"/>
      <c r="H280" s="270"/>
      <c r="I280" s="270"/>
      <c r="J280" s="270"/>
      <c r="K280" s="270"/>
      <c r="L280" s="270"/>
      <c r="M280" s="270"/>
      <c r="N280" s="270"/>
      <c r="O280" s="270"/>
      <c r="P280" s="270"/>
      <c r="Q280" s="270"/>
      <c r="R280" s="270"/>
      <c r="S280" s="270"/>
      <c r="T280" s="270"/>
      <c r="U280" s="270"/>
    </row>
    <row r="281" spans="3:21">
      <c r="C281" s="270"/>
      <c r="D281" s="270"/>
      <c r="E281" s="270"/>
      <c r="F281" s="270"/>
      <c r="G281" s="270"/>
      <c r="H281" s="270"/>
      <c r="I281" s="270"/>
      <c r="J281" s="270"/>
      <c r="K281" s="270"/>
      <c r="L281" s="270"/>
      <c r="M281" s="270"/>
      <c r="N281" s="270"/>
      <c r="O281" s="270"/>
      <c r="P281" s="270"/>
      <c r="Q281" s="270"/>
      <c r="R281" s="270"/>
      <c r="S281" s="270"/>
      <c r="T281" s="270"/>
      <c r="U281" s="270"/>
    </row>
    <row r="282" spans="3:21">
      <c r="C282" s="270"/>
      <c r="D282" s="270"/>
      <c r="E282" s="270"/>
      <c r="F282" s="270"/>
      <c r="G282" s="270"/>
      <c r="H282" s="270"/>
      <c r="I282" s="270"/>
      <c r="J282" s="270"/>
      <c r="K282" s="270"/>
      <c r="L282" s="270"/>
      <c r="M282" s="270"/>
      <c r="N282" s="270"/>
      <c r="O282" s="270"/>
      <c r="P282" s="270"/>
      <c r="Q282" s="270"/>
      <c r="R282" s="270"/>
      <c r="S282" s="270"/>
      <c r="T282" s="270"/>
      <c r="U282" s="270"/>
    </row>
    <row r="283" spans="3:21">
      <c r="C283" s="270"/>
      <c r="D283" s="270"/>
      <c r="E283" s="270"/>
      <c r="F283" s="270"/>
      <c r="G283" s="270"/>
      <c r="H283" s="270"/>
      <c r="I283" s="270"/>
      <c r="J283" s="270"/>
      <c r="K283" s="270"/>
      <c r="L283" s="270"/>
      <c r="M283" s="270"/>
      <c r="N283" s="270"/>
      <c r="O283" s="270"/>
      <c r="P283" s="270"/>
      <c r="Q283" s="270"/>
      <c r="R283" s="270"/>
      <c r="S283" s="270"/>
      <c r="T283" s="270"/>
      <c r="U283" s="270"/>
    </row>
    <row r="284" spans="3:21">
      <c r="C284" s="270"/>
      <c r="D284" s="270"/>
      <c r="E284" s="270"/>
      <c r="F284" s="270"/>
      <c r="G284" s="270"/>
      <c r="H284" s="270"/>
      <c r="I284" s="270"/>
      <c r="J284" s="270"/>
      <c r="K284" s="270"/>
      <c r="L284" s="270"/>
      <c r="M284" s="270"/>
      <c r="N284" s="270"/>
      <c r="O284" s="270"/>
      <c r="P284" s="270"/>
      <c r="Q284" s="270"/>
      <c r="R284" s="270"/>
      <c r="S284" s="270"/>
      <c r="T284" s="270"/>
      <c r="U284" s="270"/>
    </row>
    <row r="285" spans="3:21">
      <c r="C285" s="270"/>
      <c r="D285" s="270"/>
      <c r="E285" s="270"/>
      <c r="F285" s="270"/>
      <c r="G285" s="270"/>
      <c r="H285" s="270"/>
      <c r="I285" s="270"/>
      <c r="J285" s="270"/>
      <c r="K285" s="270"/>
      <c r="L285" s="270"/>
      <c r="M285" s="270"/>
      <c r="N285" s="270"/>
      <c r="O285" s="270"/>
      <c r="P285" s="270"/>
      <c r="Q285" s="270"/>
      <c r="R285" s="270"/>
      <c r="S285" s="270"/>
      <c r="T285" s="270"/>
      <c r="U285" s="270"/>
    </row>
    <row r="286" spans="3:21">
      <c r="C286" s="270"/>
      <c r="D286" s="270"/>
      <c r="E286" s="270"/>
      <c r="F286" s="270"/>
      <c r="G286" s="270"/>
      <c r="H286" s="270"/>
      <c r="I286" s="270"/>
      <c r="J286" s="270"/>
      <c r="K286" s="270"/>
      <c r="L286" s="270"/>
      <c r="M286" s="270"/>
      <c r="N286" s="270"/>
      <c r="O286" s="270"/>
      <c r="P286" s="270"/>
      <c r="Q286" s="270"/>
      <c r="R286" s="270"/>
      <c r="S286" s="270"/>
      <c r="T286" s="270"/>
      <c r="U286" s="270"/>
    </row>
    <row r="287" spans="3:21">
      <c r="C287" s="270"/>
      <c r="D287" s="270"/>
      <c r="E287" s="270"/>
      <c r="F287" s="270"/>
      <c r="G287" s="270"/>
      <c r="H287" s="270"/>
      <c r="I287" s="270"/>
      <c r="J287" s="270"/>
      <c r="K287" s="270"/>
      <c r="L287" s="270"/>
      <c r="M287" s="270"/>
      <c r="N287" s="270"/>
      <c r="O287" s="270"/>
      <c r="P287" s="270"/>
      <c r="Q287" s="270"/>
      <c r="R287" s="270"/>
      <c r="S287" s="270"/>
      <c r="T287" s="270"/>
      <c r="U287" s="270"/>
    </row>
    <row r="288" spans="3:21">
      <c r="C288" s="270"/>
      <c r="D288" s="270"/>
      <c r="E288" s="270"/>
      <c r="F288" s="270"/>
      <c r="G288" s="270"/>
      <c r="H288" s="270"/>
      <c r="I288" s="270"/>
      <c r="J288" s="270"/>
      <c r="K288" s="270"/>
      <c r="L288" s="270"/>
      <c r="M288" s="270"/>
      <c r="N288" s="270"/>
      <c r="O288" s="270"/>
      <c r="P288" s="270"/>
      <c r="Q288" s="270"/>
      <c r="R288" s="270"/>
      <c r="S288" s="270"/>
      <c r="T288" s="270"/>
      <c r="U288" s="270"/>
    </row>
    <row r="289" spans="3:21">
      <c r="C289" s="270"/>
      <c r="D289" s="270"/>
      <c r="E289" s="270"/>
      <c r="F289" s="270"/>
      <c r="G289" s="270"/>
      <c r="H289" s="270"/>
      <c r="I289" s="270"/>
      <c r="J289" s="270"/>
      <c r="K289" s="270"/>
      <c r="L289" s="270"/>
      <c r="M289" s="270"/>
      <c r="N289" s="270"/>
      <c r="O289" s="270"/>
      <c r="P289" s="270"/>
      <c r="Q289" s="270"/>
      <c r="R289" s="270"/>
      <c r="S289" s="270"/>
      <c r="T289" s="270"/>
      <c r="U289" s="270"/>
    </row>
    <row r="290" spans="3:21">
      <c r="C290" s="270"/>
      <c r="D290" s="270"/>
      <c r="E290" s="270"/>
      <c r="F290" s="270"/>
      <c r="G290" s="270"/>
      <c r="H290" s="270"/>
      <c r="I290" s="270"/>
      <c r="J290" s="270"/>
      <c r="K290" s="270"/>
      <c r="L290" s="270"/>
      <c r="M290" s="270"/>
      <c r="N290" s="270"/>
      <c r="O290" s="270"/>
      <c r="P290" s="270"/>
      <c r="Q290" s="270"/>
      <c r="R290" s="270"/>
      <c r="S290" s="270"/>
      <c r="T290" s="270"/>
      <c r="U290" s="270"/>
    </row>
    <row r="291" spans="3:21">
      <c r="C291" s="270"/>
      <c r="D291" s="270"/>
      <c r="E291" s="270"/>
      <c r="F291" s="270"/>
      <c r="G291" s="270"/>
      <c r="H291" s="270"/>
      <c r="I291" s="270"/>
      <c r="J291" s="270"/>
      <c r="K291" s="270"/>
      <c r="L291" s="270"/>
      <c r="M291" s="270"/>
      <c r="N291" s="270"/>
      <c r="O291" s="270"/>
      <c r="P291" s="270"/>
      <c r="Q291" s="270"/>
      <c r="R291" s="270"/>
      <c r="S291" s="270"/>
      <c r="T291" s="270"/>
      <c r="U291" s="270"/>
    </row>
    <row r="292" spans="3:21">
      <c r="C292" s="270"/>
      <c r="D292" s="270"/>
      <c r="E292" s="270"/>
      <c r="F292" s="270"/>
      <c r="G292" s="270"/>
      <c r="H292" s="270"/>
      <c r="I292" s="270"/>
      <c r="J292" s="270"/>
      <c r="K292" s="270"/>
      <c r="L292" s="270"/>
      <c r="M292" s="270"/>
      <c r="N292" s="270"/>
      <c r="O292" s="270"/>
      <c r="P292" s="270"/>
      <c r="Q292" s="270"/>
      <c r="R292" s="270"/>
      <c r="S292" s="270"/>
      <c r="T292" s="270"/>
      <c r="U292" s="270"/>
    </row>
    <row r="293" spans="3:21">
      <c r="C293" s="270"/>
      <c r="D293" s="270"/>
      <c r="E293" s="270"/>
      <c r="F293" s="270"/>
      <c r="G293" s="270"/>
      <c r="H293" s="270"/>
      <c r="I293" s="270"/>
      <c r="J293" s="270"/>
      <c r="K293" s="270"/>
      <c r="L293" s="270"/>
      <c r="M293" s="270"/>
      <c r="N293" s="270"/>
      <c r="O293" s="270"/>
      <c r="P293" s="270"/>
      <c r="Q293" s="270"/>
      <c r="R293" s="270"/>
      <c r="S293" s="270"/>
      <c r="T293" s="270"/>
      <c r="U293" s="270"/>
    </row>
    <row r="294" spans="3:21">
      <c r="C294" s="270"/>
      <c r="D294" s="270"/>
      <c r="E294" s="270"/>
      <c r="F294" s="270"/>
      <c r="G294" s="270"/>
      <c r="H294" s="270"/>
      <c r="I294" s="270"/>
      <c r="J294" s="270"/>
      <c r="K294" s="270"/>
      <c r="L294" s="270"/>
      <c r="M294" s="270"/>
      <c r="N294" s="270"/>
      <c r="O294" s="270"/>
      <c r="P294" s="270"/>
      <c r="Q294" s="270"/>
      <c r="R294" s="270"/>
      <c r="S294" s="270"/>
      <c r="T294" s="270"/>
      <c r="U294" s="270"/>
    </row>
    <row r="295" spans="3:21">
      <c r="C295" s="270"/>
      <c r="D295" s="270"/>
      <c r="E295" s="270"/>
      <c r="F295" s="270"/>
      <c r="G295" s="270"/>
      <c r="H295" s="270"/>
      <c r="I295" s="270"/>
      <c r="J295" s="270"/>
      <c r="K295" s="270"/>
      <c r="L295" s="270"/>
      <c r="M295" s="270"/>
      <c r="N295" s="270"/>
      <c r="O295" s="270"/>
      <c r="P295" s="270"/>
      <c r="Q295" s="270"/>
      <c r="R295" s="270"/>
      <c r="S295" s="270"/>
      <c r="T295" s="270"/>
      <c r="U295" s="270"/>
    </row>
    <row r="296" spans="3:21">
      <c r="C296" s="270"/>
      <c r="D296" s="270"/>
      <c r="E296" s="270"/>
      <c r="F296" s="270"/>
      <c r="G296" s="270"/>
      <c r="H296" s="270"/>
      <c r="I296" s="270"/>
      <c r="J296" s="270"/>
      <c r="K296" s="270"/>
      <c r="L296" s="270"/>
      <c r="M296" s="270"/>
      <c r="N296" s="270"/>
      <c r="O296" s="270"/>
      <c r="P296" s="270"/>
      <c r="Q296" s="270"/>
      <c r="R296" s="270"/>
      <c r="S296" s="270"/>
      <c r="T296" s="270"/>
      <c r="U296" s="270"/>
    </row>
    <row r="297" spans="3:21">
      <c r="C297" s="270"/>
      <c r="D297" s="270"/>
      <c r="E297" s="270"/>
      <c r="F297" s="270"/>
      <c r="G297" s="270"/>
      <c r="H297" s="270"/>
      <c r="I297" s="270"/>
      <c r="J297" s="270"/>
      <c r="K297" s="270"/>
      <c r="L297" s="270"/>
      <c r="M297" s="270"/>
      <c r="N297" s="270"/>
      <c r="O297" s="270"/>
      <c r="P297" s="270"/>
      <c r="Q297" s="270"/>
      <c r="R297" s="270"/>
      <c r="S297" s="270"/>
      <c r="T297" s="270"/>
      <c r="U297" s="270"/>
    </row>
    <row r="298" spans="3:21">
      <c r="C298" s="270"/>
      <c r="D298" s="270"/>
      <c r="E298" s="270"/>
      <c r="F298" s="270"/>
      <c r="G298" s="270"/>
      <c r="H298" s="270"/>
      <c r="I298" s="270"/>
      <c r="J298" s="270"/>
      <c r="K298" s="270"/>
      <c r="L298" s="270"/>
      <c r="M298" s="270"/>
      <c r="N298" s="270"/>
      <c r="O298" s="270"/>
      <c r="P298" s="270"/>
      <c r="Q298" s="270"/>
      <c r="R298" s="270"/>
      <c r="S298" s="270"/>
      <c r="T298" s="270"/>
      <c r="U298" s="270"/>
    </row>
    <row r="299" spans="3:21">
      <c r="C299" s="270"/>
      <c r="D299" s="270"/>
      <c r="E299" s="270"/>
      <c r="F299" s="270"/>
      <c r="G299" s="270"/>
      <c r="H299" s="270"/>
      <c r="I299" s="270"/>
      <c r="J299" s="270"/>
      <c r="K299" s="270"/>
      <c r="L299" s="270"/>
      <c r="M299" s="270"/>
      <c r="N299" s="270"/>
      <c r="O299" s="270"/>
      <c r="P299" s="270"/>
      <c r="Q299" s="270"/>
      <c r="R299" s="270"/>
      <c r="S299" s="270"/>
      <c r="T299" s="270"/>
      <c r="U299" s="270"/>
    </row>
    <row r="300" spans="3:21">
      <c r="C300" s="270"/>
      <c r="D300" s="270"/>
      <c r="E300" s="270"/>
      <c r="F300" s="270"/>
      <c r="G300" s="270"/>
      <c r="H300" s="270"/>
      <c r="I300" s="270"/>
      <c r="J300" s="270"/>
      <c r="K300" s="270"/>
      <c r="L300" s="270"/>
      <c r="M300" s="270"/>
      <c r="N300" s="270"/>
      <c r="O300" s="270"/>
      <c r="Q300" s="270"/>
      <c r="R300" s="270"/>
      <c r="S300" s="270"/>
      <c r="T300" s="270"/>
      <c r="U300" s="270"/>
    </row>
    <row r="301" spans="3:21">
      <c r="C301" s="270"/>
      <c r="D301" s="270"/>
      <c r="E301" s="270"/>
      <c r="F301" s="270"/>
      <c r="G301" s="270"/>
      <c r="H301" s="270"/>
      <c r="I301" s="270"/>
      <c r="J301" s="270"/>
      <c r="K301" s="270"/>
      <c r="L301" s="270"/>
      <c r="M301" s="270"/>
      <c r="N301" s="270"/>
    </row>
    <row r="302" spans="3:21">
      <c r="C302" s="270"/>
      <c r="D302" s="270"/>
      <c r="E302" s="270"/>
      <c r="F302" s="270"/>
      <c r="G302" s="270"/>
      <c r="H302" s="270"/>
      <c r="I302" s="270"/>
      <c r="J302" s="270"/>
      <c r="K302" s="270"/>
      <c r="L302" s="270"/>
      <c r="M302" s="270"/>
      <c r="N302" s="270"/>
    </row>
    <row r="303" spans="3:21">
      <c r="C303" s="270"/>
      <c r="D303" s="270"/>
      <c r="E303" s="270"/>
      <c r="F303" s="270"/>
      <c r="G303" s="270"/>
      <c r="H303" s="270"/>
      <c r="I303" s="270"/>
      <c r="J303" s="270"/>
      <c r="K303" s="270"/>
      <c r="L303" s="270"/>
      <c r="M303" s="270"/>
      <c r="N303" s="270"/>
    </row>
    <row r="304" spans="3:21">
      <c r="C304" s="270"/>
      <c r="D304" s="270"/>
      <c r="E304" s="270"/>
      <c r="F304" s="270"/>
      <c r="G304" s="270"/>
      <c r="H304" s="270"/>
      <c r="I304" s="270"/>
      <c r="J304" s="270"/>
      <c r="K304" s="270"/>
      <c r="L304" s="270"/>
      <c r="M304" s="270"/>
      <c r="N304" s="270"/>
    </row>
    <row r="305" spans="3:14">
      <c r="C305" s="270"/>
      <c r="D305" s="270"/>
      <c r="E305" s="270"/>
      <c r="F305" s="270"/>
      <c r="G305" s="270"/>
      <c r="H305" s="270"/>
      <c r="I305" s="270"/>
      <c r="J305" s="270"/>
      <c r="K305" s="270"/>
      <c r="L305" s="270"/>
      <c r="M305" s="270"/>
      <c r="N305" s="270"/>
    </row>
    <row r="306" spans="3:14">
      <c r="C306" s="270"/>
      <c r="D306" s="270"/>
      <c r="E306" s="270"/>
      <c r="F306" s="270"/>
      <c r="G306" s="270"/>
      <c r="H306" s="270"/>
      <c r="I306" s="270"/>
      <c r="J306" s="270"/>
      <c r="K306" s="270"/>
      <c r="L306" s="270"/>
      <c r="M306" s="270"/>
      <c r="N306" s="270"/>
    </row>
    <row r="307" spans="3:14">
      <c r="C307" s="270"/>
      <c r="D307" s="270"/>
      <c r="E307" s="270"/>
      <c r="F307" s="270"/>
      <c r="G307" s="270"/>
      <c r="H307" s="270"/>
      <c r="I307" s="270"/>
      <c r="J307" s="270"/>
      <c r="K307" s="270"/>
      <c r="L307" s="270"/>
      <c r="M307" s="270"/>
      <c r="N307" s="270"/>
    </row>
    <row r="308" spans="3:14">
      <c r="C308" s="270"/>
      <c r="D308" s="270"/>
      <c r="E308" s="270"/>
      <c r="F308" s="270"/>
      <c r="G308" s="270"/>
      <c r="H308" s="270"/>
      <c r="I308" s="270"/>
      <c r="J308" s="270"/>
      <c r="K308" s="270"/>
      <c r="L308" s="270"/>
      <c r="M308" s="270"/>
      <c r="N308" s="270"/>
    </row>
  </sheetData>
  <mergeCells count="8">
    <mergeCell ref="C108:N108"/>
    <mergeCell ref="C109:N109"/>
    <mergeCell ref="C102:N102"/>
    <mergeCell ref="C103:N103"/>
    <mergeCell ref="C104:N104"/>
    <mergeCell ref="C105:N105"/>
    <mergeCell ref="C106:N106"/>
    <mergeCell ref="C107:N107"/>
  </mergeCells>
  <pageMargins left="0.7" right="0.7" top="0.75" bottom="0.75" header="0.3" footer="0.3"/>
  <pageSetup scale="48" fitToHeight="2" orientation="landscape" r:id="rId1"/>
  <rowBreaks count="1" manualBreakCount="1">
    <brk id="60"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U308"/>
  <sheetViews>
    <sheetView showGridLines="0" topLeftCell="F70" zoomScaleNormal="100" workbookViewId="0">
      <selection activeCell="P97" sqref="P97"/>
    </sheetView>
  </sheetViews>
  <sheetFormatPr defaultRowHeight="15"/>
  <cols>
    <col min="1" max="1" width="6.75" style="253" customWidth="1"/>
    <col min="2" max="2" width="1.625" style="253" customWidth="1"/>
    <col min="3" max="3" width="44" style="253" customWidth="1"/>
    <col min="4" max="4" width="13.5" style="253" customWidth="1"/>
    <col min="5" max="5" width="16.25" style="253" customWidth="1"/>
    <col min="6" max="6" width="13.375" style="253" customWidth="1"/>
    <col min="7" max="7" width="18.625" style="253" customWidth="1"/>
    <col min="8" max="8" width="15.625" style="253" customWidth="1"/>
    <col min="9" max="10" width="14.375" style="253" customWidth="1"/>
    <col min="11" max="11" width="15.25" style="253" customWidth="1"/>
    <col min="12" max="12" width="18" style="253" customWidth="1"/>
    <col min="13" max="13" width="14.375" style="253" customWidth="1"/>
    <col min="14" max="14" width="15.625" style="253" customWidth="1"/>
    <col min="15" max="15" width="2.125" style="253" customWidth="1"/>
    <col min="16" max="16" width="14.625" style="253" customWidth="1"/>
    <col min="17" max="16384" width="9" style="253"/>
  </cols>
  <sheetData>
    <row r="1" spans="1:18">
      <c r="N1" s="561"/>
    </row>
    <row r="2" spans="1:18">
      <c r="N2" s="561"/>
    </row>
    <row r="4" spans="1:18">
      <c r="N4" s="561" t="s">
        <v>640</v>
      </c>
    </row>
    <row r="5" spans="1:18">
      <c r="C5" s="222" t="s">
        <v>282</v>
      </c>
      <c r="D5" s="222"/>
      <c r="E5" s="222"/>
      <c r="F5" s="222"/>
      <c r="G5" s="223" t="s">
        <v>283</v>
      </c>
      <c r="H5" s="222"/>
      <c r="I5" s="222"/>
      <c r="J5" s="222"/>
      <c r="K5" s="224"/>
      <c r="M5" s="225"/>
      <c r="N5" s="226" t="s">
        <v>641</v>
      </c>
      <c r="O5" s="225"/>
      <c r="P5" s="289"/>
      <c r="Q5" s="289"/>
      <c r="R5" s="225"/>
    </row>
    <row r="6" spans="1:18">
      <c r="C6" s="222"/>
      <c r="D6" s="222"/>
      <c r="E6" s="228" t="s">
        <v>284</v>
      </c>
      <c r="F6" s="228"/>
      <c r="G6" s="228" t="s">
        <v>285</v>
      </c>
      <c r="H6" s="228"/>
      <c r="I6" s="228"/>
      <c r="J6" s="228"/>
      <c r="K6" s="224"/>
      <c r="M6" s="225"/>
      <c r="N6" s="224"/>
      <c r="O6" s="225"/>
      <c r="P6" s="290"/>
      <c r="Q6" s="289"/>
      <c r="R6" s="225"/>
    </row>
    <row r="7" spans="1:18">
      <c r="C7" s="225"/>
      <c r="D7" s="225"/>
      <c r="E7" s="225"/>
      <c r="F7" s="225"/>
      <c r="G7" s="225"/>
      <c r="H7" s="225"/>
      <c r="I7" s="225"/>
      <c r="J7" s="225"/>
      <c r="K7" s="225"/>
      <c r="M7" s="225"/>
      <c r="N7" s="225" t="s">
        <v>286</v>
      </c>
      <c r="O7" s="225"/>
      <c r="P7" s="289"/>
      <c r="Q7" s="289"/>
      <c r="R7" s="225"/>
    </row>
    <row r="8" spans="1:18">
      <c r="A8" s="292"/>
      <c r="C8" s="225"/>
      <c r="D8" s="225"/>
      <c r="E8" s="225"/>
      <c r="F8" s="229"/>
      <c r="G8" s="230" t="s">
        <v>657</v>
      </c>
      <c r="H8" s="229"/>
      <c r="I8" s="225"/>
      <c r="J8" s="225"/>
      <c r="K8" s="225"/>
      <c r="L8" s="225"/>
      <c r="M8" s="225"/>
      <c r="N8" s="225"/>
      <c r="O8" s="225"/>
      <c r="P8" s="289"/>
      <c r="Q8" s="289"/>
      <c r="R8" s="225"/>
    </row>
    <row r="9" spans="1:18">
      <c r="A9" s="292"/>
      <c r="C9" s="225"/>
      <c r="D9" s="225"/>
      <c r="E9" s="225"/>
      <c r="F9" s="225"/>
      <c r="G9" s="231"/>
      <c r="H9" s="225"/>
      <c r="I9" s="225"/>
      <c r="J9" s="225"/>
      <c r="K9" s="225"/>
      <c r="L9" s="225"/>
      <c r="M9" s="225"/>
      <c r="N9" s="225"/>
      <c r="O9" s="225"/>
      <c r="P9" s="289"/>
      <c r="Q9" s="289"/>
      <c r="R9" s="225"/>
    </row>
    <row r="10" spans="1:18">
      <c r="A10" s="292"/>
      <c r="C10" s="225" t="s">
        <v>288</v>
      </c>
      <c r="D10" s="225"/>
      <c r="E10" s="225"/>
      <c r="F10" s="225"/>
      <c r="G10" s="231"/>
      <c r="H10" s="225"/>
      <c r="I10" s="225"/>
      <c r="J10" s="225"/>
      <c r="K10" s="225"/>
      <c r="L10" s="225"/>
      <c r="M10" s="225"/>
      <c r="N10" s="225"/>
      <c r="O10" s="225"/>
      <c r="P10" s="289"/>
      <c r="Q10" s="289"/>
      <c r="R10" s="225"/>
    </row>
    <row r="11" spans="1:18">
      <c r="A11" s="292"/>
      <c r="C11" s="225"/>
      <c r="D11" s="225"/>
      <c r="E11" s="225"/>
      <c r="F11" s="225"/>
      <c r="G11" s="231"/>
      <c r="L11" s="225"/>
      <c r="M11" s="225"/>
      <c r="N11" s="225"/>
      <c r="O11" s="225"/>
      <c r="P11" s="225"/>
      <c r="Q11" s="225"/>
      <c r="R11" s="225"/>
    </row>
    <row r="12" spans="1:18">
      <c r="A12" s="292"/>
      <c r="C12" s="225"/>
      <c r="D12" s="225"/>
      <c r="E12" s="225"/>
      <c r="F12" s="225"/>
      <c r="G12" s="225"/>
      <c r="L12" s="232"/>
      <c r="M12" s="225"/>
      <c r="N12" s="225"/>
      <c r="O12" s="225"/>
      <c r="P12" s="225"/>
      <c r="Q12" s="225"/>
      <c r="R12" s="225"/>
    </row>
    <row r="13" spans="1:18">
      <c r="C13" s="233" t="s">
        <v>289</v>
      </c>
      <c r="D13" s="233"/>
      <c r="E13" s="233" t="s">
        <v>290</v>
      </c>
      <c r="F13" s="233"/>
      <c r="G13" s="233" t="s">
        <v>291</v>
      </c>
      <c r="L13" s="234" t="s">
        <v>292</v>
      </c>
      <c r="M13" s="228"/>
      <c r="N13" s="234"/>
      <c r="O13" s="228"/>
      <c r="P13" s="234"/>
      <c r="Q13" s="228"/>
      <c r="R13" s="235"/>
    </row>
    <row r="14" spans="1:18" ht="15.75">
      <c r="C14" s="235"/>
      <c r="D14" s="235"/>
      <c r="E14" s="236" t="s">
        <v>293</v>
      </c>
      <c r="F14" s="236"/>
      <c r="G14" s="228"/>
      <c r="M14" s="228"/>
      <c r="O14" s="228"/>
      <c r="P14" s="233"/>
      <c r="Q14" s="233"/>
      <c r="R14" s="235"/>
    </row>
    <row r="15" spans="1:18" ht="15.75">
      <c r="A15" s="292" t="s">
        <v>294</v>
      </c>
      <c r="C15" s="235"/>
      <c r="D15" s="235"/>
      <c r="E15" s="237" t="s">
        <v>295</v>
      </c>
      <c r="F15" s="237"/>
      <c r="G15" s="238" t="s">
        <v>296</v>
      </c>
      <c r="L15" s="238" t="s">
        <v>297</v>
      </c>
      <c r="M15" s="228"/>
      <c r="O15" s="225"/>
      <c r="P15" s="246"/>
      <c r="Q15" s="233"/>
      <c r="R15" s="235"/>
    </row>
    <row r="16" spans="1:18" ht="15.75">
      <c r="A16" s="292" t="s">
        <v>298</v>
      </c>
      <c r="C16" s="239"/>
      <c r="D16" s="239"/>
      <c r="E16" s="228"/>
      <c r="F16" s="228"/>
      <c r="G16" s="228"/>
      <c r="J16" s="590"/>
      <c r="L16" s="228"/>
      <c r="M16" s="228"/>
      <c r="N16" s="228"/>
      <c r="O16" s="225"/>
      <c r="P16" s="228"/>
      <c r="Q16" s="228"/>
      <c r="R16" s="235"/>
    </row>
    <row r="17" spans="1:18" ht="15.75">
      <c r="A17" s="591"/>
      <c r="C17" s="235"/>
      <c r="D17" s="235"/>
      <c r="E17" s="228"/>
      <c r="F17" s="228"/>
      <c r="G17" s="228"/>
      <c r="L17" s="228"/>
      <c r="M17" s="228"/>
      <c r="N17" s="228"/>
      <c r="O17" s="225"/>
      <c r="P17" s="228"/>
      <c r="Q17" s="228"/>
      <c r="R17" s="235"/>
    </row>
    <row r="18" spans="1:18">
      <c r="A18" s="240">
        <v>1</v>
      </c>
      <c r="C18" s="235" t="s">
        <v>299</v>
      </c>
      <c r="D18" s="235"/>
      <c r="E18" s="240" t="s">
        <v>300</v>
      </c>
      <c r="F18" s="240"/>
      <c r="G18" s="241">
        <v>4212677743.4905496</v>
      </c>
      <c r="M18" s="228"/>
      <c r="N18" s="228"/>
      <c r="O18" s="225"/>
      <c r="P18" s="228"/>
      <c r="Q18" s="228"/>
      <c r="R18" s="235"/>
    </row>
    <row r="19" spans="1:18">
      <c r="A19" s="240">
        <v>2</v>
      </c>
      <c r="C19" s="235" t="s">
        <v>301</v>
      </c>
      <c r="D19" s="235"/>
      <c r="E19" s="240" t="s">
        <v>302</v>
      </c>
      <c r="F19" s="240"/>
      <c r="G19" s="241">
        <v>3196737158.6233125</v>
      </c>
      <c r="H19" s="228"/>
      <c r="M19" s="228"/>
      <c r="N19" s="228"/>
      <c r="O19" s="225"/>
      <c r="P19" s="228"/>
      <c r="Q19" s="228"/>
      <c r="R19" s="235"/>
    </row>
    <row r="20" spans="1:18">
      <c r="A20" s="240"/>
      <c r="E20" s="240"/>
      <c r="F20" s="240"/>
      <c r="G20" s="617"/>
      <c r="H20" s="278"/>
      <c r="M20" s="228"/>
      <c r="N20" s="228"/>
      <c r="O20" s="225"/>
      <c r="P20" s="228"/>
      <c r="Q20" s="228"/>
      <c r="R20" s="235"/>
    </row>
    <row r="21" spans="1:18">
      <c r="A21" s="240"/>
      <c r="C21" s="235" t="s">
        <v>303</v>
      </c>
      <c r="D21" s="235"/>
      <c r="E21" s="240"/>
      <c r="F21" s="240"/>
      <c r="G21" s="228"/>
      <c r="L21" s="228"/>
      <c r="M21" s="228"/>
      <c r="N21" s="228"/>
      <c r="O21" s="228"/>
      <c r="P21" s="228"/>
      <c r="Q21" s="228"/>
      <c r="R21" s="235"/>
    </row>
    <row r="22" spans="1:18">
      <c r="A22" s="240">
        <v>3</v>
      </c>
      <c r="C22" s="235" t="s">
        <v>304</v>
      </c>
      <c r="D22" s="235"/>
      <c r="E22" s="240" t="s">
        <v>305</v>
      </c>
      <c r="F22" s="240"/>
      <c r="G22" s="241">
        <v>72062653.856413111</v>
      </c>
      <c r="M22" s="228"/>
      <c r="N22" s="228"/>
      <c r="O22" s="228"/>
      <c r="P22" s="228"/>
      <c r="Q22" s="228"/>
      <c r="R22" s="235"/>
    </row>
    <row r="23" spans="1:18" ht="15.75">
      <c r="A23" s="240">
        <v>4</v>
      </c>
      <c r="C23" s="235" t="s">
        <v>306</v>
      </c>
      <c r="D23" s="235"/>
      <c r="E23" s="240" t="s">
        <v>307</v>
      </c>
      <c r="F23" s="240"/>
      <c r="G23" s="242">
        <f>IF(G22=0,0,G22/G18)</f>
        <v>1.7106139667997317E-2</v>
      </c>
      <c r="L23" s="251">
        <f>G23</f>
        <v>1.7106139667997317E-2</v>
      </c>
      <c r="M23" s="228"/>
      <c r="N23" s="243"/>
      <c r="O23" s="247"/>
      <c r="P23" s="244"/>
      <c r="Q23" s="228"/>
      <c r="R23" s="235"/>
    </row>
    <row r="24" spans="1:18" ht="15.75">
      <c r="A24" s="240"/>
      <c r="C24" s="235"/>
      <c r="D24" s="235"/>
      <c r="E24" s="240"/>
      <c r="F24" s="240"/>
      <c r="G24" s="242"/>
      <c r="L24" s="251"/>
      <c r="M24" s="228"/>
      <c r="N24" s="243"/>
      <c r="O24" s="247"/>
      <c r="P24" s="244"/>
      <c r="Q24" s="228"/>
      <c r="R24" s="235"/>
    </row>
    <row r="25" spans="1:18" ht="15.75">
      <c r="A25" s="234"/>
      <c r="C25" s="235" t="s">
        <v>308</v>
      </c>
      <c r="D25" s="235"/>
      <c r="E25" s="245"/>
      <c r="F25" s="245"/>
      <c r="G25" s="228"/>
      <c r="L25" s="228"/>
      <c r="M25" s="228"/>
      <c r="N25" s="243"/>
      <c r="O25" s="247"/>
      <c r="P25" s="244"/>
      <c r="Q25" s="228"/>
      <c r="R25" s="235"/>
    </row>
    <row r="26" spans="1:18" ht="15.75">
      <c r="A26" s="234" t="s">
        <v>309</v>
      </c>
      <c r="C26" s="235" t="s">
        <v>310</v>
      </c>
      <c r="D26" s="235"/>
      <c r="E26" s="240" t="s">
        <v>311</v>
      </c>
      <c r="F26" s="240"/>
      <c r="G26" s="241">
        <v>6808909.874446284</v>
      </c>
      <c r="M26" s="228"/>
      <c r="N26" s="243"/>
      <c r="O26" s="247"/>
      <c r="P26" s="244"/>
      <c r="Q26" s="228"/>
      <c r="R26" s="235"/>
    </row>
    <row r="27" spans="1:18" ht="15.75">
      <c r="A27" s="234" t="s">
        <v>312</v>
      </c>
      <c r="C27" s="235" t="s">
        <v>313</v>
      </c>
      <c r="D27" s="235"/>
      <c r="E27" s="240" t="s">
        <v>314</v>
      </c>
      <c r="F27" s="240"/>
      <c r="G27" s="242">
        <f>IF(G26=0,0,G26/G18)</f>
        <v>1.6162902289327602E-3</v>
      </c>
      <c r="L27" s="251">
        <f>G27</f>
        <v>1.6162902289327602E-3</v>
      </c>
      <c r="M27" s="228"/>
      <c r="N27" s="243"/>
      <c r="O27" s="247"/>
      <c r="P27" s="244"/>
      <c r="Q27" s="228"/>
      <c r="R27" s="235"/>
    </row>
    <row r="28" spans="1:18" ht="15.75">
      <c r="A28" s="240"/>
      <c r="C28" s="235"/>
      <c r="D28" s="235"/>
      <c r="E28" s="240"/>
      <c r="F28" s="240"/>
      <c r="G28" s="242"/>
      <c r="L28" s="251"/>
      <c r="M28" s="228"/>
      <c r="N28" s="243"/>
      <c r="O28" s="247"/>
      <c r="P28" s="244"/>
      <c r="Q28" s="228"/>
      <c r="R28" s="235"/>
    </row>
    <row r="29" spans="1:18">
      <c r="A29" s="234"/>
      <c r="C29" s="235" t="s">
        <v>315</v>
      </c>
      <c r="D29" s="235"/>
      <c r="E29" s="245"/>
      <c r="F29" s="245"/>
      <c r="G29" s="228"/>
      <c r="L29" s="228"/>
      <c r="M29" s="228"/>
      <c r="N29" s="228"/>
      <c r="O29" s="228"/>
      <c r="P29" s="228"/>
      <c r="Q29" s="228"/>
      <c r="R29" s="235"/>
    </row>
    <row r="30" spans="1:18" ht="15.75">
      <c r="A30" s="234" t="s">
        <v>316</v>
      </c>
      <c r="C30" s="235" t="s">
        <v>317</v>
      </c>
      <c r="D30" s="235"/>
      <c r="E30" s="240" t="s">
        <v>318</v>
      </c>
      <c r="F30" s="240"/>
      <c r="G30" s="241">
        <v>46427289.156390555</v>
      </c>
      <c r="M30" s="228"/>
      <c r="N30" s="246"/>
      <c r="O30" s="228"/>
      <c r="P30" s="240"/>
      <c r="Q30" s="233"/>
      <c r="R30" s="235"/>
    </row>
    <row r="31" spans="1:18" ht="15.75">
      <c r="A31" s="234" t="s">
        <v>319</v>
      </c>
      <c r="C31" s="235" t="s">
        <v>320</v>
      </c>
      <c r="D31" s="235"/>
      <c r="E31" s="240" t="s">
        <v>321</v>
      </c>
      <c r="F31" s="240"/>
      <c r="G31" s="242">
        <f>IF(G30=0,0,G30/G18)</f>
        <v>1.102084991621546E-2</v>
      </c>
      <c r="L31" s="251">
        <f>G31</f>
        <v>1.102084991621546E-2</v>
      </c>
      <c r="M31" s="228"/>
      <c r="N31" s="243"/>
      <c r="O31" s="228"/>
      <c r="P31" s="244"/>
      <c r="Q31" s="233"/>
      <c r="R31" s="235"/>
    </row>
    <row r="32" spans="1:18">
      <c r="A32" s="234"/>
      <c r="C32" s="235"/>
      <c r="D32" s="235"/>
      <c r="E32" s="240"/>
      <c r="F32" s="240"/>
      <c r="G32" s="228"/>
      <c r="L32" s="228"/>
      <c r="M32" s="228"/>
      <c r="Q32" s="228"/>
      <c r="R32" s="235"/>
    </row>
    <row r="33" spans="1:18" ht="15.75">
      <c r="A33" s="592" t="s">
        <v>322</v>
      </c>
      <c r="B33" s="593"/>
      <c r="C33" s="239" t="s">
        <v>323</v>
      </c>
      <c r="D33" s="239"/>
      <c r="E33" s="236" t="s">
        <v>324</v>
      </c>
      <c r="F33" s="236"/>
      <c r="G33" s="247"/>
      <c r="L33" s="248">
        <f>L23+L27+L31</f>
        <v>2.9743279813145538E-2</v>
      </c>
      <c r="M33" s="228"/>
      <c r="Q33" s="228"/>
      <c r="R33" s="235"/>
    </row>
    <row r="34" spans="1:18">
      <c r="A34" s="234"/>
      <c r="C34" s="235"/>
      <c r="D34" s="235"/>
      <c r="E34" s="240"/>
      <c r="F34" s="240"/>
      <c r="G34" s="228"/>
      <c r="L34" s="228"/>
      <c r="M34" s="228"/>
      <c r="N34" s="228"/>
      <c r="O34" s="228"/>
      <c r="P34" s="297"/>
      <c r="Q34" s="228"/>
      <c r="R34" s="235"/>
    </row>
    <row r="35" spans="1:18">
      <c r="A35" s="234"/>
      <c r="B35" s="298"/>
      <c r="C35" s="228" t="s">
        <v>325</v>
      </c>
      <c r="D35" s="228"/>
      <c r="E35" s="240"/>
      <c r="F35" s="240"/>
      <c r="G35" s="228"/>
      <c r="L35" s="228"/>
      <c r="M35" s="249"/>
      <c r="N35" s="298"/>
      <c r="Q35" s="233"/>
      <c r="R35" s="228" t="s">
        <v>284</v>
      </c>
    </row>
    <row r="36" spans="1:18">
      <c r="A36" s="234" t="s">
        <v>326</v>
      </c>
      <c r="B36" s="298"/>
      <c r="C36" s="228" t="s">
        <v>327</v>
      </c>
      <c r="D36" s="228"/>
      <c r="E36" s="240" t="s">
        <v>328</v>
      </c>
      <c r="F36" s="240"/>
      <c r="G36" s="241">
        <v>98129245.605589956</v>
      </c>
      <c r="L36" s="228"/>
      <c r="M36" s="249"/>
      <c r="N36" s="298"/>
      <c r="Q36" s="233"/>
      <c r="R36" s="228"/>
    </row>
    <row r="37" spans="1:18">
      <c r="A37" s="234" t="s">
        <v>329</v>
      </c>
      <c r="B37" s="298"/>
      <c r="C37" s="228" t="s">
        <v>330</v>
      </c>
      <c r="D37" s="228"/>
      <c r="E37" s="240" t="s">
        <v>331</v>
      </c>
      <c r="F37" s="240"/>
      <c r="G37" s="242">
        <f>IF(G36=0,0,G36/G19)</f>
        <v>3.0696688759938494E-2</v>
      </c>
      <c r="L37" s="251">
        <f>G37</f>
        <v>3.0696688759938494E-2</v>
      </c>
      <c r="M37" s="249"/>
      <c r="N37" s="298"/>
      <c r="O37" s="228"/>
      <c r="P37" s="228"/>
      <c r="Q37" s="233"/>
      <c r="R37" s="228"/>
    </row>
    <row r="38" spans="1:18">
      <c r="A38" s="234"/>
      <c r="C38" s="228"/>
      <c r="D38" s="228"/>
      <c r="E38" s="240"/>
      <c r="F38" s="240"/>
      <c r="G38" s="228"/>
      <c r="L38" s="228"/>
      <c r="M38" s="228"/>
      <c r="O38" s="225"/>
      <c r="P38" s="228"/>
      <c r="Q38" s="225"/>
      <c r="R38" s="235"/>
    </row>
    <row r="39" spans="1:18">
      <c r="A39" s="234"/>
      <c r="C39" s="235" t="s">
        <v>332</v>
      </c>
      <c r="D39" s="235"/>
      <c r="E39" s="250"/>
      <c r="F39" s="250"/>
      <c r="M39" s="228"/>
      <c r="O39" s="228"/>
      <c r="P39" s="228"/>
      <c r="Q39" s="228"/>
      <c r="R39" s="235"/>
    </row>
    <row r="40" spans="1:18">
      <c r="A40" s="234" t="s">
        <v>333</v>
      </c>
      <c r="C40" s="235" t="s">
        <v>334</v>
      </c>
      <c r="D40" s="235"/>
      <c r="E40" s="240" t="s">
        <v>335</v>
      </c>
      <c r="F40" s="240"/>
      <c r="G40" s="241">
        <v>198964115.32981703</v>
      </c>
      <c r="L40" s="228"/>
      <c r="M40" s="228"/>
      <c r="O40" s="228"/>
      <c r="P40" s="228"/>
      <c r="Q40" s="228"/>
      <c r="R40" s="235"/>
    </row>
    <row r="41" spans="1:18">
      <c r="A41" s="234" t="s">
        <v>336</v>
      </c>
      <c r="B41" s="298"/>
      <c r="C41" s="228" t="s">
        <v>337</v>
      </c>
      <c r="D41" s="228"/>
      <c r="E41" s="240" t="s">
        <v>338</v>
      </c>
      <c r="F41" s="240"/>
      <c r="G41" s="251">
        <f>IF(G40=0,0,G40/G19)</f>
        <v>6.223974804844503E-2</v>
      </c>
      <c r="L41" s="251">
        <f>G41</f>
        <v>6.223974804844503E-2</v>
      </c>
      <c r="M41" s="228"/>
      <c r="P41" s="272"/>
      <c r="Q41" s="233"/>
      <c r="R41" s="228"/>
    </row>
    <row r="42" spans="1:18">
      <c r="A42" s="234"/>
      <c r="C42" s="235"/>
      <c r="D42" s="235"/>
      <c r="E42" s="240"/>
      <c r="F42" s="240"/>
      <c r="G42" s="228"/>
      <c r="L42" s="228"/>
      <c r="M42" s="228"/>
      <c r="N42" s="250"/>
      <c r="O42" s="228"/>
      <c r="P42" s="228"/>
      <c r="Q42" s="228"/>
      <c r="R42" s="235"/>
    </row>
    <row r="43" spans="1:18" ht="15.75">
      <c r="A43" s="592" t="s">
        <v>339</v>
      </c>
      <c r="B43" s="593"/>
      <c r="C43" s="239" t="s">
        <v>340</v>
      </c>
      <c r="D43" s="239"/>
      <c r="E43" s="236" t="s">
        <v>341</v>
      </c>
      <c r="F43" s="236"/>
      <c r="G43" s="247"/>
      <c r="L43" s="248">
        <f>L37+L41</f>
        <v>9.2936436808383524E-2</v>
      </c>
      <c r="M43" s="228"/>
      <c r="N43" s="250"/>
      <c r="O43" s="228"/>
      <c r="P43" s="228"/>
      <c r="Q43" s="228"/>
      <c r="R43" s="235"/>
    </row>
    <row r="44" spans="1:18">
      <c r="M44" s="252"/>
      <c r="N44" s="252"/>
      <c r="O44" s="228"/>
      <c r="P44" s="228"/>
      <c r="Q44" s="228"/>
      <c r="R44" s="235"/>
    </row>
    <row r="45" spans="1:18">
      <c r="M45" s="252"/>
      <c r="N45" s="252"/>
      <c r="O45" s="228"/>
      <c r="P45" s="228"/>
      <c r="Q45" s="228"/>
      <c r="R45" s="235"/>
    </row>
    <row r="46" spans="1:18">
      <c r="M46" s="252"/>
      <c r="N46" s="252"/>
      <c r="O46" s="228"/>
      <c r="P46" s="228"/>
      <c r="Q46" s="228"/>
      <c r="R46" s="235"/>
    </row>
    <row r="47" spans="1:18">
      <c r="M47" s="225"/>
      <c r="N47" s="225"/>
      <c r="O47" s="235"/>
      <c r="P47" s="235"/>
      <c r="Q47" s="235"/>
      <c r="R47" s="235"/>
    </row>
    <row r="48" spans="1:18">
      <c r="M48" s="228"/>
      <c r="N48" s="228"/>
      <c r="O48" s="228"/>
      <c r="P48" s="225"/>
      <c r="Q48" s="228"/>
      <c r="R48" s="235"/>
    </row>
    <row r="49" spans="1:18" ht="15.75">
      <c r="M49" s="228"/>
      <c r="N49" s="243"/>
      <c r="O49" s="228"/>
      <c r="P49" s="228"/>
      <c r="Q49" s="240"/>
      <c r="R49" s="228"/>
    </row>
    <row r="50" spans="1:18" ht="15.75">
      <c r="M50" s="228"/>
      <c r="N50" s="243"/>
      <c r="O50" s="228"/>
      <c r="P50" s="228"/>
      <c r="Q50" s="240"/>
      <c r="R50" s="228"/>
    </row>
    <row r="51" spans="1:18" ht="15.75">
      <c r="M51" s="228"/>
      <c r="N51" s="243"/>
      <c r="O51" s="228"/>
      <c r="P51" s="228"/>
      <c r="Q51" s="240"/>
      <c r="R51" s="228"/>
    </row>
    <row r="52" spans="1:18" ht="15.75">
      <c r="A52" s="234"/>
      <c r="B52" s="298"/>
      <c r="E52" s="245"/>
      <c r="F52" s="245"/>
      <c r="G52" s="228"/>
      <c r="J52" s="242"/>
      <c r="L52" s="228"/>
      <c r="M52" s="228"/>
      <c r="N52" s="243"/>
      <c r="O52" s="228"/>
      <c r="P52" s="228"/>
      <c r="Q52" s="240"/>
      <c r="R52" s="228"/>
    </row>
    <row r="53" spans="1:18" ht="15.75">
      <c r="A53" s="234"/>
      <c r="B53" s="298"/>
      <c r="E53" s="245"/>
      <c r="F53" s="245"/>
      <c r="G53" s="228"/>
      <c r="J53" s="242"/>
      <c r="L53" s="228"/>
      <c r="M53" s="228"/>
      <c r="N53" s="243"/>
      <c r="O53" s="228"/>
      <c r="P53" s="228"/>
      <c r="Q53" s="240"/>
      <c r="R53" s="228"/>
    </row>
    <row r="54" spans="1:18">
      <c r="A54" s="327"/>
      <c r="C54" s="234"/>
      <c r="D54" s="234"/>
      <c r="E54" s="245"/>
      <c r="F54" s="245"/>
      <c r="G54" s="228"/>
      <c r="J54" s="242"/>
      <c r="M54" s="228"/>
      <c r="N54" s="328"/>
      <c r="O54" s="328"/>
      <c r="P54" s="228"/>
      <c r="Q54" s="240"/>
      <c r="R54" s="228"/>
    </row>
    <row r="55" spans="1:18" ht="15.75">
      <c r="A55" s="327"/>
      <c r="C55" s="234"/>
      <c r="D55" s="234"/>
      <c r="E55" s="245"/>
      <c r="F55" s="245"/>
      <c r="G55" s="228"/>
      <c r="J55" s="242"/>
      <c r="M55" s="228"/>
      <c r="N55" s="243"/>
      <c r="O55" s="328"/>
      <c r="P55" s="228"/>
      <c r="Q55" s="240"/>
      <c r="R55" s="228"/>
    </row>
    <row r="56" spans="1:18" ht="15.75">
      <c r="A56" s="327"/>
      <c r="C56" s="234"/>
      <c r="D56" s="234"/>
      <c r="E56" s="245"/>
      <c r="F56" s="245"/>
      <c r="G56" s="228"/>
      <c r="J56" s="242"/>
      <c r="M56" s="228"/>
      <c r="N56" s="243"/>
      <c r="O56" s="328"/>
      <c r="P56" s="228"/>
      <c r="Q56" s="240"/>
      <c r="R56" s="228"/>
    </row>
    <row r="57" spans="1:18">
      <c r="A57" s="292"/>
      <c r="G57" s="228"/>
      <c r="M57" s="228"/>
      <c r="N57" s="228"/>
      <c r="O57" s="228"/>
      <c r="P57" s="228"/>
      <c r="Q57" s="233"/>
      <c r="R57" s="228" t="s">
        <v>284</v>
      </c>
    </row>
    <row r="58" spans="1:18">
      <c r="N58" s="561"/>
    </row>
    <row r="59" spans="1:18">
      <c r="N59" s="561"/>
    </row>
    <row r="61" spans="1:18">
      <c r="A61" s="292"/>
      <c r="G61" s="228"/>
      <c r="M61" s="228"/>
      <c r="N61" s="561" t="str">
        <f>N4</f>
        <v>Attachment GG - Generic Company</v>
      </c>
      <c r="O61" s="228"/>
      <c r="P61" s="225"/>
      <c r="Q61" s="228"/>
      <c r="R61" s="235"/>
    </row>
    <row r="62" spans="1:18">
      <c r="A62" s="292"/>
      <c r="C62" s="235" t="str">
        <f>C5</f>
        <v>Formula Rate calculation</v>
      </c>
      <c r="D62" s="235"/>
      <c r="G62" s="253" t="str">
        <f>G5</f>
        <v xml:space="preserve">     Rate Formula Template</v>
      </c>
      <c r="M62" s="228"/>
      <c r="N62" s="561" t="str">
        <f>N5</f>
        <v>For  the 12 months ended 12/31/2016</v>
      </c>
      <c r="O62" s="228"/>
      <c r="P62" s="225"/>
      <c r="Q62" s="228"/>
      <c r="R62" s="235"/>
    </row>
    <row r="63" spans="1:18">
      <c r="A63" s="292"/>
      <c r="C63" s="235"/>
      <c r="D63" s="235"/>
      <c r="G63" s="253" t="str">
        <f>G6</f>
        <v xml:space="preserve"> Utilizing Attachment O Data</v>
      </c>
      <c r="L63" s="228"/>
      <c r="M63" s="228"/>
      <c r="O63" s="228"/>
      <c r="P63" s="225"/>
      <c r="Q63" s="228"/>
      <c r="R63" s="235"/>
    </row>
    <row r="64" spans="1:18" ht="14.25" customHeight="1">
      <c r="A64" s="292"/>
      <c r="M64" s="228"/>
      <c r="N64" s="253" t="s">
        <v>342</v>
      </c>
      <c r="O64" s="228"/>
      <c r="P64" s="225"/>
      <c r="Q64" s="228"/>
      <c r="R64" s="235"/>
    </row>
    <row r="65" spans="1:21">
      <c r="A65" s="292"/>
      <c r="G65" s="253" t="str">
        <f>G8</f>
        <v>Northern States Power Companies @ 10.82% ROE</v>
      </c>
      <c r="M65" s="228"/>
      <c r="N65" s="228"/>
      <c r="O65" s="228"/>
      <c r="P65" s="225"/>
      <c r="Q65" s="228"/>
      <c r="R65" s="235"/>
    </row>
    <row r="66" spans="1:21">
      <c r="A66" s="292"/>
      <c r="E66" s="235"/>
      <c r="F66" s="235"/>
      <c r="G66" s="235"/>
      <c r="H66" s="235"/>
      <c r="I66" s="235"/>
      <c r="J66" s="235"/>
      <c r="K66" s="235"/>
      <c r="L66" s="235"/>
      <c r="M66" s="235"/>
      <c r="N66" s="235"/>
      <c r="O66" s="228"/>
      <c r="P66" s="225"/>
      <c r="Q66" s="228"/>
      <c r="R66" s="235"/>
    </row>
    <row r="67" spans="1:21" ht="15.75">
      <c r="A67" s="292"/>
      <c r="E67" s="239" t="s">
        <v>343</v>
      </c>
      <c r="F67" s="239"/>
      <c r="H67" s="225"/>
      <c r="I67" s="225"/>
      <c r="J67" s="225"/>
      <c r="K67" s="225"/>
      <c r="L67" s="225"/>
      <c r="M67" s="228"/>
      <c r="N67" s="228"/>
      <c r="O67" s="228"/>
      <c r="P67" s="225"/>
      <c r="Q67" s="228"/>
      <c r="R67" s="235"/>
    </row>
    <row r="68" spans="1:21" ht="15.75">
      <c r="A68" s="292"/>
      <c r="E68" s="239"/>
      <c r="F68" s="239"/>
      <c r="H68" s="225"/>
      <c r="I68" s="225"/>
      <c r="J68" s="225"/>
      <c r="K68" s="225"/>
      <c r="L68" s="225"/>
      <c r="M68" s="228"/>
      <c r="N68" s="228"/>
      <c r="O68" s="228"/>
      <c r="P68" s="225"/>
      <c r="Q68" s="228"/>
      <c r="R68" s="235"/>
    </row>
    <row r="69" spans="1:21" ht="15.75">
      <c r="A69" s="292"/>
      <c r="C69" s="255">
        <v>-1</v>
      </c>
      <c r="D69" s="255">
        <v>-2</v>
      </c>
      <c r="E69" s="255">
        <v>-3</v>
      </c>
      <c r="F69" s="255">
        <v>-4</v>
      </c>
      <c r="G69" s="255">
        <v>-5</v>
      </c>
      <c r="H69" s="255">
        <v>-6</v>
      </c>
      <c r="I69" s="255">
        <v>-7</v>
      </c>
      <c r="J69" s="255">
        <v>-8</v>
      </c>
      <c r="K69" s="255">
        <v>-9</v>
      </c>
      <c r="L69" s="255">
        <v>-10</v>
      </c>
      <c r="M69" s="255">
        <v>-11</v>
      </c>
      <c r="N69" s="255">
        <v>-12</v>
      </c>
      <c r="O69" s="228"/>
      <c r="P69" s="225"/>
      <c r="Q69" s="228"/>
      <c r="R69" s="235"/>
    </row>
    <row r="70" spans="1:21" ht="63">
      <c r="A70" s="594" t="s">
        <v>344</v>
      </c>
      <c r="B70" s="595"/>
      <c r="C70" s="595" t="s">
        <v>345</v>
      </c>
      <c r="D70" s="596" t="s">
        <v>346</v>
      </c>
      <c r="E70" s="256" t="s">
        <v>347</v>
      </c>
      <c r="F70" s="256" t="s">
        <v>323</v>
      </c>
      <c r="G70" s="597" t="s">
        <v>348</v>
      </c>
      <c r="H70" s="256" t="s">
        <v>349</v>
      </c>
      <c r="I70" s="256" t="s">
        <v>340</v>
      </c>
      <c r="J70" s="597" t="s">
        <v>350</v>
      </c>
      <c r="K70" s="256" t="s">
        <v>351</v>
      </c>
      <c r="L70" s="257" t="s">
        <v>352</v>
      </c>
      <c r="M70" s="258" t="s">
        <v>353</v>
      </c>
      <c r="N70" s="257" t="s">
        <v>354</v>
      </c>
      <c r="O70" s="247"/>
      <c r="P70" s="225"/>
      <c r="Q70" s="228"/>
      <c r="R70" s="235"/>
    </row>
    <row r="71" spans="1:21" ht="46.5" customHeight="1">
      <c r="A71" s="259"/>
      <c r="B71" s="260"/>
      <c r="C71" s="260"/>
      <c r="D71" s="260"/>
      <c r="E71" s="261" t="s">
        <v>355</v>
      </c>
      <c r="F71" s="261" t="s">
        <v>643</v>
      </c>
      <c r="G71" s="262" t="s">
        <v>356</v>
      </c>
      <c r="H71" s="261" t="s">
        <v>357</v>
      </c>
      <c r="I71" s="261" t="s">
        <v>452</v>
      </c>
      <c r="J71" s="262" t="s">
        <v>358</v>
      </c>
      <c r="K71" s="261" t="s">
        <v>359</v>
      </c>
      <c r="L71" s="262" t="s">
        <v>360</v>
      </c>
      <c r="M71" s="263" t="s">
        <v>361</v>
      </c>
      <c r="N71" s="264" t="s">
        <v>362</v>
      </c>
      <c r="O71" s="228"/>
      <c r="P71" s="264" t="s">
        <v>644</v>
      </c>
      <c r="Q71" s="228"/>
      <c r="R71" s="235"/>
    </row>
    <row r="72" spans="1:21" ht="15.75">
      <c r="A72" s="266"/>
      <c r="B72" s="225"/>
      <c r="C72" s="225"/>
      <c r="D72" s="225"/>
      <c r="E72" s="225"/>
      <c r="F72" s="225"/>
      <c r="G72" s="267"/>
      <c r="H72" s="225"/>
      <c r="I72" s="225"/>
      <c r="J72" s="267"/>
      <c r="K72" s="225"/>
      <c r="L72" s="267"/>
      <c r="M72" s="228"/>
      <c r="N72" s="268"/>
      <c r="O72" s="228"/>
      <c r="P72" s="227"/>
      <c r="Q72" s="228"/>
      <c r="R72" s="235"/>
    </row>
    <row r="73" spans="1:21">
      <c r="A73" s="598" t="s">
        <v>363</v>
      </c>
      <c r="C73" s="253" t="s">
        <v>364</v>
      </c>
      <c r="D73" s="253" t="s">
        <v>138</v>
      </c>
      <c r="E73" s="599">
        <f>'Att GG Support'!$C$23</f>
        <v>7072818.700000002</v>
      </c>
      <c r="F73" s="251">
        <f>$L$33</f>
        <v>2.9743279813145538E-2</v>
      </c>
      <c r="G73" s="600">
        <f>E73*F73</f>
        <v>210368.82566174833</v>
      </c>
      <c r="H73" s="599">
        <f>'Att GG Support'!$C$56</f>
        <v>5563572.3200000031</v>
      </c>
      <c r="I73" s="251">
        <f>$L$43</f>
        <v>9.2936436808383524E-2</v>
      </c>
      <c r="J73" s="600">
        <f>H73*I73</f>
        <v>517058.587346552</v>
      </c>
      <c r="K73" s="599">
        <f>'Att GG Support'!$C$61</f>
        <v>185753.40000000002</v>
      </c>
      <c r="L73" s="600">
        <f>G73+J73+K73</f>
        <v>913180.81300830038</v>
      </c>
      <c r="M73" s="642">
        <v>-49755.879999999983</v>
      </c>
      <c r="N73" s="600">
        <f>L73+M73</f>
        <v>863424.93300830037</v>
      </c>
      <c r="O73" s="270"/>
      <c r="P73" s="599">
        <v>884038.97410796024</v>
      </c>
      <c r="Q73" s="270"/>
      <c r="R73" s="270"/>
      <c r="S73" s="270"/>
      <c r="T73" s="270"/>
      <c r="U73" s="270"/>
    </row>
    <row r="74" spans="1:21">
      <c r="A74" s="598" t="s">
        <v>365</v>
      </c>
      <c r="C74" s="253" t="s">
        <v>366</v>
      </c>
      <c r="D74" s="253" t="s">
        <v>139</v>
      </c>
      <c r="E74" s="599">
        <f>'Att GG Support'!D$23</f>
        <v>3487897.5099999984</v>
      </c>
      <c r="F74" s="251">
        <f>$L$33</f>
        <v>2.9743279813145538E-2</v>
      </c>
      <c r="G74" s="600">
        <f>E74*F74</f>
        <v>103741.51159950354</v>
      </c>
      <c r="H74" s="599">
        <f>'Att GG Support'!$D$56</f>
        <v>2751259.9299999992</v>
      </c>
      <c r="I74" s="251">
        <f>$L$43</f>
        <v>9.2936436808383524E-2</v>
      </c>
      <c r="J74" s="600">
        <f>H74*I74</f>
        <v>255692.2946278826</v>
      </c>
      <c r="K74" s="599">
        <f>'Att GG Support'!$D$61</f>
        <v>91602.60000000002</v>
      </c>
      <c r="L74" s="600">
        <f>G74+J74+K74</f>
        <v>451036.40622738615</v>
      </c>
      <c r="M74" s="642">
        <v>-24554.639999999985</v>
      </c>
      <c r="N74" s="600">
        <f>L74+M74</f>
        <v>426481.76622738619</v>
      </c>
      <c r="O74" s="270"/>
      <c r="P74" s="599">
        <v>436667.53980351961</v>
      </c>
      <c r="Q74" s="270"/>
      <c r="R74" s="270"/>
      <c r="S74" s="270"/>
      <c r="T74" s="270"/>
      <c r="U74" s="270"/>
    </row>
    <row r="75" spans="1:21">
      <c r="A75" s="598" t="s">
        <v>367</v>
      </c>
      <c r="C75" s="253" t="s">
        <v>368</v>
      </c>
      <c r="D75" s="253" t="s">
        <v>140</v>
      </c>
      <c r="E75" s="599">
        <f>'Att GG Support'!E$23</f>
        <v>4462295.25</v>
      </c>
      <c r="F75" s="251">
        <f>$L$33</f>
        <v>2.9743279813145538E-2</v>
      </c>
      <c r="G75" s="600">
        <f>E75*F75</f>
        <v>132723.29622962023</v>
      </c>
      <c r="H75" s="599">
        <f>'Att GG Support'!$E$56</f>
        <v>3812849.2650000006</v>
      </c>
      <c r="I75" s="251">
        <f>$L$43</f>
        <v>9.2936436808383524E-2</v>
      </c>
      <c r="J75" s="600">
        <f>H75*I75</f>
        <v>354352.62477656413</v>
      </c>
      <c r="K75" s="599">
        <f>'Att GG Support'!$E$61</f>
        <v>117193.25999999997</v>
      </c>
      <c r="L75" s="600">
        <f>G75+J75+K75</f>
        <v>604269.18100618431</v>
      </c>
      <c r="M75" s="642">
        <v>-32111.280000000079</v>
      </c>
      <c r="N75" s="600">
        <f>L75+M75</f>
        <v>572157.90100618429</v>
      </c>
      <c r="O75" s="270"/>
      <c r="P75" s="599">
        <v>585962.30286038539</v>
      </c>
      <c r="Q75" s="270"/>
      <c r="R75" s="270"/>
      <c r="S75" s="270"/>
      <c r="T75" s="270"/>
      <c r="U75" s="270"/>
    </row>
    <row r="76" spans="1:21">
      <c r="A76" s="598" t="s">
        <v>369</v>
      </c>
      <c r="C76" s="253" t="s">
        <v>370</v>
      </c>
      <c r="D76" s="253" t="s">
        <v>141</v>
      </c>
      <c r="E76" s="599">
        <f>'Att GG Support'!F$23</f>
        <v>7706681.2699999968</v>
      </c>
      <c r="F76" s="251">
        <f t="shared" ref="F76:F91" si="0">$L$33</f>
        <v>2.9743279813145538E-2</v>
      </c>
      <c r="G76" s="600">
        <f t="shared" ref="G76:G86" si="1">E76*F76</f>
        <v>229221.97744433771</v>
      </c>
      <c r="H76" s="599">
        <f>'Att GG Support'!$F$56</f>
        <v>6585045.0500000017</v>
      </c>
      <c r="I76" s="251">
        <f t="shared" ref="I76:I91" si="2">$L$43</f>
        <v>9.2936436808383524E-2</v>
      </c>
      <c r="J76" s="600">
        <f t="shared" ref="J76:J86" si="3">H76*I76</f>
        <v>611990.62316968385</v>
      </c>
      <c r="K76" s="599">
        <f>'Att GG Support'!$F$61</f>
        <v>202400.51999999993</v>
      </c>
      <c r="L76" s="600">
        <f t="shared" ref="L76:L86" si="4">G76+J76+K76</f>
        <v>1043613.1206140214</v>
      </c>
      <c r="M76" s="642">
        <v>-71182.379999999859</v>
      </c>
      <c r="N76" s="600">
        <f t="shared" ref="N76:N86" si="5">L76+M76</f>
        <v>972430.74061402155</v>
      </c>
      <c r="O76" s="270"/>
      <c r="P76" s="599">
        <v>996271.86328815459</v>
      </c>
      <c r="Q76" s="270"/>
      <c r="R76" s="270"/>
      <c r="S76" s="270"/>
      <c r="T76" s="270"/>
      <c r="U76" s="270"/>
    </row>
    <row r="77" spans="1:21">
      <c r="A77" s="598" t="s">
        <v>371</v>
      </c>
      <c r="C77" s="253" t="s">
        <v>645</v>
      </c>
      <c r="D77" s="253" t="s">
        <v>142</v>
      </c>
      <c r="E77" s="599">
        <f>'Att GG Support'!G$23</f>
        <v>30467969.233377021</v>
      </c>
      <c r="F77" s="251">
        <f t="shared" si="0"/>
        <v>2.9743279813145538E-2</v>
      </c>
      <c r="G77" s="600">
        <f t="shared" si="1"/>
        <v>906217.33424664207</v>
      </c>
      <c r="H77" s="599">
        <f>'Att GG Support'!$G$56</f>
        <v>28182492.266718872</v>
      </c>
      <c r="I77" s="251">
        <f t="shared" si="2"/>
        <v>9.2936436808383524E-2</v>
      </c>
      <c r="J77" s="600">
        <f t="shared" si="3"/>
        <v>2619180.4116486758</v>
      </c>
      <c r="K77" s="599">
        <f>'Att GG Support'!$G$61</f>
        <v>609612.63785692037</v>
      </c>
      <c r="L77" s="600">
        <f t="shared" si="4"/>
        <v>4135010.383752238</v>
      </c>
      <c r="M77" s="642">
        <v>-623527.59000000043</v>
      </c>
      <c r="N77" s="600">
        <f t="shared" si="5"/>
        <v>3511482.7937522377</v>
      </c>
      <c r="O77" s="270"/>
      <c r="P77" s="599">
        <v>3564457.730450741</v>
      </c>
      <c r="Q77" s="270"/>
      <c r="R77" s="270"/>
      <c r="S77" s="270"/>
      <c r="T77" s="270"/>
      <c r="U77" s="270"/>
    </row>
    <row r="78" spans="1:21">
      <c r="A78" s="598" t="s">
        <v>372</v>
      </c>
      <c r="C78" s="253" t="s">
        <v>646</v>
      </c>
      <c r="D78" s="253" t="s">
        <v>275</v>
      </c>
      <c r="E78" s="599">
        <f>'Att GG Support'!H$23</f>
        <v>206727122.71294758</v>
      </c>
      <c r="F78" s="251">
        <f t="shared" si="0"/>
        <v>2.9743279813145538E-2</v>
      </c>
      <c r="G78" s="600">
        <f t="shared" si="1"/>
        <v>6148742.6558176745</v>
      </c>
      <c r="H78" s="599">
        <f>'Att GG Support'!$H$56</f>
        <v>198511057.06782132</v>
      </c>
      <c r="I78" s="251">
        <f t="shared" si="2"/>
        <v>9.2936436808383524E-2</v>
      </c>
      <c r="J78" s="600">
        <f t="shared" si="3"/>
        <v>18448910.31094899</v>
      </c>
      <c r="K78" s="599">
        <f>'Att GG Support'!$H$61</f>
        <v>3983044.0200603409</v>
      </c>
      <c r="L78" s="600">
        <f t="shared" si="4"/>
        <v>28580696.986827005</v>
      </c>
      <c r="M78" s="642">
        <v>-960135.07000000472</v>
      </c>
      <c r="N78" s="600">
        <f t="shared" si="5"/>
        <v>27620561.916827001</v>
      </c>
      <c r="O78" s="270"/>
      <c r="P78" s="599">
        <v>28751670.911714356</v>
      </c>
      <c r="Q78" s="270"/>
      <c r="R78" s="270"/>
      <c r="S78" s="270"/>
      <c r="T78" s="270"/>
      <c r="U78" s="270"/>
    </row>
    <row r="79" spans="1:21">
      <c r="A79" s="598" t="s">
        <v>373</v>
      </c>
      <c r="C79" s="253" t="s">
        <v>647</v>
      </c>
      <c r="D79" s="253" t="s">
        <v>143</v>
      </c>
      <c r="E79" s="599">
        <f>'Att GG Support'!I$23</f>
        <v>218737640.2600795</v>
      </c>
      <c r="F79" s="251">
        <f t="shared" si="0"/>
        <v>2.9743279813145538E-2</v>
      </c>
      <c r="G79" s="600">
        <f t="shared" si="1"/>
        <v>6505974.8399227131</v>
      </c>
      <c r="H79" s="599">
        <f>'Att GG Support'!$I$56</f>
        <v>214659930.91432735</v>
      </c>
      <c r="I79" s="251">
        <f t="shared" si="2"/>
        <v>9.2936436808383524E-2</v>
      </c>
      <c r="J79" s="600">
        <f t="shared" si="3"/>
        <v>19949729.104711358</v>
      </c>
      <c r="K79" s="599">
        <f>'Att GG Support'!$I$61</f>
        <v>4288370.5046604332</v>
      </c>
      <c r="L79" s="600">
        <f t="shared" si="4"/>
        <v>30744074.449294508</v>
      </c>
      <c r="M79" s="642">
        <v>-1658289.0699999977</v>
      </c>
      <c r="N79" s="600">
        <f t="shared" si="5"/>
        <v>29085785.379294511</v>
      </c>
      <c r="O79" s="270"/>
      <c r="P79" s="599">
        <v>30918450.406543352</v>
      </c>
      <c r="Q79" s="270"/>
      <c r="R79" s="270"/>
      <c r="S79" s="270"/>
      <c r="T79" s="270"/>
      <c r="U79" s="270"/>
    </row>
    <row r="80" spans="1:21">
      <c r="A80" s="598" t="s">
        <v>374</v>
      </c>
      <c r="C80" s="253" t="s">
        <v>375</v>
      </c>
      <c r="D80" s="253" t="s">
        <v>144</v>
      </c>
      <c r="E80" s="599">
        <f>'Att GG Support'!J$23</f>
        <v>468201.81000000023</v>
      </c>
      <c r="F80" s="251">
        <f t="shared" si="0"/>
        <v>2.9743279813145538E-2</v>
      </c>
      <c r="G80" s="600">
        <f t="shared" si="1"/>
        <v>13925.85744385121</v>
      </c>
      <c r="H80" s="599">
        <f>'Att GG Support'!$J$56</f>
        <v>400236.72000000009</v>
      </c>
      <c r="I80" s="251">
        <f t="shared" si="2"/>
        <v>9.2936436808383524E-2</v>
      </c>
      <c r="J80" s="600">
        <f t="shared" si="3"/>
        <v>37196.574636674697</v>
      </c>
      <c r="K80" s="599">
        <f>'Att GG Support'!$J$61</f>
        <v>12296.400000000003</v>
      </c>
      <c r="L80" s="600">
        <f t="shared" si="4"/>
        <v>63418.832080525906</v>
      </c>
      <c r="M80" s="642">
        <v>-3384.4800000000041</v>
      </c>
      <c r="N80" s="600">
        <f t="shared" si="5"/>
        <v>60034.352080525903</v>
      </c>
      <c r="O80" s="270"/>
      <c r="P80" s="599">
        <v>61483.232986674644</v>
      </c>
      <c r="Q80" s="270"/>
      <c r="R80" s="270"/>
      <c r="S80" s="270"/>
      <c r="T80" s="270"/>
      <c r="U80" s="270"/>
    </row>
    <row r="81" spans="1:21">
      <c r="A81" s="598" t="s">
        <v>376</v>
      </c>
      <c r="C81" s="253" t="s">
        <v>146</v>
      </c>
      <c r="D81" s="253" t="s">
        <v>145</v>
      </c>
      <c r="E81" s="599">
        <f>'Att GG Support'!K$23</f>
        <v>127736.33000000006</v>
      </c>
      <c r="F81" s="251">
        <f t="shared" si="0"/>
        <v>2.9743279813145538E-2</v>
      </c>
      <c r="G81" s="600">
        <f t="shared" si="1"/>
        <v>3799.2974054942983</v>
      </c>
      <c r="H81" s="599">
        <f>'Att GG Support'!$K$56</f>
        <v>104718.29000000001</v>
      </c>
      <c r="I81" s="251">
        <f t="shared" si="2"/>
        <v>9.2936436808383524E-2</v>
      </c>
      <c r="J81" s="600">
        <f t="shared" si="3"/>
        <v>9732.1447412669804</v>
      </c>
      <c r="K81" s="599">
        <f>'Att GG Support'!$K$61</f>
        <v>3354.72</v>
      </c>
      <c r="L81" s="600">
        <f t="shared" si="4"/>
        <v>16886.162146761279</v>
      </c>
      <c r="M81" s="642">
        <v>-907.10999999999899</v>
      </c>
      <c r="N81" s="600">
        <f t="shared" si="5"/>
        <v>15979.05214676128</v>
      </c>
      <c r="O81" s="270"/>
      <c r="P81" s="599">
        <v>16362.531053428314</v>
      </c>
      <c r="Q81" s="270"/>
      <c r="R81" s="270"/>
      <c r="S81" s="270"/>
      <c r="T81" s="270"/>
      <c r="U81" s="270"/>
    </row>
    <row r="82" spans="1:21">
      <c r="A82" s="598" t="s">
        <v>377</v>
      </c>
      <c r="C82" s="253" t="s">
        <v>378</v>
      </c>
      <c r="D82" s="253" t="s">
        <v>181</v>
      </c>
      <c r="E82" s="599">
        <f>'Att GG Support'!L$23</f>
        <v>47486.62999999999</v>
      </c>
      <c r="F82" s="251">
        <f t="shared" si="0"/>
        <v>2.9743279813145538E-2</v>
      </c>
      <c r="G82" s="600">
        <f t="shared" si="1"/>
        <v>1412.408123473311</v>
      </c>
      <c r="H82" s="599">
        <f>'Att GG Support'!$L$56</f>
        <v>36876.13999999997</v>
      </c>
      <c r="I82" s="251">
        <f t="shared" si="2"/>
        <v>9.2936436808383524E-2</v>
      </c>
      <c r="J82" s="600">
        <f t="shared" si="3"/>
        <v>3427.1370548471014</v>
      </c>
      <c r="K82" s="599">
        <f>'Att GG Support'!$L$61</f>
        <v>1118.04</v>
      </c>
      <c r="L82" s="600">
        <f t="shared" si="4"/>
        <v>5957.5851783204125</v>
      </c>
      <c r="M82" s="642">
        <v>-505.65000000000043</v>
      </c>
      <c r="N82" s="600">
        <f t="shared" si="5"/>
        <v>5451.935178320412</v>
      </c>
      <c r="O82" s="270"/>
      <c r="P82" s="599">
        <v>5589.0771816368506</v>
      </c>
      <c r="Q82" s="270"/>
      <c r="R82" s="270"/>
      <c r="S82" s="270"/>
      <c r="T82" s="270"/>
      <c r="U82" s="270"/>
    </row>
    <row r="83" spans="1:21">
      <c r="A83" s="598" t="s">
        <v>379</v>
      </c>
      <c r="C83" s="253" t="s">
        <v>380</v>
      </c>
      <c r="D83" s="253" t="s">
        <v>182</v>
      </c>
      <c r="E83" s="599">
        <f>'Att GG Support'!M$23</f>
        <v>230828.43999999997</v>
      </c>
      <c r="F83" s="251">
        <f t="shared" si="0"/>
        <v>2.9743279813145538E-2</v>
      </c>
      <c r="G83" s="600">
        <f t="shared" si="1"/>
        <v>6865.5948797518749</v>
      </c>
      <c r="H83" s="599">
        <f>'Att GG Support'!$M$56</f>
        <v>190308.10999999993</v>
      </c>
      <c r="I83" s="251">
        <f t="shared" si="2"/>
        <v>9.2936436808383524E-2</v>
      </c>
      <c r="J83" s="600">
        <f t="shared" si="3"/>
        <v>17686.557639137893</v>
      </c>
      <c r="K83" s="599">
        <f>'Att GG Support'!$M$61</f>
        <v>4957.2000000000007</v>
      </c>
      <c r="L83" s="600">
        <f t="shared" si="4"/>
        <v>29509.352518889769</v>
      </c>
      <c r="M83" s="642">
        <v>-2483.060000000004</v>
      </c>
      <c r="N83" s="600">
        <f t="shared" si="5"/>
        <v>27026.292518889764</v>
      </c>
      <c r="O83" s="270"/>
      <c r="P83" s="599">
        <v>27722.101794773505</v>
      </c>
      <c r="Q83" s="270"/>
      <c r="R83" s="270"/>
      <c r="S83" s="270"/>
      <c r="T83" s="270"/>
      <c r="U83" s="270"/>
    </row>
    <row r="84" spans="1:21">
      <c r="A84" s="598" t="s">
        <v>381</v>
      </c>
      <c r="C84" s="253" t="s">
        <v>184</v>
      </c>
      <c r="D84" s="253" t="s">
        <v>276</v>
      </c>
      <c r="E84" s="599">
        <f>'Att GG Support'!N$23</f>
        <v>4271587.1000000006</v>
      </c>
      <c r="F84" s="251">
        <f t="shared" si="0"/>
        <v>2.9743279813145538E-2</v>
      </c>
      <c r="G84" s="600">
        <f t="shared" si="1"/>
        <v>127051.0103615229</v>
      </c>
      <c r="H84" s="599">
        <f>'Att GG Support'!$N$56</f>
        <v>3919383.8592617121</v>
      </c>
      <c r="I84" s="251">
        <f t="shared" si="2"/>
        <v>9.2936436808383524E-2</v>
      </c>
      <c r="J84" s="600">
        <f t="shared" si="3"/>
        <v>364253.57036407443</v>
      </c>
      <c r="K84" s="599">
        <f>'Att GG Support'!$N$61</f>
        <v>79739.568751429935</v>
      </c>
      <c r="L84" s="600">
        <f t="shared" si="4"/>
        <v>571044.14947702724</v>
      </c>
      <c r="M84" s="642">
        <v>-89259.260000000126</v>
      </c>
      <c r="N84" s="600">
        <f t="shared" si="5"/>
        <v>481784.88947702711</v>
      </c>
      <c r="O84" s="270"/>
      <c r="P84" s="599">
        <v>495708.23997880914</v>
      </c>
      <c r="Q84" s="270"/>
      <c r="R84" s="270"/>
      <c r="S84" s="270"/>
      <c r="T84" s="270"/>
      <c r="U84" s="270"/>
    </row>
    <row r="85" spans="1:21">
      <c r="A85" s="598" t="s">
        <v>382</v>
      </c>
      <c r="C85" s="253" t="s">
        <v>648</v>
      </c>
      <c r="D85" s="253" t="s">
        <v>277</v>
      </c>
      <c r="E85" s="599">
        <f>'Att GG Support'!O$23</f>
        <v>22200964.091915004</v>
      </c>
      <c r="F85" s="251">
        <f t="shared" si="0"/>
        <v>2.9743279813145538E-2</v>
      </c>
      <c r="G85" s="600">
        <f t="shared" si="1"/>
        <v>660329.48710742453</v>
      </c>
      <c r="H85" s="599">
        <f>'Att GG Support'!$O$56</f>
        <v>20912989.042984292</v>
      </c>
      <c r="I85" s="251">
        <f t="shared" si="2"/>
        <v>9.2936436808383524E-2</v>
      </c>
      <c r="J85" s="600">
        <f t="shared" si="3"/>
        <v>1943578.6846677267</v>
      </c>
      <c r="K85" s="599">
        <f>'Att GG Support'!$O$61</f>
        <v>448607.95164331066</v>
      </c>
      <c r="L85" s="600">
        <f t="shared" si="4"/>
        <v>3052516.1234184615</v>
      </c>
      <c r="M85" s="642">
        <v>-491230.91999999905</v>
      </c>
      <c r="N85" s="600">
        <f t="shared" si="5"/>
        <v>2561285.2034184625</v>
      </c>
      <c r="O85" s="270"/>
      <c r="P85" s="599">
        <v>2647473.4796920242</v>
      </c>
      <c r="Q85" s="270"/>
      <c r="R85" s="270"/>
      <c r="S85" s="270"/>
      <c r="T85" s="270"/>
      <c r="U85" s="270"/>
    </row>
    <row r="86" spans="1:21">
      <c r="A86" s="598" t="s">
        <v>383</v>
      </c>
      <c r="C86" s="253" t="s">
        <v>253</v>
      </c>
      <c r="D86" s="253" t="s">
        <v>279</v>
      </c>
      <c r="E86" s="599">
        <f>'Att GG Support'!P$23</f>
        <v>309681</v>
      </c>
      <c r="F86" s="251">
        <f t="shared" si="0"/>
        <v>2.9743279813145538E-2</v>
      </c>
      <c r="G86" s="600">
        <f t="shared" si="1"/>
        <v>9210.9286358147237</v>
      </c>
      <c r="H86" s="599">
        <f>'Att GG Support'!$P$56</f>
        <v>263802.33499999996</v>
      </c>
      <c r="I86" s="251">
        <f t="shared" si="2"/>
        <v>9.2936436808383524E-2</v>
      </c>
      <c r="J86" s="600">
        <f t="shared" si="3"/>
        <v>24516.849036631516</v>
      </c>
      <c r="K86" s="599">
        <f>'Att GG Support'!$P$61</f>
        <v>8602.2500000000018</v>
      </c>
      <c r="L86" s="600">
        <f t="shared" si="4"/>
        <v>42330.027672446238</v>
      </c>
      <c r="M86" s="642">
        <v>-8993.11</v>
      </c>
      <c r="N86" s="600">
        <f t="shared" si="5"/>
        <v>33336.917672446238</v>
      </c>
      <c r="O86" s="270"/>
      <c r="P86" s="599">
        <v>34292.805512959967</v>
      </c>
      <c r="Q86" s="270"/>
      <c r="R86" s="270"/>
      <c r="S86" s="270"/>
      <c r="T86" s="270"/>
      <c r="U86" s="270"/>
    </row>
    <row r="87" spans="1:21">
      <c r="A87" s="598" t="s">
        <v>384</v>
      </c>
      <c r="C87" s="253" t="s">
        <v>649</v>
      </c>
      <c r="D87" s="601" t="s">
        <v>548</v>
      </c>
      <c r="E87" s="599">
        <f>'Att GG Support'!Q$23</f>
        <v>15310378.909999998</v>
      </c>
      <c r="F87" s="251">
        <f t="shared" si="0"/>
        <v>2.9743279813145538E-2</v>
      </c>
      <c r="G87" s="600">
        <f>E87*F87</f>
        <v>455380.88396541215</v>
      </c>
      <c r="H87" s="599">
        <f>'Att GG Support'!$Q$56</f>
        <v>14751486.975749535</v>
      </c>
      <c r="I87" s="251">
        <f t="shared" si="2"/>
        <v>9.2936436808383524E-2</v>
      </c>
      <c r="J87" s="600">
        <f>H87*I87</f>
        <v>1370950.6371514392</v>
      </c>
      <c r="K87" s="599">
        <f>'Att GG Support'!$Q$61</f>
        <v>319001.15637300047</v>
      </c>
      <c r="L87" s="600">
        <f>G87+J87+K87</f>
        <v>2145332.6774898516</v>
      </c>
      <c r="M87" s="642">
        <v>434461.44000000006</v>
      </c>
      <c r="N87" s="600">
        <f>L87+M87</f>
        <v>2579794.1174898515</v>
      </c>
      <c r="O87" s="270"/>
      <c r="P87" s="599">
        <v>2631562.7031533751</v>
      </c>
      <c r="Q87" s="270"/>
      <c r="R87" s="270"/>
      <c r="S87" s="270"/>
      <c r="T87" s="270"/>
      <c r="U87" s="270"/>
    </row>
    <row r="88" spans="1:21">
      <c r="A88" s="598" t="s">
        <v>571</v>
      </c>
      <c r="C88" s="253" t="s">
        <v>650</v>
      </c>
      <c r="D88" s="601" t="s">
        <v>550</v>
      </c>
      <c r="E88" s="599">
        <f>'Att GG Support'!R$23</f>
        <v>18711271.990000006</v>
      </c>
      <c r="F88" s="251">
        <f t="shared" si="0"/>
        <v>2.9743279813145538E-2</v>
      </c>
      <c r="G88" s="600">
        <f>E88*F88</f>
        <v>556534.59845844272</v>
      </c>
      <c r="H88" s="599">
        <f>'Att GG Support'!$R$56</f>
        <v>18151276.115950685</v>
      </c>
      <c r="I88" s="251">
        <f t="shared" si="2"/>
        <v>9.2936436808383524E-2</v>
      </c>
      <c r="J88" s="600">
        <f>H88*I88</f>
        <v>1686914.9257415719</v>
      </c>
      <c r="K88" s="599">
        <f>'Att GG Support'!$R$61</f>
        <v>375109.04953166709</v>
      </c>
      <c r="L88" s="600">
        <f>G88+J88+K88</f>
        <v>2618558.5737316818</v>
      </c>
      <c r="M88" s="642">
        <v>-13184.88000000003</v>
      </c>
      <c r="N88" s="600">
        <f>L88+M88</f>
        <v>2605373.6937316819</v>
      </c>
      <c r="O88" s="270"/>
      <c r="P88" s="599">
        <v>2882112.4720279765</v>
      </c>
      <c r="Q88" s="270"/>
      <c r="R88" s="270"/>
      <c r="S88" s="270"/>
      <c r="T88" s="270"/>
      <c r="U88" s="270"/>
    </row>
    <row r="89" spans="1:21">
      <c r="A89" s="598" t="s">
        <v>651</v>
      </c>
      <c r="C89" s="253" t="s">
        <v>573</v>
      </c>
      <c r="D89" s="601" t="s">
        <v>569</v>
      </c>
      <c r="E89" s="599">
        <f>'Att GG Support'!S$23</f>
        <v>37116159.920000009</v>
      </c>
      <c r="F89" s="251">
        <f t="shared" si="0"/>
        <v>2.9743279813145538E-2</v>
      </c>
      <c r="G89" s="600">
        <f>E89*F89</f>
        <v>1103956.3300900178</v>
      </c>
      <c r="H89" s="599">
        <f>'Att GG Support'!$S$56</f>
        <v>36674033.357993655</v>
      </c>
      <c r="I89" s="251">
        <f t="shared" si="2"/>
        <v>9.2936436808383524E-2</v>
      </c>
      <c r="J89" s="600">
        <f>H89*I89</f>
        <v>3408353.9836837268</v>
      </c>
      <c r="K89" s="599">
        <f>'Att GG Support'!$S$61</f>
        <v>775571.36363223742</v>
      </c>
      <c r="L89" s="600">
        <f>G89+J89+K89</f>
        <v>5287881.6774059823</v>
      </c>
      <c r="M89" s="642">
        <v>0</v>
      </c>
      <c r="N89" s="600">
        <f>L89+M89</f>
        <v>5287881.6774059823</v>
      </c>
      <c r="O89" s="270"/>
      <c r="P89" s="599">
        <v>5841994.190502312</v>
      </c>
      <c r="Q89" s="270"/>
      <c r="R89" s="270"/>
      <c r="S89" s="270"/>
      <c r="T89" s="270"/>
      <c r="U89" s="270"/>
    </row>
    <row r="90" spans="1:21">
      <c r="A90" s="598" t="s">
        <v>572</v>
      </c>
      <c r="C90" s="253" t="s">
        <v>652</v>
      </c>
      <c r="D90" s="601" t="s">
        <v>570</v>
      </c>
      <c r="E90" s="599">
        <f>'Att GG Support'!T$23</f>
        <v>672602.52000000037</v>
      </c>
      <c r="F90" s="251">
        <f t="shared" si="0"/>
        <v>2.9743279813145538E-2</v>
      </c>
      <c r="G90" s="600">
        <f>E90*F90</f>
        <v>20005.404955386828</v>
      </c>
      <c r="H90" s="599">
        <f>'Att GG Support'!$T$56</f>
        <v>667038.23899488035</v>
      </c>
      <c r="I90" s="251">
        <f t="shared" si="2"/>
        <v>9.2936436808383524E-2</v>
      </c>
      <c r="J90" s="600">
        <f>H90*I90</f>
        <v>61992.157147123122</v>
      </c>
      <c r="K90" s="599">
        <f>'Att GG Support'!$T$61</f>
        <v>14054.558842920285</v>
      </c>
      <c r="L90" s="600">
        <f>G90+J90+K90</f>
        <v>96052.120945430244</v>
      </c>
      <c r="M90" s="642">
        <v>0</v>
      </c>
      <c r="N90" s="600">
        <f>L90+M90</f>
        <v>96052.120945430244</v>
      </c>
      <c r="O90" s="270"/>
      <c r="P90" s="599">
        <v>0</v>
      </c>
      <c r="Q90" s="270"/>
      <c r="R90" s="270"/>
      <c r="S90" s="270"/>
      <c r="T90" s="270"/>
      <c r="U90" s="270"/>
    </row>
    <row r="91" spans="1:21">
      <c r="A91" s="598" t="s">
        <v>574</v>
      </c>
      <c r="C91" s="253" t="s">
        <v>251</v>
      </c>
      <c r="D91" s="601" t="s">
        <v>278</v>
      </c>
      <c r="E91" s="599">
        <v>0</v>
      </c>
      <c r="F91" s="251">
        <f t="shared" si="0"/>
        <v>2.9743279813145538E-2</v>
      </c>
      <c r="G91" s="600">
        <f>E91*F91</f>
        <v>0</v>
      </c>
      <c r="H91" s="599">
        <v>0</v>
      </c>
      <c r="I91" s="251">
        <f t="shared" si="2"/>
        <v>9.2936436808383524E-2</v>
      </c>
      <c r="J91" s="600">
        <f>H91*I91</f>
        <v>0</v>
      </c>
      <c r="K91" s="599">
        <v>0</v>
      </c>
      <c r="L91" s="600">
        <f>G91+J91+K91</f>
        <v>0</v>
      </c>
      <c r="M91" s="642">
        <v>0</v>
      </c>
      <c r="N91" s="600">
        <f>L91+M91</f>
        <v>0</v>
      </c>
      <c r="O91" s="270"/>
      <c r="P91" s="599">
        <v>0</v>
      </c>
      <c r="Q91" s="270"/>
      <c r="R91" s="270"/>
      <c r="S91" s="270"/>
      <c r="T91" s="270"/>
      <c r="U91" s="270"/>
    </row>
    <row r="92" spans="1:21">
      <c r="A92" s="598"/>
      <c r="C92" s="270"/>
      <c r="D92" s="270"/>
      <c r="E92" s="270"/>
      <c r="F92" s="270"/>
      <c r="G92" s="317"/>
      <c r="H92" s="270"/>
      <c r="I92" s="270"/>
      <c r="J92" s="317"/>
      <c r="K92" s="270"/>
      <c r="L92" s="317"/>
      <c r="M92" s="270"/>
      <c r="N92" s="317"/>
      <c r="O92" s="270"/>
      <c r="P92" s="599"/>
      <c r="Q92" s="270"/>
      <c r="R92" s="270"/>
      <c r="S92" s="270"/>
      <c r="T92" s="270"/>
      <c r="U92" s="270"/>
    </row>
    <row r="93" spans="1:21">
      <c r="A93" s="598"/>
      <c r="C93" s="270"/>
      <c r="D93" s="270"/>
      <c r="E93" s="270"/>
      <c r="F93" s="270"/>
      <c r="G93" s="317"/>
      <c r="H93" s="270"/>
      <c r="I93" s="270"/>
      <c r="J93" s="317"/>
      <c r="K93" s="270"/>
      <c r="L93" s="317"/>
      <c r="M93" s="270"/>
      <c r="N93" s="317"/>
      <c r="O93" s="270"/>
      <c r="Q93" s="270"/>
      <c r="R93" s="270"/>
      <c r="S93" s="270"/>
      <c r="T93" s="270"/>
      <c r="U93" s="270"/>
    </row>
    <row r="94" spans="1:21">
      <c r="A94" s="602"/>
      <c r="B94" s="603"/>
      <c r="C94" s="320"/>
      <c r="D94" s="320"/>
      <c r="E94" s="320"/>
      <c r="F94" s="320"/>
      <c r="G94" s="321"/>
      <c r="H94" s="320"/>
      <c r="I94" s="320"/>
      <c r="J94" s="321"/>
      <c r="K94" s="320"/>
      <c r="L94" s="321"/>
      <c r="M94" s="320"/>
      <c r="N94" s="321"/>
      <c r="O94" s="270"/>
      <c r="P94" s="270"/>
      <c r="Q94" s="270"/>
      <c r="R94" s="270"/>
      <c r="S94" s="270"/>
      <c r="T94" s="270"/>
      <c r="U94" s="270"/>
    </row>
    <row r="95" spans="1:21">
      <c r="A95" s="234" t="s">
        <v>385</v>
      </c>
      <c r="B95" s="298"/>
      <c r="C95" s="235" t="s">
        <v>386</v>
      </c>
      <c r="D95" s="235"/>
      <c r="E95" s="272">
        <f>ROUND(SUM(E73:E94),0)</f>
        <v>578129324</v>
      </c>
      <c r="F95" s="245"/>
      <c r="G95" s="228"/>
      <c r="H95" s="228"/>
      <c r="I95" s="228"/>
      <c r="J95" s="228"/>
      <c r="K95" s="228"/>
      <c r="L95" s="272">
        <f>ROUND(SUM(L73:L94),0)</f>
        <v>80401369</v>
      </c>
      <c r="M95" s="513">
        <f>SUM(M73:M94)</f>
        <v>-3595042.9400000018</v>
      </c>
      <c r="N95" s="272">
        <f>SUM(N73:N94)</f>
        <v>76806325.682795018</v>
      </c>
      <c r="O95" s="270"/>
      <c r="P95" s="604">
        <f>ROUND(SUM(P73:P94),0)</f>
        <v>80781821</v>
      </c>
      <c r="Q95" s="270"/>
      <c r="R95" s="270"/>
      <c r="S95" s="270"/>
      <c r="T95" s="270"/>
      <c r="U95" s="270"/>
    </row>
    <row r="96" spans="1:21">
      <c r="A96" s="270"/>
      <c r="B96" s="270"/>
      <c r="C96" s="270"/>
      <c r="D96" s="270"/>
      <c r="E96" s="270"/>
      <c r="F96" s="270"/>
      <c r="G96" s="270"/>
      <c r="H96" s="270"/>
      <c r="I96" s="270"/>
      <c r="J96" s="270"/>
      <c r="K96" s="270"/>
      <c r="L96" s="270"/>
      <c r="M96" s="270"/>
      <c r="N96" s="270"/>
      <c r="O96" s="270"/>
      <c r="P96" s="270"/>
      <c r="Q96" s="270"/>
      <c r="R96" s="270"/>
      <c r="S96" s="270"/>
      <c r="T96" s="270"/>
      <c r="U96" s="270"/>
    </row>
    <row r="97" spans="1:21">
      <c r="A97" s="271">
        <v>3</v>
      </c>
      <c r="B97" s="270"/>
      <c r="C97" s="253" t="s">
        <v>387</v>
      </c>
      <c r="D97" s="270"/>
      <c r="E97" s="270"/>
      <c r="F97" s="270"/>
      <c r="G97" s="270"/>
      <c r="H97" s="270"/>
      <c r="I97" s="270"/>
      <c r="J97" s="270"/>
      <c r="K97" s="270"/>
      <c r="L97" s="272">
        <f>L95</f>
        <v>80401369</v>
      </c>
      <c r="M97" s="270"/>
      <c r="N97" s="270"/>
      <c r="O97" s="270"/>
      <c r="P97" s="270"/>
      <c r="Q97" s="270"/>
      <c r="R97" s="270"/>
      <c r="S97" s="270"/>
      <c r="T97" s="270"/>
      <c r="U97" s="270"/>
    </row>
    <row r="98" spans="1:21">
      <c r="A98" s="270"/>
      <c r="B98" s="270"/>
      <c r="C98" s="270"/>
      <c r="D98" s="270"/>
      <c r="E98" s="270"/>
      <c r="F98" s="270"/>
      <c r="G98" s="605"/>
      <c r="H98" s="270"/>
      <c r="I98" s="270"/>
      <c r="J98" s="605"/>
      <c r="K98" s="605"/>
      <c r="L98" s="270"/>
      <c r="M98" s="270"/>
      <c r="N98" s="270"/>
      <c r="O98" s="270"/>
      <c r="P98" s="270"/>
      <c r="Q98" s="270"/>
      <c r="R98" s="270"/>
      <c r="S98" s="270"/>
      <c r="T98" s="270"/>
      <c r="U98" s="270"/>
    </row>
    <row r="99" spans="1:21">
      <c r="A99" s="270"/>
      <c r="B99" s="270"/>
      <c r="C99" s="270"/>
      <c r="D99" s="270"/>
      <c r="E99" s="270"/>
      <c r="F99" s="605"/>
      <c r="G99" s="605"/>
      <c r="H99" s="270"/>
      <c r="I99" s="270"/>
      <c r="J99" s="605"/>
      <c r="K99" s="605"/>
      <c r="L99" s="270"/>
      <c r="M99" s="270"/>
      <c r="N99" s="606"/>
      <c r="O99" s="270"/>
      <c r="P99" s="606"/>
      <c r="Q99" s="270"/>
      <c r="R99" s="270"/>
      <c r="S99" s="270"/>
      <c r="T99" s="270"/>
      <c r="U99" s="270"/>
    </row>
    <row r="100" spans="1:21">
      <c r="A100" s="253" t="s">
        <v>388</v>
      </c>
      <c r="B100" s="270"/>
      <c r="C100" s="270"/>
      <c r="D100" s="270"/>
      <c r="E100" s="270"/>
      <c r="F100" s="270"/>
      <c r="G100" s="270"/>
      <c r="H100" s="270"/>
      <c r="I100" s="270"/>
      <c r="J100" s="270"/>
      <c r="K100" s="270"/>
      <c r="L100" s="270"/>
      <c r="M100" s="270"/>
      <c r="N100" s="270"/>
      <c r="O100" s="270"/>
      <c r="P100" s="270"/>
      <c r="Q100" s="270"/>
      <c r="R100" s="270"/>
      <c r="S100" s="270"/>
      <c r="T100" s="270"/>
      <c r="U100" s="270"/>
    </row>
    <row r="101" spans="1:21" ht="15.75" thickBot="1">
      <c r="A101" s="274" t="s">
        <v>389</v>
      </c>
      <c r="B101" s="270"/>
      <c r="C101" s="270"/>
      <c r="D101" s="270"/>
      <c r="E101" s="270"/>
      <c r="F101" s="270"/>
      <c r="G101" s="270"/>
      <c r="H101" s="270"/>
      <c r="I101" s="270"/>
      <c r="J101" s="270"/>
      <c r="K101" s="270"/>
      <c r="L101" s="270"/>
      <c r="M101" s="270"/>
      <c r="N101" s="270"/>
      <c r="O101" s="270"/>
      <c r="P101" s="270"/>
      <c r="Q101" s="270"/>
      <c r="R101" s="270"/>
      <c r="S101" s="270"/>
      <c r="T101" s="270"/>
      <c r="U101" s="270"/>
    </row>
    <row r="102" spans="1:21" ht="33" customHeight="1">
      <c r="A102" s="607" t="s">
        <v>37</v>
      </c>
      <c r="C102" s="700" t="s">
        <v>653</v>
      </c>
      <c r="D102" s="700"/>
      <c r="E102" s="700"/>
      <c r="F102" s="700"/>
      <c r="G102" s="700"/>
      <c r="H102" s="700"/>
      <c r="I102" s="700"/>
      <c r="J102" s="700"/>
      <c r="K102" s="700"/>
      <c r="L102" s="700"/>
      <c r="M102" s="700"/>
      <c r="N102" s="700"/>
      <c r="O102" s="270"/>
      <c r="P102" s="270"/>
      <c r="Q102" s="270"/>
      <c r="R102" s="270"/>
      <c r="S102" s="270"/>
      <c r="T102" s="270"/>
      <c r="U102" s="270"/>
    </row>
    <row r="103" spans="1:21" ht="34.5" customHeight="1">
      <c r="A103" s="607" t="s">
        <v>38</v>
      </c>
      <c r="C103" s="700" t="s">
        <v>654</v>
      </c>
      <c r="D103" s="700"/>
      <c r="E103" s="700"/>
      <c r="F103" s="700"/>
      <c r="G103" s="700"/>
      <c r="H103" s="700"/>
      <c r="I103" s="700"/>
      <c r="J103" s="700"/>
      <c r="K103" s="700"/>
      <c r="L103" s="700"/>
      <c r="M103" s="700"/>
      <c r="N103" s="700"/>
      <c r="O103" s="270"/>
      <c r="P103" s="270"/>
      <c r="Q103" s="270"/>
      <c r="R103" s="270"/>
      <c r="S103" s="270"/>
      <c r="T103" s="270"/>
      <c r="U103" s="270"/>
    </row>
    <row r="104" spans="1:21" ht="34.5" customHeight="1">
      <c r="A104" s="607" t="s">
        <v>39</v>
      </c>
      <c r="C104" s="700" t="s">
        <v>390</v>
      </c>
      <c r="D104" s="700"/>
      <c r="E104" s="700"/>
      <c r="F104" s="700"/>
      <c r="G104" s="700"/>
      <c r="H104" s="700"/>
      <c r="I104" s="700"/>
      <c r="J104" s="700"/>
      <c r="K104" s="700"/>
      <c r="L104" s="700"/>
      <c r="M104" s="700"/>
      <c r="N104" s="700"/>
      <c r="O104" s="270"/>
      <c r="P104" s="270"/>
      <c r="Q104" s="270"/>
      <c r="R104" s="270"/>
      <c r="S104" s="270"/>
      <c r="T104" s="270"/>
      <c r="U104" s="270"/>
    </row>
    <row r="105" spans="1:21">
      <c r="A105" s="607" t="s">
        <v>391</v>
      </c>
      <c r="C105" s="701" t="s">
        <v>392</v>
      </c>
      <c r="D105" s="701"/>
      <c r="E105" s="701"/>
      <c r="F105" s="701"/>
      <c r="G105" s="701"/>
      <c r="H105" s="701"/>
      <c r="I105" s="701"/>
      <c r="J105" s="701"/>
      <c r="K105" s="701"/>
      <c r="L105" s="701"/>
      <c r="M105" s="701"/>
      <c r="N105" s="701"/>
      <c r="O105" s="270"/>
      <c r="P105" s="270"/>
      <c r="Q105" s="270"/>
      <c r="R105" s="270"/>
      <c r="S105" s="270"/>
      <c r="T105" s="270"/>
      <c r="U105" s="270"/>
    </row>
    <row r="106" spans="1:21">
      <c r="A106" s="245" t="s">
        <v>40</v>
      </c>
      <c r="C106" s="699" t="s">
        <v>393</v>
      </c>
      <c r="D106" s="699"/>
      <c r="E106" s="699"/>
      <c r="F106" s="699"/>
      <c r="G106" s="699"/>
      <c r="H106" s="699"/>
      <c r="I106" s="699"/>
      <c r="J106" s="699"/>
      <c r="K106" s="699"/>
      <c r="L106" s="699"/>
      <c r="M106" s="699"/>
      <c r="N106" s="699"/>
      <c r="O106" s="270"/>
      <c r="P106" s="270"/>
      <c r="Q106" s="270"/>
      <c r="R106" s="270"/>
      <c r="S106" s="270"/>
      <c r="T106" s="270"/>
      <c r="U106" s="270"/>
    </row>
    <row r="107" spans="1:21">
      <c r="A107" s="245" t="s">
        <v>53</v>
      </c>
      <c r="C107" s="699" t="s">
        <v>394</v>
      </c>
      <c r="D107" s="699"/>
      <c r="E107" s="699"/>
      <c r="F107" s="699"/>
      <c r="G107" s="699"/>
      <c r="H107" s="699"/>
      <c r="I107" s="699"/>
      <c r="J107" s="699"/>
      <c r="K107" s="699"/>
      <c r="L107" s="699"/>
      <c r="M107" s="699"/>
      <c r="N107" s="699"/>
      <c r="O107" s="270"/>
      <c r="P107" s="270"/>
      <c r="Q107" s="270"/>
      <c r="R107" s="270"/>
      <c r="S107" s="270"/>
      <c r="T107" s="270"/>
      <c r="U107" s="270"/>
    </row>
    <row r="108" spans="1:21">
      <c r="A108" s="245" t="s">
        <v>54</v>
      </c>
      <c r="C108" s="699" t="s">
        <v>655</v>
      </c>
      <c r="D108" s="699"/>
      <c r="E108" s="699"/>
      <c r="F108" s="699"/>
      <c r="G108" s="699"/>
      <c r="H108" s="699"/>
      <c r="I108" s="699"/>
      <c r="J108" s="699"/>
      <c r="K108" s="699"/>
      <c r="L108" s="699"/>
      <c r="M108" s="699"/>
      <c r="N108" s="699"/>
      <c r="O108" s="270"/>
      <c r="P108" s="270"/>
      <c r="Q108" s="270"/>
      <c r="R108" s="270"/>
      <c r="S108" s="270"/>
      <c r="T108" s="270"/>
      <c r="U108" s="270"/>
    </row>
    <row r="109" spans="1:21">
      <c r="A109" s="245" t="s">
        <v>395</v>
      </c>
      <c r="C109" s="699" t="s">
        <v>396</v>
      </c>
      <c r="D109" s="699"/>
      <c r="E109" s="699"/>
      <c r="F109" s="699"/>
      <c r="G109" s="699"/>
      <c r="H109" s="699"/>
      <c r="I109" s="699"/>
      <c r="J109" s="699"/>
      <c r="K109" s="699"/>
      <c r="L109" s="699"/>
      <c r="M109" s="699"/>
      <c r="N109" s="699"/>
      <c r="O109" s="270"/>
      <c r="P109" s="270"/>
      <c r="Q109" s="270"/>
      <c r="R109" s="270"/>
      <c r="S109" s="270"/>
      <c r="T109" s="270"/>
      <c r="U109" s="270"/>
    </row>
    <row r="110" spans="1:21">
      <c r="A110" s="326"/>
      <c r="B110" s="270"/>
      <c r="C110" s="270"/>
      <c r="D110" s="270"/>
      <c r="E110" s="270"/>
      <c r="F110" s="270"/>
      <c r="G110" s="270"/>
      <c r="H110" s="270"/>
      <c r="I110" s="270"/>
      <c r="J110" s="270"/>
      <c r="K110" s="270"/>
      <c r="L110" s="270"/>
      <c r="M110" s="270"/>
      <c r="N110" s="270"/>
      <c r="O110" s="270"/>
      <c r="P110" s="270"/>
      <c r="Q110" s="270"/>
      <c r="R110" s="270"/>
      <c r="S110" s="270"/>
      <c r="T110" s="270"/>
      <c r="U110" s="270"/>
    </row>
    <row r="111" spans="1:21">
      <c r="A111" s="327"/>
      <c r="C111" s="234"/>
      <c r="D111" s="234"/>
      <c r="E111" s="245"/>
      <c r="F111" s="245"/>
      <c r="G111" s="228"/>
      <c r="J111" s="242"/>
      <c r="M111" s="228"/>
      <c r="N111" s="328"/>
      <c r="O111" s="270"/>
      <c r="P111" s="270"/>
      <c r="Q111" s="270"/>
      <c r="R111" s="270"/>
      <c r="S111" s="270"/>
      <c r="T111" s="270"/>
      <c r="U111" s="270"/>
    </row>
    <row r="112" spans="1:21" ht="15.75">
      <c r="A112" s="327"/>
      <c r="C112" s="234"/>
      <c r="D112" s="234"/>
      <c r="E112" s="245"/>
      <c r="F112" s="245"/>
      <c r="G112" s="228"/>
      <c r="J112" s="242"/>
      <c r="M112" s="228"/>
      <c r="N112" s="243"/>
      <c r="O112" s="270"/>
      <c r="P112" s="270"/>
      <c r="Q112" s="270"/>
      <c r="R112" s="270"/>
      <c r="S112" s="270"/>
      <c r="T112" s="270"/>
      <c r="U112" s="270"/>
    </row>
    <row r="113" spans="3:21">
      <c r="C113" s="270"/>
      <c r="D113" s="270"/>
      <c r="E113" s="270"/>
      <c r="F113" s="270"/>
      <c r="G113" s="270"/>
      <c r="H113" s="270"/>
      <c r="I113" s="270"/>
      <c r="J113" s="270"/>
      <c r="K113" s="270"/>
      <c r="L113" s="270"/>
      <c r="M113" s="270"/>
      <c r="N113" s="270"/>
      <c r="O113" s="270"/>
      <c r="P113" s="270"/>
      <c r="Q113" s="270"/>
      <c r="R113" s="270"/>
      <c r="S113" s="270"/>
      <c r="T113" s="270"/>
      <c r="U113" s="270"/>
    </row>
    <row r="114" spans="3:21">
      <c r="C114" s="270"/>
      <c r="D114" s="270"/>
      <c r="E114" s="270"/>
      <c r="F114" s="270"/>
      <c r="G114" s="270"/>
      <c r="H114" s="270"/>
      <c r="I114" s="270"/>
      <c r="J114" s="270"/>
      <c r="K114" s="270"/>
      <c r="L114" s="270"/>
      <c r="M114" s="270"/>
      <c r="N114" s="270"/>
      <c r="O114" s="270"/>
      <c r="P114" s="270"/>
      <c r="Q114" s="270"/>
      <c r="R114" s="270"/>
      <c r="S114" s="270"/>
      <c r="T114" s="270"/>
      <c r="U114" s="270"/>
    </row>
    <row r="115" spans="3:21">
      <c r="C115" s="270"/>
      <c r="D115" s="270"/>
      <c r="E115" s="270"/>
      <c r="F115" s="270"/>
      <c r="G115" s="270"/>
      <c r="H115" s="270"/>
      <c r="I115" s="270"/>
      <c r="J115" s="270"/>
      <c r="K115" s="270"/>
      <c r="L115" s="270"/>
      <c r="M115" s="270"/>
      <c r="N115" s="270"/>
      <c r="O115" s="270"/>
      <c r="P115" s="270"/>
      <c r="Q115" s="270"/>
      <c r="R115" s="270"/>
      <c r="S115" s="270"/>
      <c r="T115" s="270"/>
      <c r="U115" s="270"/>
    </row>
    <row r="116" spans="3:21">
      <c r="C116" s="270"/>
      <c r="D116" s="270"/>
      <c r="E116" s="270"/>
      <c r="F116" s="270"/>
      <c r="G116" s="270"/>
      <c r="H116" s="270"/>
      <c r="I116" s="270"/>
      <c r="J116" s="270"/>
      <c r="K116" s="270"/>
      <c r="L116" s="270"/>
      <c r="M116" s="270"/>
      <c r="N116" s="270"/>
      <c r="O116" s="270"/>
      <c r="P116" s="270"/>
      <c r="Q116" s="270"/>
      <c r="R116" s="270"/>
      <c r="S116" s="270"/>
      <c r="T116" s="270"/>
      <c r="U116" s="270"/>
    </row>
    <row r="117" spans="3:21">
      <c r="C117" s="270"/>
      <c r="D117" s="270"/>
      <c r="E117" s="270"/>
      <c r="F117" s="270"/>
      <c r="G117" s="270"/>
      <c r="H117" s="270"/>
      <c r="I117" s="270"/>
      <c r="J117" s="270"/>
      <c r="K117" s="270"/>
      <c r="L117" s="270"/>
      <c r="M117" s="270"/>
      <c r="N117" s="270"/>
      <c r="O117" s="270"/>
      <c r="P117" s="270"/>
      <c r="Q117" s="270"/>
      <c r="R117" s="270"/>
      <c r="S117" s="270"/>
      <c r="T117" s="270"/>
      <c r="U117" s="270"/>
    </row>
    <row r="118" spans="3:21">
      <c r="C118" s="270"/>
      <c r="D118" s="270"/>
      <c r="E118" s="270"/>
      <c r="F118" s="270"/>
      <c r="G118" s="270"/>
      <c r="H118" s="270"/>
      <c r="I118" s="270"/>
      <c r="J118" s="270"/>
      <c r="K118" s="270"/>
      <c r="L118" s="270"/>
      <c r="M118" s="270"/>
      <c r="N118" s="270"/>
      <c r="O118" s="270"/>
      <c r="P118" s="270"/>
      <c r="Q118" s="270"/>
      <c r="R118" s="270"/>
      <c r="S118" s="270"/>
      <c r="T118" s="270"/>
      <c r="U118" s="270"/>
    </row>
    <row r="119" spans="3:21">
      <c r="C119" s="270"/>
      <c r="D119" s="270"/>
      <c r="E119" s="270"/>
      <c r="F119" s="270"/>
      <c r="G119" s="270"/>
      <c r="H119" s="270"/>
      <c r="I119" s="270"/>
      <c r="J119" s="270"/>
      <c r="K119" s="270"/>
      <c r="L119" s="270"/>
      <c r="M119" s="270"/>
      <c r="N119" s="270"/>
      <c r="O119" s="270"/>
      <c r="P119" s="270"/>
      <c r="Q119" s="270"/>
      <c r="R119" s="270"/>
      <c r="S119" s="270"/>
      <c r="T119" s="270"/>
      <c r="U119" s="270"/>
    </row>
    <row r="120" spans="3:21">
      <c r="C120" s="270"/>
      <c r="D120" s="270"/>
      <c r="E120" s="270"/>
      <c r="F120" s="270"/>
      <c r="G120" s="270"/>
      <c r="H120" s="270"/>
      <c r="I120" s="270"/>
      <c r="J120" s="270"/>
      <c r="K120" s="270"/>
      <c r="L120" s="270"/>
      <c r="M120" s="270"/>
      <c r="N120" s="270"/>
      <c r="O120" s="270"/>
      <c r="P120" s="270"/>
      <c r="Q120" s="270"/>
      <c r="R120" s="270"/>
      <c r="S120" s="270"/>
      <c r="T120" s="270"/>
      <c r="U120" s="270"/>
    </row>
    <row r="121" spans="3:21">
      <c r="C121" s="270"/>
      <c r="D121" s="270"/>
      <c r="E121" s="270"/>
      <c r="F121" s="270"/>
      <c r="G121" s="270"/>
      <c r="H121" s="270"/>
      <c r="I121" s="270"/>
      <c r="J121" s="270"/>
      <c r="K121" s="270"/>
      <c r="L121" s="270"/>
      <c r="M121" s="270"/>
      <c r="N121" s="270"/>
      <c r="O121" s="270"/>
      <c r="P121" s="270"/>
      <c r="Q121" s="270"/>
      <c r="R121" s="270"/>
      <c r="S121" s="270"/>
      <c r="T121" s="270"/>
      <c r="U121" s="270"/>
    </row>
    <row r="122" spans="3:21">
      <c r="C122" s="270"/>
      <c r="D122" s="270"/>
      <c r="E122" s="270"/>
      <c r="F122" s="270"/>
      <c r="G122" s="270"/>
      <c r="H122" s="270"/>
      <c r="I122" s="270"/>
      <c r="J122" s="270"/>
      <c r="K122" s="270"/>
      <c r="L122" s="270"/>
      <c r="M122" s="270"/>
      <c r="N122" s="270"/>
      <c r="O122" s="270"/>
      <c r="P122" s="270"/>
      <c r="Q122" s="270"/>
      <c r="R122" s="270"/>
      <c r="S122" s="270"/>
      <c r="T122" s="270"/>
      <c r="U122" s="270"/>
    </row>
    <row r="123" spans="3:21">
      <c r="C123" s="270"/>
      <c r="D123" s="270"/>
      <c r="E123" s="270"/>
      <c r="F123" s="270"/>
      <c r="G123" s="270"/>
      <c r="H123" s="270"/>
      <c r="I123" s="270"/>
      <c r="J123" s="270"/>
      <c r="K123" s="270"/>
      <c r="L123" s="270"/>
      <c r="M123" s="270"/>
      <c r="N123" s="270"/>
      <c r="O123" s="270"/>
      <c r="P123" s="270"/>
      <c r="Q123" s="270"/>
      <c r="R123" s="270"/>
      <c r="S123" s="270"/>
      <c r="T123" s="270"/>
      <c r="U123" s="270"/>
    </row>
    <row r="124" spans="3:21">
      <c r="C124" s="270"/>
      <c r="D124" s="270"/>
      <c r="E124" s="270"/>
      <c r="F124" s="270"/>
      <c r="G124" s="270"/>
      <c r="H124" s="270"/>
      <c r="I124" s="270"/>
      <c r="J124" s="270"/>
      <c r="K124" s="270"/>
      <c r="L124" s="270"/>
      <c r="M124" s="270"/>
      <c r="N124" s="270"/>
      <c r="O124" s="270"/>
      <c r="P124" s="270"/>
      <c r="Q124" s="270"/>
      <c r="R124" s="270"/>
      <c r="S124" s="270"/>
      <c r="T124" s="270"/>
      <c r="U124" s="270"/>
    </row>
    <row r="125" spans="3:21">
      <c r="C125" s="270"/>
      <c r="D125" s="270"/>
      <c r="E125" s="270"/>
      <c r="F125" s="270"/>
      <c r="G125" s="270"/>
      <c r="H125" s="270"/>
      <c r="I125" s="270"/>
      <c r="J125" s="270"/>
      <c r="K125" s="270"/>
      <c r="L125" s="270"/>
      <c r="M125" s="270"/>
      <c r="N125" s="270"/>
      <c r="O125" s="270"/>
      <c r="P125" s="270"/>
      <c r="Q125" s="270"/>
      <c r="R125" s="270"/>
      <c r="S125" s="270"/>
      <c r="T125" s="270"/>
      <c r="U125" s="270"/>
    </row>
    <row r="126" spans="3:21">
      <c r="C126" s="270"/>
      <c r="D126" s="270"/>
      <c r="E126" s="270"/>
      <c r="F126" s="270"/>
      <c r="G126" s="270"/>
      <c r="H126" s="270"/>
      <c r="I126" s="270"/>
      <c r="J126" s="270"/>
      <c r="K126" s="270"/>
      <c r="L126" s="270"/>
      <c r="M126" s="270"/>
      <c r="N126" s="270"/>
      <c r="O126" s="270"/>
      <c r="P126" s="270"/>
      <c r="Q126" s="270"/>
      <c r="R126" s="270"/>
      <c r="S126" s="270"/>
      <c r="T126" s="270"/>
      <c r="U126" s="270"/>
    </row>
    <row r="127" spans="3:21">
      <c r="C127" s="270"/>
      <c r="D127" s="270"/>
      <c r="E127" s="270"/>
      <c r="F127" s="270"/>
      <c r="G127" s="270"/>
      <c r="H127" s="270"/>
      <c r="I127" s="270"/>
      <c r="J127" s="270"/>
      <c r="K127" s="270"/>
      <c r="L127" s="270"/>
      <c r="M127" s="270"/>
      <c r="N127" s="270"/>
      <c r="O127" s="270"/>
      <c r="P127" s="270"/>
      <c r="Q127" s="270"/>
      <c r="R127" s="270"/>
      <c r="S127" s="270"/>
      <c r="T127" s="270"/>
      <c r="U127" s="270"/>
    </row>
    <row r="128" spans="3:21">
      <c r="C128" s="270"/>
      <c r="D128" s="270"/>
      <c r="E128" s="270"/>
      <c r="F128" s="270"/>
      <c r="G128" s="270"/>
      <c r="H128" s="270"/>
      <c r="I128" s="270"/>
      <c r="J128" s="270"/>
      <c r="K128" s="270"/>
      <c r="L128" s="270"/>
      <c r="M128" s="270"/>
      <c r="N128" s="270"/>
      <c r="O128" s="270"/>
      <c r="P128" s="270"/>
      <c r="Q128" s="270"/>
      <c r="R128" s="270"/>
      <c r="S128" s="270"/>
      <c r="T128" s="270"/>
      <c r="U128" s="270"/>
    </row>
    <row r="129" spans="3:21">
      <c r="C129" s="270"/>
      <c r="D129" s="270"/>
      <c r="E129" s="270"/>
      <c r="F129" s="270"/>
      <c r="G129" s="270"/>
      <c r="H129" s="270"/>
      <c r="I129" s="270"/>
      <c r="J129" s="270"/>
      <c r="K129" s="270"/>
      <c r="L129" s="270"/>
      <c r="M129" s="270"/>
      <c r="N129" s="270"/>
      <c r="O129" s="270"/>
      <c r="P129" s="270"/>
      <c r="Q129" s="270"/>
      <c r="R129" s="270"/>
      <c r="S129" s="270"/>
      <c r="T129" s="270"/>
      <c r="U129" s="270"/>
    </row>
    <row r="130" spans="3:21">
      <c r="C130" s="270"/>
      <c r="D130" s="270"/>
      <c r="E130" s="270"/>
      <c r="F130" s="270"/>
      <c r="G130" s="270"/>
      <c r="H130" s="270"/>
      <c r="I130" s="270"/>
      <c r="J130" s="270"/>
      <c r="K130" s="270"/>
      <c r="L130" s="270"/>
      <c r="M130" s="270"/>
      <c r="N130" s="270"/>
      <c r="O130" s="270"/>
      <c r="P130" s="270"/>
      <c r="Q130" s="270"/>
      <c r="R130" s="270"/>
      <c r="S130" s="270"/>
      <c r="T130" s="270"/>
      <c r="U130" s="270"/>
    </row>
    <row r="131" spans="3:21">
      <c r="C131" s="270"/>
      <c r="D131" s="270"/>
      <c r="E131" s="270"/>
      <c r="F131" s="270"/>
      <c r="G131" s="270"/>
      <c r="H131" s="270"/>
      <c r="I131" s="270"/>
      <c r="J131" s="270"/>
      <c r="K131" s="270"/>
      <c r="L131" s="270"/>
      <c r="M131" s="270"/>
      <c r="N131" s="270"/>
      <c r="O131" s="270"/>
      <c r="P131" s="270"/>
      <c r="Q131" s="270"/>
      <c r="R131" s="270"/>
      <c r="S131" s="270"/>
      <c r="T131" s="270"/>
      <c r="U131" s="270"/>
    </row>
    <row r="132" spans="3:21">
      <c r="C132" s="270"/>
      <c r="D132" s="270"/>
      <c r="E132" s="270"/>
      <c r="F132" s="270"/>
      <c r="G132" s="270"/>
      <c r="H132" s="270"/>
      <c r="I132" s="270"/>
      <c r="J132" s="270"/>
      <c r="K132" s="270"/>
      <c r="L132" s="270"/>
      <c r="M132" s="270"/>
      <c r="N132" s="270"/>
      <c r="O132" s="270"/>
      <c r="P132" s="270"/>
      <c r="Q132" s="270"/>
      <c r="R132" s="270"/>
      <c r="S132" s="270"/>
      <c r="T132" s="270"/>
      <c r="U132" s="270"/>
    </row>
    <row r="133" spans="3:21">
      <c r="C133" s="270"/>
      <c r="D133" s="270"/>
      <c r="E133" s="270"/>
      <c r="F133" s="270"/>
      <c r="G133" s="270"/>
      <c r="H133" s="270"/>
      <c r="I133" s="270"/>
      <c r="J133" s="270"/>
      <c r="K133" s="270"/>
      <c r="L133" s="270"/>
      <c r="M133" s="270"/>
      <c r="N133" s="270"/>
      <c r="O133" s="270"/>
      <c r="P133" s="270"/>
      <c r="Q133" s="270"/>
      <c r="R133" s="270"/>
      <c r="S133" s="270"/>
      <c r="T133" s="270"/>
      <c r="U133" s="270"/>
    </row>
    <row r="134" spans="3:21">
      <c r="C134" s="270"/>
      <c r="D134" s="270"/>
      <c r="E134" s="270"/>
      <c r="F134" s="270"/>
      <c r="G134" s="270"/>
      <c r="H134" s="270"/>
      <c r="I134" s="270"/>
      <c r="J134" s="270"/>
      <c r="K134" s="270"/>
      <c r="L134" s="270"/>
      <c r="M134" s="270"/>
      <c r="N134" s="270"/>
      <c r="O134" s="270"/>
      <c r="P134" s="270"/>
      <c r="Q134" s="270"/>
      <c r="R134" s="270"/>
      <c r="S134" s="270"/>
      <c r="T134" s="270"/>
      <c r="U134" s="270"/>
    </row>
    <row r="135" spans="3:21">
      <c r="C135" s="270"/>
      <c r="D135" s="270"/>
      <c r="E135" s="270"/>
      <c r="F135" s="270"/>
      <c r="G135" s="270"/>
      <c r="H135" s="270"/>
      <c r="I135" s="270"/>
      <c r="J135" s="270"/>
      <c r="K135" s="270"/>
      <c r="L135" s="270"/>
      <c r="M135" s="270"/>
      <c r="N135" s="270"/>
      <c r="O135" s="270"/>
      <c r="P135" s="270"/>
      <c r="Q135" s="270"/>
      <c r="R135" s="270"/>
      <c r="S135" s="270"/>
      <c r="T135" s="270"/>
      <c r="U135" s="270"/>
    </row>
    <row r="136" spans="3:21">
      <c r="C136" s="270"/>
      <c r="D136" s="270"/>
      <c r="E136" s="270"/>
      <c r="F136" s="270"/>
      <c r="G136" s="270"/>
      <c r="H136" s="270"/>
      <c r="I136" s="270"/>
      <c r="J136" s="270"/>
      <c r="K136" s="270"/>
      <c r="L136" s="270"/>
      <c r="M136" s="270"/>
      <c r="N136" s="270"/>
      <c r="O136" s="270"/>
      <c r="P136" s="270"/>
      <c r="Q136" s="270"/>
      <c r="R136" s="270"/>
      <c r="S136" s="270"/>
      <c r="T136" s="270"/>
      <c r="U136" s="270"/>
    </row>
    <row r="137" spans="3:21">
      <c r="C137" s="270"/>
      <c r="D137" s="270"/>
      <c r="E137" s="270"/>
      <c r="F137" s="270"/>
      <c r="G137" s="270"/>
      <c r="H137" s="270"/>
      <c r="I137" s="270"/>
      <c r="J137" s="270"/>
      <c r="K137" s="270"/>
      <c r="L137" s="270"/>
      <c r="M137" s="270"/>
      <c r="N137" s="270"/>
      <c r="O137" s="270"/>
      <c r="P137" s="270"/>
      <c r="Q137" s="270"/>
      <c r="R137" s="270"/>
      <c r="S137" s="270"/>
      <c r="T137" s="270"/>
      <c r="U137" s="270"/>
    </row>
    <row r="138" spans="3:21">
      <c r="C138" s="270"/>
      <c r="D138" s="270"/>
      <c r="E138" s="270"/>
      <c r="F138" s="270"/>
      <c r="G138" s="270"/>
      <c r="H138" s="270"/>
      <c r="I138" s="270"/>
      <c r="J138" s="270"/>
      <c r="K138" s="270"/>
      <c r="L138" s="270"/>
      <c r="M138" s="270"/>
      <c r="N138" s="270"/>
      <c r="O138" s="270"/>
      <c r="P138" s="270"/>
      <c r="Q138" s="270"/>
      <c r="R138" s="270"/>
      <c r="S138" s="270"/>
      <c r="T138" s="270"/>
      <c r="U138" s="270"/>
    </row>
    <row r="139" spans="3:21">
      <c r="C139" s="270"/>
      <c r="D139" s="270"/>
      <c r="E139" s="270"/>
      <c r="F139" s="270"/>
      <c r="G139" s="270"/>
      <c r="H139" s="270"/>
      <c r="I139" s="270"/>
      <c r="J139" s="270"/>
      <c r="K139" s="270"/>
      <c r="L139" s="270"/>
      <c r="M139" s="270"/>
      <c r="N139" s="270"/>
      <c r="O139" s="270"/>
      <c r="P139" s="270"/>
      <c r="Q139" s="270"/>
      <c r="R139" s="270"/>
      <c r="S139" s="270"/>
      <c r="T139" s="270"/>
      <c r="U139" s="270"/>
    </row>
    <row r="140" spans="3:21">
      <c r="C140" s="270"/>
      <c r="D140" s="270"/>
      <c r="E140" s="270"/>
      <c r="F140" s="270"/>
      <c r="G140" s="270"/>
      <c r="H140" s="270"/>
      <c r="I140" s="270"/>
      <c r="J140" s="270"/>
      <c r="K140" s="270"/>
      <c r="L140" s="270"/>
      <c r="M140" s="270"/>
      <c r="N140" s="270"/>
      <c r="O140" s="270"/>
      <c r="P140" s="270"/>
      <c r="Q140" s="270"/>
      <c r="R140" s="270"/>
      <c r="S140" s="270"/>
      <c r="T140" s="270"/>
      <c r="U140" s="270"/>
    </row>
    <row r="141" spans="3:21">
      <c r="C141" s="270"/>
      <c r="D141" s="270"/>
      <c r="E141" s="270"/>
      <c r="F141" s="270"/>
      <c r="G141" s="270"/>
      <c r="H141" s="270"/>
      <c r="I141" s="270"/>
      <c r="J141" s="270"/>
      <c r="K141" s="270"/>
      <c r="L141" s="270"/>
      <c r="M141" s="270"/>
      <c r="N141" s="270"/>
      <c r="O141" s="270"/>
      <c r="P141" s="270"/>
      <c r="Q141" s="270"/>
      <c r="R141" s="270"/>
      <c r="S141" s="270"/>
      <c r="T141" s="270"/>
      <c r="U141" s="270"/>
    </row>
    <row r="142" spans="3:21">
      <c r="C142" s="270"/>
      <c r="D142" s="270"/>
      <c r="E142" s="270"/>
      <c r="F142" s="270"/>
      <c r="G142" s="270"/>
      <c r="H142" s="270"/>
      <c r="I142" s="270"/>
      <c r="J142" s="270"/>
      <c r="K142" s="270"/>
      <c r="L142" s="270"/>
      <c r="M142" s="270"/>
      <c r="N142" s="270"/>
      <c r="O142" s="270"/>
      <c r="P142" s="270"/>
      <c r="Q142" s="270"/>
      <c r="R142" s="270"/>
      <c r="S142" s="270"/>
      <c r="T142" s="270"/>
      <c r="U142" s="270"/>
    </row>
    <row r="143" spans="3:21">
      <c r="C143" s="270"/>
      <c r="D143" s="270"/>
      <c r="E143" s="270"/>
      <c r="F143" s="270"/>
      <c r="G143" s="270"/>
      <c r="H143" s="270"/>
      <c r="I143" s="270"/>
      <c r="J143" s="270"/>
      <c r="K143" s="270"/>
      <c r="L143" s="270"/>
      <c r="M143" s="270"/>
      <c r="N143" s="270"/>
      <c r="O143" s="270"/>
      <c r="P143" s="270"/>
      <c r="Q143" s="270"/>
      <c r="R143" s="270"/>
      <c r="S143" s="270"/>
      <c r="T143" s="270"/>
      <c r="U143" s="270"/>
    </row>
    <row r="144" spans="3:21">
      <c r="C144" s="270"/>
      <c r="D144" s="270"/>
      <c r="E144" s="270"/>
      <c r="F144" s="270"/>
      <c r="G144" s="270"/>
      <c r="H144" s="270"/>
      <c r="I144" s="270"/>
      <c r="J144" s="270"/>
      <c r="K144" s="270"/>
      <c r="L144" s="270"/>
      <c r="M144" s="270"/>
      <c r="N144" s="270"/>
      <c r="O144" s="270"/>
      <c r="P144" s="270"/>
      <c r="Q144" s="270"/>
      <c r="R144" s="270"/>
      <c r="S144" s="270"/>
      <c r="T144" s="270"/>
      <c r="U144" s="270"/>
    </row>
    <row r="145" spans="3:21">
      <c r="C145" s="270"/>
      <c r="D145" s="270"/>
      <c r="E145" s="270"/>
      <c r="F145" s="270"/>
      <c r="G145" s="270"/>
      <c r="H145" s="270"/>
      <c r="I145" s="270"/>
      <c r="J145" s="270"/>
      <c r="K145" s="270"/>
      <c r="L145" s="270"/>
      <c r="M145" s="270"/>
      <c r="N145" s="270"/>
      <c r="O145" s="270"/>
      <c r="P145" s="270"/>
      <c r="Q145" s="270"/>
      <c r="R145" s="270"/>
      <c r="S145" s="270"/>
      <c r="T145" s="270"/>
      <c r="U145" s="270"/>
    </row>
    <row r="146" spans="3:21">
      <c r="C146" s="270"/>
      <c r="D146" s="270"/>
      <c r="E146" s="270"/>
      <c r="F146" s="270"/>
      <c r="G146" s="270"/>
      <c r="H146" s="270"/>
      <c r="I146" s="270"/>
      <c r="J146" s="270"/>
      <c r="K146" s="270"/>
      <c r="L146" s="270"/>
      <c r="M146" s="270"/>
      <c r="N146" s="270"/>
      <c r="O146" s="270"/>
      <c r="P146" s="270"/>
      <c r="Q146" s="270"/>
      <c r="R146" s="270"/>
      <c r="S146" s="270"/>
      <c r="T146" s="270"/>
      <c r="U146" s="270"/>
    </row>
    <row r="147" spans="3:21">
      <c r="C147" s="270"/>
      <c r="D147" s="270"/>
      <c r="E147" s="270"/>
      <c r="F147" s="270"/>
      <c r="G147" s="270"/>
      <c r="H147" s="270"/>
      <c r="I147" s="270"/>
      <c r="J147" s="270"/>
      <c r="K147" s="270"/>
      <c r="L147" s="270"/>
      <c r="M147" s="270"/>
      <c r="N147" s="270"/>
      <c r="O147" s="270"/>
      <c r="P147" s="270"/>
      <c r="Q147" s="270"/>
      <c r="R147" s="270"/>
      <c r="S147" s="270"/>
      <c r="T147" s="270"/>
      <c r="U147" s="270"/>
    </row>
    <row r="148" spans="3:21">
      <c r="C148" s="270"/>
      <c r="D148" s="270"/>
      <c r="E148" s="270"/>
      <c r="F148" s="270"/>
      <c r="G148" s="270"/>
      <c r="H148" s="270"/>
      <c r="I148" s="270"/>
      <c r="J148" s="270"/>
      <c r="K148" s="270"/>
      <c r="L148" s="270"/>
      <c r="M148" s="270"/>
      <c r="N148" s="270"/>
      <c r="O148" s="270"/>
      <c r="P148" s="270"/>
      <c r="Q148" s="270"/>
      <c r="R148" s="270"/>
      <c r="S148" s="270"/>
      <c r="T148" s="270"/>
      <c r="U148" s="270"/>
    </row>
    <row r="149" spans="3:21">
      <c r="C149" s="270"/>
      <c r="D149" s="270"/>
      <c r="E149" s="270"/>
      <c r="F149" s="270"/>
      <c r="G149" s="270"/>
      <c r="H149" s="270"/>
      <c r="I149" s="270"/>
      <c r="J149" s="270"/>
      <c r="K149" s="270"/>
      <c r="L149" s="270"/>
      <c r="M149" s="270"/>
      <c r="N149" s="270"/>
      <c r="O149" s="270"/>
      <c r="P149" s="270"/>
      <c r="Q149" s="270"/>
      <c r="R149" s="270"/>
      <c r="S149" s="270"/>
      <c r="T149" s="270"/>
      <c r="U149" s="270"/>
    </row>
    <row r="150" spans="3:21">
      <c r="C150" s="270"/>
      <c r="D150" s="270"/>
      <c r="E150" s="270"/>
      <c r="F150" s="270"/>
      <c r="G150" s="270"/>
      <c r="H150" s="270"/>
      <c r="I150" s="270"/>
      <c r="J150" s="270"/>
      <c r="K150" s="270"/>
      <c r="L150" s="270"/>
      <c r="M150" s="270"/>
      <c r="N150" s="270"/>
      <c r="O150" s="270"/>
      <c r="P150" s="270"/>
      <c r="Q150" s="270"/>
      <c r="R150" s="270"/>
      <c r="S150" s="270"/>
      <c r="T150" s="270"/>
      <c r="U150" s="270"/>
    </row>
    <row r="151" spans="3:21">
      <c r="C151" s="270"/>
      <c r="D151" s="270"/>
      <c r="E151" s="270"/>
      <c r="F151" s="270"/>
      <c r="G151" s="270"/>
      <c r="H151" s="270"/>
      <c r="I151" s="270"/>
      <c r="J151" s="270"/>
      <c r="K151" s="270"/>
      <c r="L151" s="270"/>
      <c r="M151" s="270"/>
      <c r="N151" s="270"/>
      <c r="O151" s="270"/>
      <c r="P151" s="270"/>
      <c r="Q151" s="270"/>
      <c r="R151" s="270"/>
      <c r="S151" s="270"/>
      <c r="T151" s="270"/>
      <c r="U151" s="270"/>
    </row>
    <row r="152" spans="3:21">
      <c r="C152" s="270"/>
      <c r="D152" s="270"/>
      <c r="E152" s="270"/>
      <c r="F152" s="270"/>
      <c r="G152" s="270"/>
      <c r="H152" s="270"/>
      <c r="I152" s="270"/>
      <c r="J152" s="270"/>
      <c r="K152" s="270"/>
      <c r="L152" s="270"/>
      <c r="M152" s="270"/>
      <c r="N152" s="270"/>
      <c r="O152" s="270"/>
      <c r="P152" s="270"/>
      <c r="Q152" s="270"/>
      <c r="R152" s="270"/>
      <c r="S152" s="270"/>
      <c r="T152" s="270"/>
      <c r="U152" s="270"/>
    </row>
    <row r="153" spans="3:21">
      <c r="C153" s="270"/>
      <c r="D153" s="270"/>
      <c r="E153" s="270"/>
      <c r="F153" s="270"/>
      <c r="G153" s="270"/>
      <c r="H153" s="270"/>
      <c r="I153" s="270"/>
      <c r="J153" s="270"/>
      <c r="K153" s="270"/>
      <c r="L153" s="270"/>
      <c r="M153" s="270"/>
      <c r="N153" s="270"/>
      <c r="O153" s="270"/>
      <c r="P153" s="270"/>
      <c r="Q153" s="270"/>
      <c r="R153" s="270"/>
      <c r="S153" s="270"/>
      <c r="T153" s="270"/>
      <c r="U153" s="270"/>
    </row>
    <row r="154" spans="3:21">
      <c r="C154" s="270"/>
      <c r="D154" s="270"/>
      <c r="E154" s="270"/>
      <c r="F154" s="270"/>
      <c r="G154" s="270"/>
      <c r="H154" s="270"/>
      <c r="I154" s="270"/>
      <c r="J154" s="270"/>
      <c r="K154" s="270"/>
      <c r="L154" s="270"/>
      <c r="M154" s="270"/>
      <c r="N154" s="270"/>
      <c r="O154" s="270"/>
      <c r="P154" s="270"/>
      <c r="Q154" s="270"/>
      <c r="R154" s="270"/>
      <c r="S154" s="270"/>
      <c r="T154" s="270"/>
      <c r="U154" s="270"/>
    </row>
    <row r="155" spans="3:21">
      <c r="C155" s="270"/>
      <c r="D155" s="270"/>
      <c r="E155" s="270"/>
      <c r="F155" s="270"/>
      <c r="G155" s="270"/>
      <c r="H155" s="270"/>
      <c r="I155" s="270"/>
      <c r="J155" s="270"/>
      <c r="K155" s="270"/>
      <c r="L155" s="270"/>
      <c r="M155" s="270"/>
      <c r="N155" s="270"/>
      <c r="O155" s="270"/>
      <c r="P155" s="270"/>
      <c r="Q155" s="270"/>
      <c r="R155" s="270"/>
      <c r="S155" s="270"/>
      <c r="T155" s="270"/>
      <c r="U155" s="270"/>
    </row>
    <row r="156" spans="3:21">
      <c r="C156" s="270"/>
      <c r="D156" s="270"/>
      <c r="E156" s="270"/>
      <c r="F156" s="270"/>
      <c r="G156" s="270"/>
      <c r="H156" s="270"/>
      <c r="I156" s="270"/>
      <c r="J156" s="270"/>
      <c r="K156" s="270"/>
      <c r="L156" s="270"/>
      <c r="M156" s="270"/>
      <c r="N156" s="270"/>
      <c r="O156" s="270"/>
      <c r="P156" s="270"/>
      <c r="Q156" s="270"/>
      <c r="R156" s="270"/>
      <c r="S156" s="270"/>
      <c r="T156" s="270"/>
      <c r="U156" s="270"/>
    </row>
    <row r="157" spans="3:21">
      <c r="C157" s="270"/>
      <c r="D157" s="270"/>
      <c r="E157" s="270"/>
      <c r="F157" s="270"/>
      <c r="G157" s="270"/>
      <c r="H157" s="270"/>
      <c r="I157" s="270"/>
      <c r="J157" s="270"/>
      <c r="K157" s="270"/>
      <c r="L157" s="270"/>
      <c r="M157" s="270"/>
      <c r="N157" s="270"/>
      <c r="O157" s="270"/>
      <c r="P157" s="270"/>
      <c r="Q157" s="270"/>
      <c r="R157" s="270"/>
      <c r="S157" s="270"/>
      <c r="T157" s="270"/>
      <c r="U157" s="270"/>
    </row>
    <row r="158" spans="3:21">
      <c r="C158" s="270"/>
      <c r="D158" s="270"/>
      <c r="E158" s="270"/>
      <c r="F158" s="270"/>
      <c r="G158" s="270"/>
      <c r="H158" s="270"/>
      <c r="I158" s="270"/>
      <c r="J158" s="270"/>
      <c r="K158" s="270"/>
      <c r="L158" s="270"/>
      <c r="M158" s="270"/>
      <c r="N158" s="270"/>
      <c r="O158" s="270"/>
      <c r="P158" s="270"/>
      <c r="Q158" s="270"/>
      <c r="R158" s="270"/>
      <c r="S158" s="270"/>
      <c r="T158" s="270"/>
      <c r="U158" s="270"/>
    </row>
    <row r="159" spans="3:21">
      <c r="C159" s="270"/>
      <c r="D159" s="270"/>
      <c r="E159" s="270"/>
      <c r="F159" s="270"/>
      <c r="G159" s="270"/>
      <c r="H159" s="270"/>
      <c r="I159" s="270"/>
      <c r="J159" s="270"/>
      <c r="K159" s="270"/>
      <c r="L159" s="270"/>
      <c r="M159" s="270"/>
      <c r="N159" s="270"/>
      <c r="O159" s="270"/>
      <c r="P159" s="270"/>
      <c r="Q159" s="270"/>
      <c r="R159" s="270"/>
      <c r="S159" s="270"/>
      <c r="T159" s="270"/>
      <c r="U159" s="270"/>
    </row>
    <row r="160" spans="3:21">
      <c r="C160" s="270"/>
      <c r="D160" s="270"/>
      <c r="E160" s="270"/>
      <c r="F160" s="270"/>
      <c r="G160" s="270"/>
      <c r="H160" s="270"/>
      <c r="I160" s="270"/>
      <c r="J160" s="270"/>
      <c r="K160" s="270"/>
      <c r="L160" s="270"/>
      <c r="M160" s="270"/>
      <c r="N160" s="270"/>
      <c r="O160" s="270"/>
      <c r="P160" s="270"/>
      <c r="Q160" s="270"/>
      <c r="R160" s="270"/>
      <c r="S160" s="270"/>
      <c r="T160" s="270"/>
      <c r="U160" s="270"/>
    </row>
    <row r="161" spans="3:21">
      <c r="C161" s="270"/>
      <c r="D161" s="270"/>
      <c r="E161" s="270"/>
      <c r="F161" s="270"/>
      <c r="G161" s="270"/>
      <c r="H161" s="270"/>
      <c r="I161" s="270"/>
      <c r="J161" s="270"/>
      <c r="K161" s="270"/>
      <c r="L161" s="270"/>
      <c r="M161" s="270"/>
      <c r="N161" s="270"/>
      <c r="O161" s="270"/>
      <c r="P161" s="270"/>
      <c r="Q161" s="270"/>
      <c r="R161" s="270"/>
      <c r="S161" s="270"/>
      <c r="T161" s="270"/>
      <c r="U161" s="270"/>
    </row>
    <row r="162" spans="3:21">
      <c r="C162" s="270"/>
      <c r="D162" s="270"/>
      <c r="E162" s="270"/>
      <c r="F162" s="270"/>
      <c r="G162" s="270"/>
      <c r="H162" s="270"/>
      <c r="I162" s="270"/>
      <c r="J162" s="270"/>
      <c r="K162" s="270"/>
      <c r="L162" s="270"/>
      <c r="M162" s="270"/>
      <c r="N162" s="270"/>
      <c r="O162" s="270"/>
      <c r="P162" s="270"/>
      <c r="Q162" s="270"/>
      <c r="R162" s="270"/>
      <c r="S162" s="270"/>
      <c r="T162" s="270"/>
      <c r="U162" s="270"/>
    </row>
    <row r="163" spans="3:21">
      <c r="C163" s="270"/>
      <c r="D163" s="270"/>
      <c r="E163" s="270"/>
      <c r="F163" s="270"/>
      <c r="G163" s="270"/>
      <c r="H163" s="270"/>
      <c r="I163" s="270"/>
      <c r="J163" s="270"/>
      <c r="K163" s="270"/>
      <c r="L163" s="270"/>
      <c r="M163" s="270"/>
      <c r="N163" s="270"/>
      <c r="O163" s="270"/>
      <c r="P163" s="270"/>
      <c r="Q163" s="270"/>
      <c r="R163" s="270"/>
      <c r="S163" s="270"/>
      <c r="T163" s="270"/>
      <c r="U163" s="270"/>
    </row>
    <row r="164" spans="3:21">
      <c r="C164" s="270"/>
      <c r="D164" s="270"/>
      <c r="E164" s="270"/>
      <c r="F164" s="270"/>
      <c r="G164" s="270"/>
      <c r="H164" s="270"/>
      <c r="I164" s="270"/>
      <c r="J164" s="270"/>
      <c r="K164" s="270"/>
      <c r="L164" s="270"/>
      <c r="M164" s="270"/>
      <c r="N164" s="270"/>
      <c r="O164" s="270"/>
      <c r="P164" s="270"/>
      <c r="Q164" s="270"/>
      <c r="R164" s="270"/>
      <c r="S164" s="270"/>
      <c r="T164" s="270"/>
      <c r="U164" s="270"/>
    </row>
    <row r="165" spans="3:21">
      <c r="C165" s="270"/>
      <c r="D165" s="270"/>
      <c r="E165" s="270"/>
      <c r="F165" s="270"/>
      <c r="G165" s="270"/>
      <c r="H165" s="270"/>
      <c r="I165" s="270"/>
      <c r="J165" s="270"/>
      <c r="K165" s="270"/>
      <c r="L165" s="270"/>
      <c r="M165" s="270"/>
      <c r="N165" s="270"/>
      <c r="O165" s="270"/>
      <c r="P165" s="270"/>
      <c r="Q165" s="270"/>
      <c r="R165" s="270"/>
      <c r="S165" s="270"/>
      <c r="T165" s="270"/>
      <c r="U165" s="270"/>
    </row>
    <row r="166" spans="3:21">
      <c r="C166" s="270"/>
      <c r="D166" s="270"/>
      <c r="E166" s="270"/>
      <c r="F166" s="270"/>
      <c r="G166" s="270"/>
      <c r="H166" s="270"/>
      <c r="I166" s="270"/>
      <c r="J166" s="270"/>
      <c r="K166" s="270"/>
      <c r="L166" s="270"/>
      <c r="M166" s="270"/>
      <c r="N166" s="270"/>
      <c r="O166" s="270"/>
      <c r="P166" s="270"/>
      <c r="Q166" s="270"/>
      <c r="R166" s="270"/>
      <c r="S166" s="270"/>
      <c r="T166" s="270"/>
      <c r="U166" s="270"/>
    </row>
    <row r="167" spans="3:21">
      <c r="C167" s="270"/>
      <c r="D167" s="270"/>
      <c r="E167" s="270"/>
      <c r="F167" s="270"/>
      <c r="G167" s="270"/>
      <c r="H167" s="270"/>
      <c r="I167" s="270"/>
      <c r="J167" s="270"/>
      <c r="K167" s="270"/>
      <c r="L167" s="270"/>
      <c r="M167" s="270"/>
      <c r="N167" s="270"/>
      <c r="O167" s="270"/>
      <c r="P167" s="270"/>
      <c r="Q167" s="270"/>
      <c r="R167" s="270"/>
      <c r="S167" s="270"/>
      <c r="T167" s="270"/>
      <c r="U167" s="270"/>
    </row>
    <row r="168" spans="3:21">
      <c r="C168" s="270"/>
      <c r="D168" s="270"/>
      <c r="E168" s="270"/>
      <c r="F168" s="270"/>
      <c r="G168" s="270"/>
      <c r="H168" s="270"/>
      <c r="I168" s="270"/>
      <c r="J168" s="270"/>
      <c r="K168" s="270"/>
      <c r="L168" s="270"/>
      <c r="M168" s="270"/>
      <c r="N168" s="270"/>
      <c r="O168" s="270"/>
      <c r="P168" s="270"/>
      <c r="Q168" s="270"/>
      <c r="R168" s="270"/>
      <c r="S168" s="270"/>
      <c r="T168" s="270"/>
      <c r="U168" s="270"/>
    </row>
    <row r="169" spans="3:21">
      <c r="C169" s="270"/>
      <c r="D169" s="270"/>
      <c r="E169" s="270"/>
      <c r="F169" s="270"/>
      <c r="G169" s="270"/>
      <c r="H169" s="270"/>
      <c r="I169" s="270"/>
      <c r="J169" s="270"/>
      <c r="K169" s="270"/>
      <c r="L169" s="270"/>
      <c r="M169" s="270"/>
      <c r="N169" s="270"/>
      <c r="O169" s="270"/>
      <c r="P169" s="270"/>
      <c r="Q169" s="270"/>
      <c r="R169" s="270"/>
      <c r="S169" s="270"/>
      <c r="T169" s="270"/>
      <c r="U169" s="270"/>
    </row>
    <row r="170" spans="3:21">
      <c r="C170" s="270"/>
      <c r="D170" s="270"/>
      <c r="E170" s="270"/>
      <c r="F170" s="270"/>
      <c r="G170" s="270"/>
      <c r="H170" s="270"/>
      <c r="I170" s="270"/>
      <c r="J170" s="270"/>
      <c r="K170" s="270"/>
      <c r="L170" s="270"/>
      <c r="M170" s="270"/>
      <c r="N170" s="270"/>
      <c r="O170" s="270"/>
      <c r="P170" s="270"/>
      <c r="Q170" s="270"/>
      <c r="R170" s="270"/>
      <c r="S170" s="270"/>
      <c r="T170" s="270"/>
      <c r="U170" s="270"/>
    </row>
    <row r="171" spans="3:21">
      <c r="C171" s="270"/>
      <c r="D171" s="270"/>
      <c r="E171" s="270"/>
      <c r="F171" s="270"/>
      <c r="G171" s="270"/>
      <c r="H171" s="270"/>
      <c r="I171" s="270"/>
      <c r="J171" s="270"/>
      <c r="K171" s="270"/>
      <c r="L171" s="270"/>
      <c r="M171" s="270"/>
      <c r="N171" s="270"/>
      <c r="O171" s="270"/>
      <c r="P171" s="270"/>
      <c r="Q171" s="270"/>
      <c r="R171" s="270"/>
      <c r="S171" s="270"/>
      <c r="T171" s="270"/>
      <c r="U171" s="270"/>
    </row>
    <row r="172" spans="3:21">
      <c r="C172" s="270"/>
      <c r="D172" s="270"/>
      <c r="E172" s="270"/>
      <c r="F172" s="270"/>
      <c r="G172" s="270"/>
      <c r="H172" s="270"/>
      <c r="I172" s="270"/>
      <c r="J172" s="270"/>
      <c r="K172" s="270"/>
      <c r="L172" s="270"/>
      <c r="M172" s="270"/>
      <c r="N172" s="270"/>
      <c r="O172" s="270"/>
      <c r="P172" s="270"/>
      <c r="Q172" s="270"/>
      <c r="R172" s="270"/>
      <c r="S172" s="270"/>
      <c r="T172" s="270"/>
      <c r="U172" s="270"/>
    </row>
    <row r="173" spans="3:21">
      <c r="C173" s="270"/>
      <c r="D173" s="270"/>
      <c r="E173" s="270"/>
      <c r="F173" s="270"/>
      <c r="G173" s="270"/>
      <c r="H173" s="270"/>
      <c r="I173" s="270"/>
      <c r="J173" s="270"/>
      <c r="K173" s="270"/>
      <c r="L173" s="270"/>
      <c r="M173" s="270"/>
      <c r="N173" s="270"/>
      <c r="O173" s="270"/>
      <c r="P173" s="270"/>
      <c r="Q173" s="270"/>
      <c r="R173" s="270"/>
      <c r="S173" s="270"/>
      <c r="T173" s="270"/>
      <c r="U173" s="270"/>
    </row>
    <row r="174" spans="3:21">
      <c r="C174" s="270"/>
      <c r="D174" s="270"/>
      <c r="E174" s="270"/>
      <c r="F174" s="270"/>
      <c r="G174" s="270"/>
      <c r="H174" s="270"/>
      <c r="I174" s="270"/>
      <c r="J174" s="270"/>
      <c r="K174" s="270"/>
      <c r="L174" s="270"/>
      <c r="M174" s="270"/>
      <c r="N174" s="270"/>
      <c r="O174" s="270"/>
      <c r="P174" s="270"/>
      <c r="Q174" s="270"/>
      <c r="R174" s="270"/>
      <c r="S174" s="270"/>
      <c r="T174" s="270"/>
      <c r="U174" s="270"/>
    </row>
    <row r="175" spans="3:21">
      <c r="C175" s="270"/>
      <c r="D175" s="270"/>
      <c r="E175" s="270"/>
      <c r="F175" s="270"/>
      <c r="G175" s="270"/>
      <c r="H175" s="270"/>
      <c r="I175" s="270"/>
      <c r="J175" s="270"/>
      <c r="K175" s="270"/>
      <c r="L175" s="270"/>
      <c r="M175" s="270"/>
      <c r="N175" s="270"/>
      <c r="O175" s="270"/>
      <c r="P175" s="270"/>
      <c r="Q175" s="270"/>
      <c r="R175" s="270"/>
      <c r="S175" s="270"/>
      <c r="T175" s="270"/>
      <c r="U175" s="270"/>
    </row>
    <row r="176" spans="3:21">
      <c r="C176" s="270"/>
      <c r="D176" s="270"/>
      <c r="E176" s="270"/>
      <c r="F176" s="270"/>
      <c r="G176" s="270"/>
      <c r="H176" s="270"/>
      <c r="I176" s="270"/>
      <c r="J176" s="270"/>
      <c r="K176" s="270"/>
      <c r="L176" s="270"/>
      <c r="M176" s="270"/>
      <c r="N176" s="270"/>
      <c r="O176" s="270"/>
      <c r="P176" s="270"/>
      <c r="Q176" s="270"/>
      <c r="R176" s="270"/>
      <c r="S176" s="270"/>
      <c r="T176" s="270"/>
      <c r="U176" s="270"/>
    </row>
    <row r="177" spans="3:21">
      <c r="C177" s="270"/>
      <c r="D177" s="270"/>
      <c r="E177" s="270"/>
      <c r="F177" s="270"/>
      <c r="G177" s="270"/>
      <c r="H177" s="270"/>
      <c r="I177" s="270"/>
      <c r="J177" s="270"/>
      <c r="K177" s="270"/>
      <c r="L177" s="270"/>
      <c r="M177" s="270"/>
      <c r="N177" s="270"/>
      <c r="O177" s="270"/>
      <c r="P177" s="270"/>
      <c r="Q177" s="270"/>
      <c r="R177" s="270"/>
      <c r="S177" s="270"/>
      <c r="T177" s="270"/>
      <c r="U177" s="270"/>
    </row>
    <row r="178" spans="3:21">
      <c r="C178" s="270"/>
      <c r="D178" s="270"/>
      <c r="E178" s="270"/>
      <c r="F178" s="270"/>
      <c r="G178" s="270"/>
      <c r="H178" s="270"/>
      <c r="I178" s="270"/>
      <c r="J178" s="270"/>
      <c r="K178" s="270"/>
      <c r="L178" s="270"/>
      <c r="M178" s="270"/>
      <c r="N178" s="270"/>
      <c r="O178" s="270"/>
      <c r="P178" s="270"/>
      <c r="Q178" s="270"/>
      <c r="R178" s="270"/>
      <c r="S178" s="270"/>
      <c r="T178" s="270"/>
      <c r="U178" s="270"/>
    </row>
    <row r="179" spans="3:21">
      <c r="C179" s="270"/>
      <c r="D179" s="270"/>
      <c r="E179" s="270"/>
      <c r="F179" s="270"/>
      <c r="G179" s="270"/>
      <c r="H179" s="270"/>
      <c r="I179" s="270"/>
      <c r="J179" s="270"/>
      <c r="K179" s="270"/>
      <c r="L179" s="270"/>
      <c r="M179" s="270"/>
      <c r="N179" s="270"/>
      <c r="O179" s="270"/>
      <c r="P179" s="270"/>
      <c r="Q179" s="270"/>
      <c r="R179" s="270"/>
      <c r="S179" s="270"/>
      <c r="T179" s="270"/>
      <c r="U179" s="270"/>
    </row>
    <row r="180" spans="3:21">
      <c r="C180" s="270"/>
      <c r="D180" s="270"/>
      <c r="E180" s="270"/>
      <c r="F180" s="270"/>
      <c r="G180" s="270"/>
      <c r="H180" s="270"/>
      <c r="I180" s="270"/>
      <c r="J180" s="270"/>
      <c r="K180" s="270"/>
      <c r="L180" s="270"/>
      <c r="M180" s="270"/>
      <c r="N180" s="270"/>
      <c r="O180" s="270"/>
      <c r="P180" s="270"/>
      <c r="Q180" s="270"/>
      <c r="R180" s="270"/>
      <c r="S180" s="270"/>
      <c r="T180" s="270"/>
      <c r="U180" s="270"/>
    </row>
    <row r="181" spans="3:21">
      <c r="C181" s="270"/>
      <c r="D181" s="270"/>
      <c r="E181" s="270"/>
      <c r="F181" s="270"/>
      <c r="G181" s="270"/>
      <c r="H181" s="270"/>
      <c r="I181" s="270"/>
      <c r="J181" s="270"/>
      <c r="K181" s="270"/>
      <c r="L181" s="270"/>
      <c r="M181" s="270"/>
      <c r="N181" s="270"/>
      <c r="O181" s="270"/>
      <c r="P181" s="270"/>
      <c r="Q181" s="270"/>
      <c r="R181" s="270"/>
      <c r="S181" s="270"/>
      <c r="T181" s="270"/>
      <c r="U181" s="270"/>
    </row>
    <row r="182" spans="3:21">
      <c r="C182" s="270"/>
      <c r="D182" s="270"/>
      <c r="E182" s="270"/>
      <c r="F182" s="270"/>
      <c r="G182" s="270"/>
      <c r="H182" s="270"/>
      <c r="I182" s="270"/>
      <c r="J182" s="270"/>
      <c r="K182" s="270"/>
      <c r="L182" s="270"/>
      <c r="M182" s="270"/>
      <c r="N182" s="270"/>
      <c r="O182" s="270"/>
      <c r="P182" s="270"/>
      <c r="Q182" s="270"/>
      <c r="R182" s="270"/>
      <c r="S182" s="270"/>
      <c r="T182" s="270"/>
      <c r="U182" s="270"/>
    </row>
    <row r="183" spans="3:21">
      <c r="C183" s="270"/>
      <c r="D183" s="270"/>
      <c r="E183" s="270"/>
      <c r="F183" s="270"/>
      <c r="G183" s="270"/>
      <c r="H183" s="270"/>
      <c r="I183" s="270"/>
      <c r="J183" s="270"/>
      <c r="K183" s="270"/>
      <c r="L183" s="270"/>
      <c r="M183" s="270"/>
      <c r="N183" s="270"/>
      <c r="O183" s="270"/>
      <c r="P183" s="270"/>
      <c r="Q183" s="270"/>
      <c r="R183" s="270"/>
      <c r="S183" s="270"/>
      <c r="T183" s="270"/>
      <c r="U183" s="270"/>
    </row>
    <row r="184" spans="3:21">
      <c r="C184" s="270"/>
      <c r="D184" s="270"/>
      <c r="E184" s="270"/>
      <c r="F184" s="270"/>
      <c r="G184" s="270"/>
      <c r="H184" s="270"/>
      <c r="I184" s="270"/>
      <c r="J184" s="270"/>
      <c r="K184" s="270"/>
      <c r="L184" s="270"/>
      <c r="M184" s="270"/>
      <c r="N184" s="270"/>
      <c r="O184" s="270"/>
      <c r="P184" s="270"/>
      <c r="Q184" s="270"/>
      <c r="R184" s="270"/>
      <c r="S184" s="270"/>
      <c r="T184" s="270"/>
      <c r="U184" s="270"/>
    </row>
    <row r="185" spans="3:21">
      <c r="C185" s="270"/>
      <c r="D185" s="270"/>
      <c r="E185" s="270"/>
      <c r="F185" s="270"/>
      <c r="G185" s="270"/>
      <c r="H185" s="270"/>
      <c r="I185" s="270"/>
      <c r="J185" s="270"/>
      <c r="K185" s="270"/>
      <c r="L185" s="270"/>
      <c r="M185" s="270"/>
      <c r="N185" s="270"/>
      <c r="O185" s="270"/>
      <c r="P185" s="270"/>
      <c r="Q185" s="270"/>
      <c r="R185" s="270"/>
      <c r="S185" s="270"/>
      <c r="T185" s="270"/>
      <c r="U185" s="270"/>
    </row>
    <row r="186" spans="3:21">
      <c r="C186" s="270"/>
      <c r="D186" s="270"/>
      <c r="E186" s="270"/>
      <c r="F186" s="270"/>
      <c r="G186" s="270"/>
      <c r="H186" s="270"/>
      <c r="I186" s="270"/>
      <c r="J186" s="270"/>
      <c r="K186" s="270"/>
      <c r="L186" s="270"/>
      <c r="M186" s="270"/>
      <c r="N186" s="270"/>
      <c r="O186" s="270"/>
      <c r="P186" s="270"/>
      <c r="Q186" s="270"/>
      <c r="R186" s="270"/>
      <c r="S186" s="270"/>
      <c r="T186" s="270"/>
      <c r="U186" s="270"/>
    </row>
    <row r="187" spans="3:21">
      <c r="C187" s="270"/>
      <c r="D187" s="270"/>
      <c r="E187" s="270"/>
      <c r="F187" s="270"/>
      <c r="G187" s="270"/>
      <c r="H187" s="270"/>
      <c r="I187" s="270"/>
      <c r="J187" s="270"/>
      <c r="K187" s="270"/>
      <c r="L187" s="270"/>
      <c r="M187" s="270"/>
      <c r="N187" s="270"/>
      <c r="O187" s="270"/>
      <c r="P187" s="270"/>
      <c r="Q187" s="270"/>
      <c r="R187" s="270"/>
      <c r="S187" s="270"/>
      <c r="T187" s="270"/>
      <c r="U187" s="270"/>
    </row>
    <row r="188" spans="3:21">
      <c r="C188" s="270"/>
      <c r="D188" s="270"/>
      <c r="E188" s="270"/>
      <c r="F188" s="270"/>
      <c r="G188" s="270"/>
      <c r="H188" s="270"/>
      <c r="I188" s="270"/>
      <c r="J188" s="270"/>
      <c r="K188" s="270"/>
      <c r="L188" s="270"/>
      <c r="M188" s="270"/>
      <c r="N188" s="270"/>
      <c r="O188" s="270"/>
      <c r="P188" s="270"/>
      <c r="Q188" s="270"/>
      <c r="R188" s="270"/>
      <c r="S188" s="270"/>
      <c r="T188" s="270"/>
      <c r="U188" s="270"/>
    </row>
    <row r="189" spans="3:21">
      <c r="C189" s="270"/>
      <c r="D189" s="270"/>
      <c r="E189" s="270"/>
      <c r="F189" s="270"/>
      <c r="G189" s="270"/>
      <c r="H189" s="270"/>
      <c r="I189" s="270"/>
      <c r="J189" s="270"/>
      <c r="K189" s="270"/>
      <c r="L189" s="270"/>
      <c r="M189" s="270"/>
      <c r="N189" s="270"/>
      <c r="O189" s="270"/>
      <c r="P189" s="270"/>
      <c r="Q189" s="270"/>
      <c r="R189" s="270"/>
      <c r="S189" s="270"/>
      <c r="T189" s="270"/>
      <c r="U189" s="270"/>
    </row>
    <row r="190" spans="3:21">
      <c r="C190" s="270"/>
      <c r="D190" s="270"/>
      <c r="E190" s="270"/>
      <c r="F190" s="270"/>
      <c r="G190" s="270"/>
      <c r="H190" s="270"/>
      <c r="I190" s="270"/>
      <c r="J190" s="270"/>
      <c r="K190" s="270"/>
      <c r="L190" s="270"/>
      <c r="M190" s="270"/>
      <c r="N190" s="270"/>
      <c r="O190" s="270"/>
      <c r="P190" s="270"/>
      <c r="Q190" s="270"/>
      <c r="R190" s="270"/>
      <c r="S190" s="270"/>
      <c r="T190" s="270"/>
      <c r="U190" s="270"/>
    </row>
    <row r="191" spans="3:21">
      <c r="C191" s="270"/>
      <c r="D191" s="270"/>
      <c r="E191" s="270"/>
      <c r="F191" s="270"/>
      <c r="G191" s="270"/>
      <c r="H191" s="270"/>
      <c r="I191" s="270"/>
      <c r="J191" s="270"/>
      <c r="K191" s="270"/>
      <c r="L191" s="270"/>
      <c r="M191" s="270"/>
      <c r="N191" s="270"/>
      <c r="O191" s="270"/>
      <c r="P191" s="270"/>
      <c r="Q191" s="270"/>
      <c r="R191" s="270"/>
      <c r="S191" s="270"/>
      <c r="T191" s="270"/>
      <c r="U191" s="270"/>
    </row>
    <row r="192" spans="3:21">
      <c r="C192" s="270"/>
      <c r="D192" s="270"/>
      <c r="E192" s="270"/>
      <c r="F192" s="270"/>
      <c r="G192" s="270"/>
      <c r="H192" s="270"/>
      <c r="I192" s="270"/>
      <c r="J192" s="270"/>
      <c r="K192" s="270"/>
      <c r="L192" s="270"/>
      <c r="M192" s="270"/>
      <c r="N192" s="270"/>
      <c r="O192" s="270"/>
      <c r="P192" s="270"/>
      <c r="Q192" s="270"/>
      <c r="R192" s="270"/>
      <c r="S192" s="270"/>
      <c r="T192" s="270"/>
      <c r="U192" s="270"/>
    </row>
    <row r="193" spans="3:21">
      <c r="C193" s="270"/>
      <c r="D193" s="270"/>
      <c r="E193" s="270"/>
      <c r="F193" s="270"/>
      <c r="G193" s="270"/>
      <c r="H193" s="270"/>
      <c r="I193" s="270"/>
      <c r="J193" s="270"/>
      <c r="K193" s="270"/>
      <c r="L193" s="270"/>
      <c r="M193" s="270"/>
      <c r="N193" s="270"/>
      <c r="O193" s="270"/>
      <c r="P193" s="270"/>
      <c r="Q193" s="270"/>
      <c r="R193" s="270"/>
      <c r="S193" s="270"/>
      <c r="T193" s="270"/>
      <c r="U193" s="270"/>
    </row>
    <row r="194" spans="3:21">
      <c r="C194" s="270"/>
      <c r="D194" s="270"/>
      <c r="E194" s="270"/>
      <c r="F194" s="270"/>
      <c r="G194" s="270"/>
      <c r="H194" s="270"/>
      <c r="I194" s="270"/>
      <c r="J194" s="270"/>
      <c r="K194" s="270"/>
      <c r="L194" s="270"/>
      <c r="M194" s="270"/>
      <c r="N194" s="270"/>
      <c r="O194" s="270"/>
      <c r="P194" s="270"/>
      <c r="Q194" s="270"/>
      <c r="R194" s="270"/>
      <c r="S194" s="270"/>
      <c r="T194" s="270"/>
      <c r="U194" s="270"/>
    </row>
    <row r="195" spans="3:21">
      <c r="C195" s="270"/>
      <c r="D195" s="270"/>
      <c r="E195" s="270"/>
      <c r="F195" s="270"/>
      <c r="G195" s="270"/>
      <c r="H195" s="270"/>
      <c r="I195" s="270"/>
      <c r="J195" s="270"/>
      <c r="K195" s="270"/>
      <c r="L195" s="270"/>
      <c r="M195" s="270"/>
      <c r="N195" s="270"/>
      <c r="O195" s="270"/>
      <c r="P195" s="270"/>
      <c r="Q195" s="270"/>
      <c r="R195" s="270"/>
      <c r="S195" s="270"/>
      <c r="T195" s="270"/>
      <c r="U195" s="270"/>
    </row>
    <row r="196" spans="3:21">
      <c r="C196" s="270"/>
      <c r="D196" s="270"/>
      <c r="E196" s="270"/>
      <c r="F196" s="270"/>
      <c r="G196" s="270"/>
      <c r="H196" s="270"/>
      <c r="I196" s="270"/>
      <c r="J196" s="270"/>
      <c r="K196" s="270"/>
      <c r="L196" s="270"/>
      <c r="M196" s="270"/>
      <c r="N196" s="270"/>
      <c r="O196" s="270"/>
      <c r="P196" s="270"/>
      <c r="Q196" s="270"/>
      <c r="R196" s="270"/>
      <c r="S196" s="270"/>
      <c r="T196" s="270"/>
      <c r="U196" s="270"/>
    </row>
    <row r="197" spans="3:21">
      <c r="C197" s="270"/>
      <c r="D197" s="270"/>
      <c r="E197" s="270"/>
      <c r="F197" s="270"/>
      <c r="G197" s="270"/>
      <c r="H197" s="270"/>
      <c r="I197" s="270"/>
      <c r="J197" s="270"/>
      <c r="K197" s="270"/>
      <c r="L197" s="270"/>
      <c r="M197" s="270"/>
      <c r="N197" s="270"/>
      <c r="O197" s="270"/>
      <c r="P197" s="270"/>
      <c r="Q197" s="270"/>
      <c r="R197" s="270"/>
      <c r="S197" s="270"/>
      <c r="T197" s="270"/>
      <c r="U197" s="270"/>
    </row>
    <row r="198" spans="3:21">
      <c r="C198" s="270"/>
      <c r="D198" s="270"/>
      <c r="E198" s="270"/>
      <c r="F198" s="270"/>
      <c r="G198" s="270"/>
      <c r="H198" s="270"/>
      <c r="I198" s="270"/>
      <c r="J198" s="270"/>
      <c r="K198" s="270"/>
      <c r="L198" s="270"/>
      <c r="M198" s="270"/>
      <c r="N198" s="270"/>
      <c r="O198" s="270"/>
      <c r="P198" s="270"/>
      <c r="Q198" s="270"/>
      <c r="R198" s="270"/>
      <c r="S198" s="270"/>
      <c r="T198" s="270"/>
      <c r="U198" s="270"/>
    </row>
    <row r="199" spans="3:21">
      <c r="C199" s="270"/>
      <c r="D199" s="270"/>
      <c r="E199" s="270"/>
      <c r="F199" s="270"/>
      <c r="G199" s="270"/>
      <c r="H199" s="270"/>
      <c r="I199" s="270"/>
      <c r="J199" s="270"/>
      <c r="K199" s="270"/>
      <c r="L199" s="270"/>
      <c r="M199" s="270"/>
      <c r="N199" s="270"/>
      <c r="O199" s="270"/>
      <c r="P199" s="270"/>
      <c r="Q199" s="270"/>
      <c r="R199" s="270"/>
      <c r="S199" s="270"/>
      <c r="T199" s="270"/>
      <c r="U199" s="270"/>
    </row>
    <row r="200" spans="3:21">
      <c r="C200" s="270"/>
      <c r="D200" s="270"/>
      <c r="E200" s="270"/>
      <c r="F200" s="270"/>
      <c r="G200" s="270"/>
      <c r="H200" s="270"/>
      <c r="I200" s="270"/>
      <c r="J200" s="270"/>
      <c r="K200" s="270"/>
      <c r="L200" s="270"/>
      <c r="M200" s="270"/>
      <c r="N200" s="270"/>
      <c r="O200" s="270"/>
      <c r="P200" s="270"/>
      <c r="Q200" s="270"/>
      <c r="R200" s="270"/>
      <c r="S200" s="270"/>
      <c r="T200" s="270"/>
      <c r="U200" s="270"/>
    </row>
    <row r="201" spans="3:21">
      <c r="C201" s="270"/>
      <c r="D201" s="270"/>
      <c r="E201" s="270"/>
      <c r="F201" s="270"/>
      <c r="G201" s="270"/>
      <c r="H201" s="270"/>
      <c r="I201" s="270"/>
      <c r="J201" s="270"/>
      <c r="K201" s="270"/>
      <c r="L201" s="270"/>
      <c r="M201" s="270"/>
      <c r="N201" s="270"/>
      <c r="O201" s="270"/>
      <c r="P201" s="270"/>
      <c r="Q201" s="270"/>
      <c r="R201" s="270"/>
      <c r="S201" s="270"/>
      <c r="T201" s="270"/>
      <c r="U201" s="270"/>
    </row>
    <row r="202" spans="3:21">
      <c r="C202" s="270"/>
      <c r="D202" s="270"/>
      <c r="E202" s="270"/>
      <c r="F202" s="270"/>
      <c r="G202" s="270"/>
      <c r="H202" s="270"/>
      <c r="I202" s="270"/>
      <c r="J202" s="270"/>
      <c r="K202" s="270"/>
      <c r="L202" s="270"/>
      <c r="M202" s="270"/>
      <c r="N202" s="270"/>
      <c r="O202" s="270"/>
      <c r="P202" s="270"/>
      <c r="Q202" s="270"/>
      <c r="R202" s="270"/>
      <c r="S202" s="270"/>
      <c r="T202" s="270"/>
      <c r="U202" s="270"/>
    </row>
    <row r="203" spans="3:21">
      <c r="C203" s="270"/>
      <c r="D203" s="270"/>
      <c r="E203" s="270"/>
      <c r="F203" s="270"/>
      <c r="G203" s="270"/>
      <c r="H203" s="270"/>
      <c r="I203" s="270"/>
      <c r="J203" s="270"/>
      <c r="K203" s="270"/>
      <c r="L203" s="270"/>
      <c r="M203" s="270"/>
      <c r="N203" s="270"/>
      <c r="O203" s="270"/>
      <c r="P203" s="270"/>
      <c r="Q203" s="270"/>
      <c r="R203" s="270"/>
      <c r="S203" s="270"/>
      <c r="T203" s="270"/>
      <c r="U203" s="270"/>
    </row>
    <row r="204" spans="3:21">
      <c r="C204" s="270"/>
      <c r="D204" s="270"/>
      <c r="E204" s="270"/>
      <c r="F204" s="270"/>
      <c r="G204" s="270"/>
      <c r="H204" s="270"/>
      <c r="I204" s="270"/>
      <c r="J204" s="270"/>
      <c r="K204" s="270"/>
      <c r="L204" s="270"/>
      <c r="M204" s="270"/>
      <c r="N204" s="270"/>
      <c r="O204" s="270"/>
      <c r="P204" s="270"/>
      <c r="Q204" s="270"/>
      <c r="R204" s="270"/>
      <c r="S204" s="270"/>
      <c r="T204" s="270"/>
      <c r="U204" s="270"/>
    </row>
    <row r="205" spans="3:21">
      <c r="C205" s="270"/>
      <c r="D205" s="270"/>
      <c r="E205" s="270"/>
      <c r="F205" s="270"/>
      <c r="G205" s="270"/>
      <c r="H205" s="270"/>
      <c r="I205" s="270"/>
      <c r="J205" s="270"/>
      <c r="K205" s="270"/>
      <c r="L205" s="270"/>
      <c r="M205" s="270"/>
      <c r="N205" s="270"/>
      <c r="O205" s="270"/>
      <c r="P205" s="270"/>
      <c r="Q205" s="270"/>
      <c r="R205" s="270"/>
      <c r="S205" s="270"/>
      <c r="T205" s="270"/>
      <c r="U205" s="270"/>
    </row>
    <row r="206" spans="3:21">
      <c r="C206" s="270"/>
      <c r="D206" s="270"/>
      <c r="E206" s="270"/>
      <c r="F206" s="270"/>
      <c r="G206" s="270"/>
      <c r="H206" s="270"/>
      <c r="I206" s="270"/>
      <c r="J206" s="270"/>
      <c r="K206" s="270"/>
      <c r="L206" s="270"/>
      <c r="M206" s="270"/>
      <c r="N206" s="270"/>
      <c r="O206" s="270"/>
      <c r="P206" s="270"/>
      <c r="Q206" s="270"/>
      <c r="R206" s="270"/>
      <c r="S206" s="270"/>
      <c r="T206" s="270"/>
      <c r="U206" s="270"/>
    </row>
    <row r="207" spans="3:21">
      <c r="C207" s="270"/>
      <c r="D207" s="270"/>
      <c r="E207" s="270"/>
      <c r="F207" s="270"/>
      <c r="G207" s="270"/>
      <c r="H207" s="270"/>
      <c r="I207" s="270"/>
      <c r="J207" s="270"/>
      <c r="K207" s="270"/>
      <c r="L207" s="270"/>
      <c r="M207" s="270"/>
      <c r="N207" s="270"/>
      <c r="O207" s="270"/>
      <c r="P207" s="270"/>
      <c r="Q207" s="270"/>
      <c r="R207" s="270"/>
      <c r="S207" s="270"/>
      <c r="T207" s="270"/>
      <c r="U207" s="270"/>
    </row>
    <row r="208" spans="3:21">
      <c r="C208" s="270"/>
      <c r="D208" s="270"/>
      <c r="E208" s="270"/>
      <c r="F208" s="270"/>
      <c r="G208" s="270"/>
      <c r="H208" s="270"/>
      <c r="I208" s="270"/>
      <c r="J208" s="270"/>
      <c r="K208" s="270"/>
      <c r="L208" s="270"/>
      <c r="M208" s="270"/>
      <c r="N208" s="270"/>
      <c r="O208" s="270"/>
      <c r="P208" s="270"/>
      <c r="Q208" s="270"/>
      <c r="R208" s="270"/>
      <c r="S208" s="270"/>
      <c r="T208" s="270"/>
      <c r="U208" s="270"/>
    </row>
    <row r="209" spans="3:21">
      <c r="C209" s="270"/>
      <c r="D209" s="270"/>
      <c r="E209" s="270"/>
      <c r="F209" s="270"/>
      <c r="G209" s="270"/>
      <c r="H209" s="270"/>
      <c r="I209" s="270"/>
      <c r="J209" s="270"/>
      <c r="K209" s="270"/>
      <c r="L209" s="270"/>
      <c r="M209" s="270"/>
      <c r="N209" s="270"/>
      <c r="O209" s="270"/>
      <c r="P209" s="270"/>
      <c r="Q209" s="270"/>
      <c r="R209" s="270"/>
      <c r="S209" s="270"/>
      <c r="T209" s="270"/>
      <c r="U209" s="270"/>
    </row>
    <row r="210" spans="3:21">
      <c r="C210" s="270"/>
      <c r="D210" s="270"/>
      <c r="E210" s="270"/>
      <c r="F210" s="270"/>
      <c r="G210" s="270"/>
      <c r="H210" s="270"/>
      <c r="I210" s="270"/>
      <c r="J210" s="270"/>
      <c r="K210" s="270"/>
      <c r="L210" s="270"/>
      <c r="M210" s="270"/>
      <c r="N210" s="270"/>
      <c r="O210" s="270"/>
      <c r="P210" s="270"/>
      <c r="Q210" s="270"/>
      <c r="R210" s="270"/>
      <c r="S210" s="270"/>
      <c r="T210" s="270"/>
      <c r="U210" s="270"/>
    </row>
    <row r="211" spans="3:21">
      <c r="C211" s="270"/>
      <c r="D211" s="270"/>
      <c r="E211" s="270"/>
      <c r="F211" s="270"/>
      <c r="G211" s="270"/>
      <c r="H211" s="270"/>
      <c r="I211" s="270"/>
      <c r="J211" s="270"/>
      <c r="K211" s="270"/>
      <c r="L211" s="270"/>
      <c r="M211" s="270"/>
      <c r="N211" s="270"/>
      <c r="O211" s="270"/>
      <c r="P211" s="270"/>
      <c r="Q211" s="270"/>
      <c r="R211" s="270"/>
      <c r="S211" s="270"/>
      <c r="T211" s="270"/>
      <c r="U211" s="270"/>
    </row>
    <row r="212" spans="3:21">
      <c r="C212" s="270"/>
      <c r="D212" s="270"/>
      <c r="E212" s="270"/>
      <c r="F212" s="270"/>
      <c r="G212" s="270"/>
      <c r="H212" s="270"/>
      <c r="I212" s="270"/>
      <c r="J212" s="270"/>
      <c r="K212" s="270"/>
      <c r="L212" s="270"/>
      <c r="M212" s="270"/>
      <c r="N212" s="270"/>
      <c r="O212" s="270"/>
      <c r="P212" s="270"/>
      <c r="Q212" s="270"/>
      <c r="R212" s="270"/>
      <c r="S212" s="270"/>
      <c r="T212" s="270"/>
      <c r="U212" s="270"/>
    </row>
    <row r="213" spans="3:21">
      <c r="C213" s="270"/>
      <c r="D213" s="270"/>
      <c r="E213" s="270"/>
      <c r="F213" s="270"/>
      <c r="G213" s="270"/>
      <c r="H213" s="270"/>
      <c r="I213" s="270"/>
      <c r="J213" s="270"/>
      <c r="K213" s="270"/>
      <c r="L213" s="270"/>
      <c r="M213" s="270"/>
      <c r="N213" s="270"/>
      <c r="O213" s="270"/>
      <c r="P213" s="270"/>
      <c r="Q213" s="270"/>
      <c r="R213" s="270"/>
      <c r="S213" s="270"/>
      <c r="T213" s="270"/>
      <c r="U213" s="270"/>
    </row>
    <row r="214" spans="3:21">
      <c r="C214" s="270"/>
      <c r="D214" s="270"/>
      <c r="E214" s="270"/>
      <c r="F214" s="270"/>
      <c r="G214" s="270"/>
      <c r="H214" s="270"/>
      <c r="I214" s="270"/>
      <c r="J214" s="270"/>
      <c r="K214" s="270"/>
      <c r="L214" s="270"/>
      <c r="M214" s="270"/>
      <c r="N214" s="270"/>
      <c r="O214" s="270"/>
      <c r="P214" s="270"/>
      <c r="Q214" s="270"/>
      <c r="R214" s="270"/>
      <c r="S214" s="270"/>
      <c r="T214" s="270"/>
      <c r="U214" s="270"/>
    </row>
    <row r="215" spans="3:21">
      <c r="C215" s="270"/>
      <c r="D215" s="270"/>
      <c r="E215" s="270"/>
      <c r="F215" s="270"/>
      <c r="G215" s="270"/>
      <c r="H215" s="270"/>
      <c r="I215" s="270"/>
      <c r="J215" s="270"/>
      <c r="K215" s="270"/>
      <c r="L215" s="270"/>
      <c r="M215" s="270"/>
      <c r="N215" s="270"/>
      <c r="O215" s="270"/>
      <c r="P215" s="270"/>
      <c r="Q215" s="270"/>
      <c r="R215" s="270"/>
      <c r="S215" s="270"/>
      <c r="T215" s="270"/>
      <c r="U215" s="270"/>
    </row>
    <row r="216" spans="3:21">
      <c r="C216" s="270"/>
      <c r="D216" s="270"/>
      <c r="E216" s="270"/>
      <c r="F216" s="270"/>
      <c r="G216" s="270"/>
      <c r="H216" s="270"/>
      <c r="I216" s="270"/>
      <c r="J216" s="270"/>
      <c r="K216" s="270"/>
      <c r="L216" s="270"/>
      <c r="M216" s="270"/>
      <c r="N216" s="270"/>
      <c r="O216" s="270"/>
      <c r="P216" s="270"/>
      <c r="Q216" s="270"/>
      <c r="R216" s="270"/>
      <c r="S216" s="270"/>
      <c r="T216" s="270"/>
      <c r="U216" s="270"/>
    </row>
    <row r="217" spans="3:21">
      <c r="C217" s="270"/>
      <c r="D217" s="270"/>
      <c r="E217" s="270"/>
      <c r="F217" s="270"/>
      <c r="G217" s="270"/>
      <c r="H217" s="270"/>
      <c r="I217" s="270"/>
      <c r="J217" s="270"/>
      <c r="K217" s="270"/>
      <c r="L217" s="270"/>
      <c r="M217" s="270"/>
      <c r="N217" s="270"/>
      <c r="O217" s="270"/>
      <c r="P217" s="270"/>
      <c r="Q217" s="270"/>
      <c r="R217" s="270"/>
      <c r="S217" s="270"/>
      <c r="T217" s="270"/>
      <c r="U217" s="270"/>
    </row>
    <row r="218" spans="3:21">
      <c r="C218" s="270"/>
      <c r="D218" s="270"/>
      <c r="E218" s="270"/>
      <c r="F218" s="270"/>
      <c r="G218" s="270"/>
      <c r="H218" s="270"/>
      <c r="I218" s="270"/>
      <c r="J218" s="270"/>
      <c r="K218" s="270"/>
      <c r="L218" s="270"/>
      <c r="M218" s="270"/>
      <c r="N218" s="270"/>
      <c r="O218" s="270"/>
      <c r="P218" s="270"/>
      <c r="Q218" s="270"/>
      <c r="R218" s="270"/>
      <c r="S218" s="270"/>
      <c r="T218" s="270"/>
      <c r="U218" s="270"/>
    </row>
    <row r="219" spans="3:21">
      <c r="C219" s="270"/>
      <c r="D219" s="270"/>
      <c r="E219" s="270"/>
      <c r="F219" s="270"/>
      <c r="G219" s="270"/>
      <c r="H219" s="270"/>
      <c r="I219" s="270"/>
      <c r="J219" s="270"/>
      <c r="K219" s="270"/>
      <c r="L219" s="270"/>
      <c r="M219" s="270"/>
      <c r="N219" s="270"/>
      <c r="O219" s="270"/>
      <c r="P219" s="270"/>
      <c r="Q219" s="270"/>
      <c r="R219" s="270"/>
      <c r="S219" s="270"/>
      <c r="T219" s="270"/>
      <c r="U219" s="270"/>
    </row>
    <row r="220" spans="3:21">
      <c r="C220" s="270"/>
      <c r="D220" s="270"/>
      <c r="E220" s="270"/>
      <c r="F220" s="270"/>
      <c r="G220" s="270"/>
      <c r="H220" s="270"/>
      <c r="I220" s="270"/>
      <c r="J220" s="270"/>
      <c r="K220" s="270"/>
      <c r="L220" s="270"/>
      <c r="M220" s="270"/>
      <c r="N220" s="270"/>
      <c r="O220" s="270"/>
      <c r="P220" s="270"/>
      <c r="Q220" s="270"/>
      <c r="R220" s="270"/>
      <c r="S220" s="270"/>
      <c r="T220" s="270"/>
      <c r="U220" s="270"/>
    </row>
    <row r="221" spans="3:21">
      <c r="C221" s="270"/>
      <c r="D221" s="270"/>
      <c r="E221" s="270"/>
      <c r="F221" s="270"/>
      <c r="G221" s="270"/>
      <c r="H221" s="270"/>
      <c r="I221" s="270"/>
      <c r="J221" s="270"/>
      <c r="K221" s="270"/>
      <c r="L221" s="270"/>
      <c r="M221" s="270"/>
      <c r="N221" s="270"/>
      <c r="O221" s="270"/>
      <c r="P221" s="270"/>
      <c r="Q221" s="270"/>
      <c r="R221" s="270"/>
      <c r="S221" s="270"/>
      <c r="T221" s="270"/>
      <c r="U221" s="270"/>
    </row>
    <row r="222" spans="3:21">
      <c r="C222" s="270"/>
      <c r="D222" s="270"/>
      <c r="E222" s="270"/>
      <c r="F222" s="270"/>
      <c r="G222" s="270"/>
      <c r="H222" s="270"/>
      <c r="I222" s="270"/>
      <c r="J222" s="270"/>
      <c r="K222" s="270"/>
      <c r="L222" s="270"/>
      <c r="M222" s="270"/>
      <c r="N222" s="270"/>
      <c r="O222" s="270"/>
      <c r="P222" s="270"/>
      <c r="Q222" s="270"/>
      <c r="R222" s="270"/>
      <c r="S222" s="270"/>
      <c r="T222" s="270"/>
      <c r="U222" s="270"/>
    </row>
    <row r="223" spans="3:21">
      <c r="C223" s="270"/>
      <c r="D223" s="270"/>
      <c r="E223" s="270"/>
      <c r="F223" s="270"/>
      <c r="G223" s="270"/>
      <c r="H223" s="270"/>
      <c r="I223" s="270"/>
      <c r="J223" s="270"/>
      <c r="K223" s="270"/>
      <c r="L223" s="270"/>
      <c r="M223" s="270"/>
      <c r="N223" s="270"/>
      <c r="O223" s="270"/>
      <c r="P223" s="270"/>
      <c r="Q223" s="270"/>
      <c r="R223" s="270"/>
      <c r="S223" s="270"/>
      <c r="T223" s="270"/>
      <c r="U223" s="270"/>
    </row>
    <row r="224" spans="3:21">
      <c r="C224" s="270"/>
      <c r="D224" s="270"/>
      <c r="E224" s="270"/>
      <c r="F224" s="270"/>
      <c r="G224" s="270"/>
      <c r="H224" s="270"/>
      <c r="I224" s="270"/>
      <c r="J224" s="270"/>
      <c r="K224" s="270"/>
      <c r="L224" s="270"/>
      <c r="M224" s="270"/>
      <c r="N224" s="270"/>
      <c r="O224" s="270"/>
      <c r="P224" s="270"/>
      <c r="Q224" s="270"/>
      <c r="R224" s="270"/>
      <c r="S224" s="270"/>
      <c r="T224" s="270"/>
      <c r="U224" s="270"/>
    </row>
    <row r="225" spans="3:21">
      <c r="C225" s="270"/>
      <c r="D225" s="270"/>
      <c r="E225" s="270"/>
      <c r="F225" s="270"/>
      <c r="G225" s="270"/>
      <c r="H225" s="270"/>
      <c r="I225" s="270"/>
      <c r="J225" s="270"/>
      <c r="K225" s="270"/>
      <c r="L225" s="270"/>
      <c r="M225" s="270"/>
      <c r="N225" s="270"/>
      <c r="O225" s="270"/>
      <c r="P225" s="270"/>
      <c r="Q225" s="270"/>
      <c r="R225" s="270"/>
      <c r="S225" s="270"/>
      <c r="T225" s="270"/>
      <c r="U225" s="270"/>
    </row>
    <row r="226" spans="3:21">
      <c r="C226" s="270"/>
      <c r="D226" s="270"/>
      <c r="E226" s="270"/>
      <c r="F226" s="270"/>
      <c r="G226" s="270"/>
      <c r="H226" s="270"/>
      <c r="I226" s="270"/>
      <c r="J226" s="270"/>
      <c r="K226" s="270"/>
      <c r="L226" s="270"/>
      <c r="M226" s="270"/>
      <c r="N226" s="270"/>
      <c r="O226" s="270"/>
      <c r="P226" s="270"/>
      <c r="Q226" s="270"/>
      <c r="R226" s="270"/>
      <c r="S226" s="270"/>
      <c r="T226" s="270"/>
      <c r="U226" s="270"/>
    </row>
    <row r="227" spans="3:21">
      <c r="C227" s="270"/>
      <c r="D227" s="270"/>
      <c r="E227" s="270"/>
      <c r="F227" s="270"/>
      <c r="G227" s="270"/>
      <c r="H227" s="270"/>
      <c r="I227" s="270"/>
      <c r="J227" s="270"/>
      <c r="K227" s="270"/>
      <c r="L227" s="270"/>
      <c r="M227" s="270"/>
      <c r="N227" s="270"/>
      <c r="O227" s="270"/>
      <c r="P227" s="270"/>
      <c r="Q227" s="270"/>
      <c r="R227" s="270"/>
      <c r="S227" s="270"/>
      <c r="T227" s="270"/>
      <c r="U227" s="270"/>
    </row>
    <row r="228" spans="3:21">
      <c r="C228" s="270"/>
      <c r="D228" s="270"/>
      <c r="E228" s="270"/>
      <c r="F228" s="270"/>
      <c r="G228" s="270"/>
      <c r="H228" s="270"/>
      <c r="I228" s="270"/>
      <c r="J228" s="270"/>
      <c r="K228" s="270"/>
      <c r="L228" s="270"/>
      <c r="M228" s="270"/>
      <c r="N228" s="270"/>
      <c r="O228" s="270"/>
      <c r="P228" s="270"/>
      <c r="Q228" s="270"/>
      <c r="R228" s="270"/>
      <c r="S228" s="270"/>
      <c r="T228" s="270"/>
      <c r="U228" s="270"/>
    </row>
    <row r="229" spans="3:21">
      <c r="C229" s="270"/>
      <c r="D229" s="270"/>
      <c r="E229" s="270"/>
      <c r="F229" s="270"/>
      <c r="G229" s="270"/>
      <c r="H229" s="270"/>
      <c r="I229" s="270"/>
      <c r="J229" s="270"/>
      <c r="K229" s="270"/>
      <c r="L229" s="270"/>
      <c r="M229" s="270"/>
      <c r="N229" s="270"/>
      <c r="O229" s="270"/>
      <c r="P229" s="270"/>
      <c r="Q229" s="270"/>
      <c r="R229" s="270"/>
      <c r="S229" s="270"/>
      <c r="T229" s="270"/>
      <c r="U229" s="270"/>
    </row>
    <row r="230" spans="3:21">
      <c r="C230" s="270"/>
      <c r="D230" s="270"/>
      <c r="E230" s="270"/>
      <c r="F230" s="270"/>
      <c r="G230" s="270"/>
      <c r="H230" s="270"/>
      <c r="I230" s="270"/>
      <c r="J230" s="270"/>
      <c r="K230" s="270"/>
      <c r="L230" s="270"/>
      <c r="M230" s="270"/>
      <c r="N230" s="270"/>
      <c r="O230" s="270"/>
      <c r="P230" s="270"/>
      <c r="Q230" s="270"/>
      <c r="R230" s="270"/>
      <c r="S230" s="270"/>
      <c r="T230" s="270"/>
      <c r="U230" s="270"/>
    </row>
    <row r="231" spans="3:21">
      <c r="C231" s="270"/>
      <c r="D231" s="270"/>
      <c r="E231" s="270"/>
      <c r="F231" s="270"/>
      <c r="G231" s="270"/>
      <c r="H231" s="270"/>
      <c r="I231" s="270"/>
      <c r="J231" s="270"/>
      <c r="K231" s="270"/>
      <c r="L231" s="270"/>
      <c r="M231" s="270"/>
      <c r="N231" s="270"/>
      <c r="O231" s="270"/>
      <c r="P231" s="270"/>
      <c r="Q231" s="270"/>
      <c r="R231" s="270"/>
      <c r="S231" s="270"/>
      <c r="T231" s="270"/>
      <c r="U231" s="270"/>
    </row>
    <row r="232" spans="3:21">
      <c r="C232" s="270"/>
      <c r="D232" s="270"/>
      <c r="E232" s="270"/>
      <c r="F232" s="270"/>
      <c r="G232" s="270"/>
      <c r="H232" s="270"/>
      <c r="I232" s="270"/>
      <c r="J232" s="270"/>
      <c r="K232" s="270"/>
      <c r="L232" s="270"/>
      <c r="M232" s="270"/>
      <c r="N232" s="270"/>
      <c r="O232" s="270"/>
      <c r="P232" s="270"/>
      <c r="Q232" s="270"/>
      <c r="R232" s="270"/>
      <c r="S232" s="270"/>
      <c r="T232" s="270"/>
      <c r="U232" s="270"/>
    </row>
    <row r="233" spans="3:21">
      <c r="C233" s="270"/>
      <c r="D233" s="270"/>
      <c r="E233" s="270"/>
      <c r="F233" s="270"/>
      <c r="G233" s="270"/>
      <c r="H233" s="270"/>
      <c r="I233" s="270"/>
      <c r="J233" s="270"/>
      <c r="K233" s="270"/>
      <c r="L233" s="270"/>
      <c r="M233" s="270"/>
      <c r="N233" s="270"/>
      <c r="O233" s="270"/>
      <c r="P233" s="270"/>
      <c r="Q233" s="270"/>
      <c r="R233" s="270"/>
      <c r="S233" s="270"/>
      <c r="T233" s="270"/>
      <c r="U233" s="270"/>
    </row>
    <row r="234" spans="3:21">
      <c r="C234" s="270"/>
      <c r="D234" s="270"/>
      <c r="E234" s="270"/>
      <c r="F234" s="270"/>
      <c r="G234" s="270"/>
      <c r="H234" s="270"/>
      <c r="I234" s="270"/>
      <c r="J234" s="270"/>
      <c r="K234" s="270"/>
      <c r="L234" s="270"/>
      <c r="M234" s="270"/>
      <c r="N234" s="270"/>
      <c r="O234" s="270"/>
      <c r="P234" s="270"/>
      <c r="Q234" s="270"/>
      <c r="R234" s="270"/>
      <c r="S234" s="270"/>
      <c r="T234" s="270"/>
      <c r="U234" s="270"/>
    </row>
    <row r="235" spans="3:21">
      <c r="C235" s="270"/>
      <c r="D235" s="270"/>
      <c r="E235" s="270"/>
      <c r="F235" s="270"/>
      <c r="G235" s="270"/>
      <c r="H235" s="270"/>
      <c r="I235" s="270"/>
      <c r="J235" s="270"/>
      <c r="K235" s="270"/>
      <c r="L235" s="270"/>
      <c r="M235" s="270"/>
      <c r="N235" s="270"/>
      <c r="O235" s="270"/>
      <c r="P235" s="270"/>
      <c r="Q235" s="270"/>
      <c r="R235" s="270"/>
      <c r="S235" s="270"/>
      <c r="T235" s="270"/>
      <c r="U235" s="270"/>
    </row>
    <row r="236" spans="3:21">
      <c r="C236" s="270"/>
      <c r="D236" s="270"/>
      <c r="E236" s="270"/>
      <c r="F236" s="270"/>
      <c r="G236" s="270"/>
      <c r="H236" s="270"/>
      <c r="I236" s="270"/>
      <c r="J236" s="270"/>
      <c r="K236" s="270"/>
      <c r="L236" s="270"/>
      <c r="M236" s="270"/>
      <c r="N236" s="270"/>
      <c r="O236" s="270"/>
      <c r="P236" s="270"/>
      <c r="Q236" s="270"/>
      <c r="R236" s="270"/>
      <c r="S236" s="270"/>
      <c r="T236" s="270"/>
      <c r="U236" s="270"/>
    </row>
    <row r="237" spans="3:21">
      <c r="C237" s="270"/>
      <c r="D237" s="270"/>
      <c r="E237" s="270"/>
      <c r="F237" s="270"/>
      <c r="G237" s="270"/>
      <c r="H237" s="270"/>
      <c r="I237" s="270"/>
      <c r="J237" s="270"/>
      <c r="K237" s="270"/>
      <c r="L237" s="270"/>
      <c r="M237" s="270"/>
      <c r="N237" s="270"/>
      <c r="O237" s="270"/>
      <c r="P237" s="270"/>
      <c r="Q237" s="270"/>
      <c r="R237" s="270"/>
      <c r="S237" s="270"/>
      <c r="T237" s="270"/>
      <c r="U237" s="270"/>
    </row>
    <row r="238" spans="3:21">
      <c r="C238" s="270"/>
      <c r="D238" s="270"/>
      <c r="E238" s="270"/>
      <c r="F238" s="270"/>
      <c r="G238" s="270"/>
      <c r="H238" s="270"/>
      <c r="I238" s="270"/>
      <c r="J238" s="270"/>
      <c r="K238" s="270"/>
      <c r="L238" s="270"/>
      <c r="M238" s="270"/>
      <c r="N238" s="270"/>
      <c r="O238" s="270"/>
      <c r="P238" s="270"/>
      <c r="Q238" s="270"/>
      <c r="R238" s="270"/>
      <c r="S238" s="270"/>
      <c r="T238" s="270"/>
      <c r="U238" s="270"/>
    </row>
    <row r="239" spans="3:21">
      <c r="C239" s="270"/>
      <c r="D239" s="270"/>
      <c r="E239" s="270"/>
      <c r="F239" s="270"/>
      <c r="G239" s="270"/>
      <c r="H239" s="270"/>
      <c r="I239" s="270"/>
      <c r="J239" s="270"/>
      <c r="K239" s="270"/>
      <c r="L239" s="270"/>
      <c r="M239" s="270"/>
      <c r="N239" s="270"/>
      <c r="O239" s="270"/>
      <c r="P239" s="270"/>
      <c r="Q239" s="270"/>
      <c r="R239" s="270"/>
      <c r="S239" s="270"/>
      <c r="T239" s="270"/>
      <c r="U239" s="270"/>
    </row>
    <row r="240" spans="3:21">
      <c r="C240" s="270"/>
      <c r="D240" s="270"/>
      <c r="E240" s="270"/>
      <c r="F240" s="270"/>
      <c r="G240" s="270"/>
      <c r="H240" s="270"/>
      <c r="I240" s="270"/>
      <c r="J240" s="270"/>
      <c r="K240" s="270"/>
      <c r="L240" s="270"/>
      <c r="M240" s="270"/>
      <c r="N240" s="270"/>
      <c r="O240" s="270"/>
      <c r="P240" s="270"/>
      <c r="Q240" s="270"/>
      <c r="R240" s="270"/>
      <c r="S240" s="270"/>
      <c r="T240" s="270"/>
      <c r="U240" s="270"/>
    </row>
    <row r="241" spans="3:21">
      <c r="C241" s="270"/>
      <c r="D241" s="270"/>
      <c r="E241" s="270"/>
      <c r="F241" s="270"/>
      <c r="G241" s="270"/>
      <c r="H241" s="270"/>
      <c r="I241" s="270"/>
      <c r="J241" s="270"/>
      <c r="K241" s="270"/>
      <c r="L241" s="270"/>
      <c r="M241" s="270"/>
      <c r="N241" s="270"/>
      <c r="O241" s="270"/>
      <c r="P241" s="270"/>
      <c r="Q241" s="270"/>
      <c r="R241" s="270"/>
      <c r="S241" s="270"/>
      <c r="T241" s="270"/>
      <c r="U241" s="270"/>
    </row>
    <row r="242" spans="3:21">
      <c r="C242" s="270"/>
      <c r="D242" s="270"/>
      <c r="E242" s="270"/>
      <c r="F242" s="270"/>
      <c r="G242" s="270"/>
      <c r="H242" s="270"/>
      <c r="I242" s="270"/>
      <c r="J242" s="270"/>
      <c r="K242" s="270"/>
      <c r="L242" s="270"/>
      <c r="M242" s="270"/>
      <c r="N242" s="270"/>
      <c r="O242" s="270"/>
      <c r="P242" s="270"/>
      <c r="Q242" s="270"/>
      <c r="R242" s="270"/>
      <c r="S242" s="270"/>
      <c r="T242" s="270"/>
      <c r="U242" s="270"/>
    </row>
    <row r="243" spans="3:21">
      <c r="C243" s="270"/>
      <c r="D243" s="270"/>
      <c r="E243" s="270"/>
      <c r="F243" s="270"/>
      <c r="G243" s="270"/>
      <c r="H243" s="270"/>
      <c r="I243" s="270"/>
      <c r="J243" s="270"/>
      <c r="K243" s="270"/>
      <c r="L243" s="270"/>
      <c r="M243" s="270"/>
      <c r="N243" s="270"/>
      <c r="O243" s="270"/>
      <c r="P243" s="270"/>
      <c r="Q243" s="270"/>
      <c r="R243" s="270"/>
      <c r="S243" s="270"/>
      <c r="T243" s="270"/>
      <c r="U243" s="270"/>
    </row>
    <row r="244" spans="3:21">
      <c r="C244" s="270"/>
      <c r="D244" s="270"/>
      <c r="E244" s="270"/>
      <c r="F244" s="270"/>
      <c r="G244" s="270"/>
      <c r="H244" s="270"/>
      <c r="I244" s="270"/>
      <c r="J244" s="270"/>
      <c r="K244" s="270"/>
      <c r="L244" s="270"/>
      <c r="M244" s="270"/>
      <c r="N244" s="270"/>
      <c r="O244" s="270"/>
      <c r="P244" s="270"/>
      <c r="Q244" s="270"/>
      <c r="R244" s="270"/>
      <c r="S244" s="270"/>
      <c r="T244" s="270"/>
      <c r="U244" s="270"/>
    </row>
    <row r="245" spans="3:21">
      <c r="C245" s="270"/>
      <c r="D245" s="270"/>
      <c r="E245" s="270"/>
      <c r="F245" s="270"/>
      <c r="G245" s="270"/>
      <c r="H245" s="270"/>
      <c r="I245" s="270"/>
      <c r="J245" s="270"/>
      <c r="K245" s="270"/>
      <c r="L245" s="270"/>
      <c r="M245" s="270"/>
      <c r="N245" s="270"/>
      <c r="O245" s="270"/>
      <c r="P245" s="270"/>
      <c r="Q245" s="270"/>
      <c r="R245" s="270"/>
      <c r="S245" s="270"/>
      <c r="T245" s="270"/>
      <c r="U245" s="270"/>
    </row>
    <row r="246" spans="3:21">
      <c r="C246" s="270"/>
      <c r="D246" s="270"/>
      <c r="E246" s="270"/>
      <c r="F246" s="270"/>
      <c r="G246" s="270"/>
      <c r="H246" s="270"/>
      <c r="I246" s="270"/>
      <c r="J246" s="270"/>
      <c r="K246" s="270"/>
      <c r="L246" s="270"/>
      <c r="M246" s="270"/>
      <c r="N246" s="270"/>
      <c r="O246" s="270"/>
      <c r="P246" s="270"/>
      <c r="Q246" s="270"/>
      <c r="R246" s="270"/>
      <c r="S246" s="270"/>
      <c r="T246" s="270"/>
      <c r="U246" s="270"/>
    </row>
    <row r="247" spans="3:21">
      <c r="C247" s="270"/>
      <c r="D247" s="270"/>
      <c r="E247" s="270"/>
      <c r="F247" s="270"/>
      <c r="G247" s="270"/>
      <c r="H247" s="270"/>
      <c r="I247" s="270"/>
      <c r="J247" s="270"/>
      <c r="K247" s="270"/>
      <c r="L247" s="270"/>
      <c r="M247" s="270"/>
      <c r="N247" s="270"/>
      <c r="O247" s="270"/>
      <c r="P247" s="270"/>
      <c r="Q247" s="270"/>
      <c r="R247" s="270"/>
      <c r="S247" s="270"/>
      <c r="T247" s="270"/>
      <c r="U247" s="270"/>
    </row>
    <row r="248" spans="3:21">
      <c r="C248" s="270"/>
      <c r="D248" s="270"/>
      <c r="E248" s="270"/>
      <c r="F248" s="270"/>
      <c r="G248" s="270"/>
      <c r="H248" s="270"/>
      <c r="I248" s="270"/>
      <c r="J248" s="270"/>
      <c r="K248" s="270"/>
      <c r="L248" s="270"/>
      <c r="M248" s="270"/>
      <c r="N248" s="270"/>
      <c r="O248" s="270"/>
      <c r="P248" s="270"/>
      <c r="Q248" s="270"/>
      <c r="R248" s="270"/>
      <c r="S248" s="270"/>
      <c r="T248" s="270"/>
      <c r="U248" s="270"/>
    </row>
    <row r="249" spans="3:21">
      <c r="C249" s="270"/>
      <c r="D249" s="270"/>
      <c r="E249" s="270"/>
      <c r="F249" s="270"/>
      <c r="G249" s="270"/>
      <c r="H249" s="270"/>
      <c r="I249" s="270"/>
      <c r="J249" s="270"/>
      <c r="K249" s="270"/>
      <c r="L249" s="270"/>
      <c r="M249" s="270"/>
      <c r="N249" s="270"/>
      <c r="O249" s="270"/>
      <c r="P249" s="270"/>
      <c r="Q249" s="270"/>
      <c r="R249" s="270"/>
      <c r="S249" s="270"/>
      <c r="T249" s="270"/>
      <c r="U249" s="270"/>
    </row>
    <row r="250" spans="3:21">
      <c r="C250" s="270"/>
      <c r="D250" s="270"/>
      <c r="E250" s="270"/>
      <c r="F250" s="270"/>
      <c r="G250" s="270"/>
      <c r="H250" s="270"/>
      <c r="I250" s="270"/>
      <c r="J250" s="270"/>
      <c r="K250" s="270"/>
      <c r="L250" s="270"/>
      <c r="M250" s="270"/>
      <c r="N250" s="270"/>
      <c r="O250" s="270"/>
      <c r="P250" s="270"/>
      <c r="Q250" s="270"/>
      <c r="R250" s="270"/>
      <c r="S250" s="270"/>
      <c r="T250" s="270"/>
      <c r="U250" s="270"/>
    </row>
    <row r="251" spans="3:21">
      <c r="C251" s="270"/>
      <c r="D251" s="270"/>
      <c r="E251" s="270"/>
      <c r="F251" s="270"/>
      <c r="G251" s="270"/>
      <c r="H251" s="270"/>
      <c r="I251" s="270"/>
      <c r="J251" s="270"/>
      <c r="K251" s="270"/>
      <c r="L251" s="270"/>
      <c r="M251" s="270"/>
      <c r="N251" s="270"/>
      <c r="O251" s="270"/>
      <c r="P251" s="270"/>
      <c r="Q251" s="270"/>
      <c r="R251" s="270"/>
      <c r="S251" s="270"/>
      <c r="T251" s="270"/>
      <c r="U251" s="270"/>
    </row>
    <row r="252" spans="3:21">
      <c r="C252" s="270"/>
      <c r="D252" s="270"/>
      <c r="E252" s="270"/>
      <c r="F252" s="270"/>
      <c r="G252" s="270"/>
      <c r="H252" s="270"/>
      <c r="I252" s="270"/>
      <c r="J252" s="270"/>
      <c r="K252" s="270"/>
      <c r="L252" s="270"/>
      <c r="M252" s="270"/>
      <c r="N252" s="270"/>
      <c r="O252" s="270"/>
      <c r="P252" s="270"/>
      <c r="Q252" s="270"/>
      <c r="R252" s="270"/>
      <c r="S252" s="270"/>
      <c r="T252" s="270"/>
      <c r="U252" s="270"/>
    </row>
    <row r="253" spans="3:21">
      <c r="C253" s="270"/>
      <c r="D253" s="270"/>
      <c r="E253" s="270"/>
      <c r="F253" s="270"/>
      <c r="G253" s="270"/>
      <c r="H253" s="270"/>
      <c r="I253" s="270"/>
      <c r="J253" s="270"/>
      <c r="K253" s="270"/>
      <c r="L253" s="270"/>
      <c r="M253" s="270"/>
      <c r="N253" s="270"/>
      <c r="O253" s="270"/>
      <c r="P253" s="270"/>
      <c r="Q253" s="270"/>
      <c r="R253" s="270"/>
      <c r="S253" s="270"/>
      <c r="T253" s="270"/>
      <c r="U253" s="270"/>
    </row>
    <row r="254" spans="3:21">
      <c r="C254" s="270"/>
      <c r="D254" s="270"/>
      <c r="E254" s="270"/>
      <c r="F254" s="270"/>
      <c r="G254" s="270"/>
      <c r="H254" s="270"/>
      <c r="I254" s="270"/>
      <c r="J254" s="270"/>
      <c r="K254" s="270"/>
      <c r="L254" s="270"/>
      <c r="M254" s="270"/>
      <c r="N254" s="270"/>
      <c r="O254" s="270"/>
      <c r="P254" s="270"/>
      <c r="Q254" s="270"/>
      <c r="R254" s="270"/>
      <c r="S254" s="270"/>
      <c r="T254" s="270"/>
      <c r="U254" s="270"/>
    </row>
    <row r="255" spans="3:21">
      <c r="C255" s="270"/>
      <c r="D255" s="270"/>
      <c r="E255" s="270"/>
      <c r="F255" s="270"/>
      <c r="G255" s="270"/>
      <c r="H255" s="270"/>
      <c r="I255" s="270"/>
      <c r="J255" s="270"/>
      <c r="K255" s="270"/>
      <c r="L255" s="270"/>
      <c r="M255" s="270"/>
      <c r="N255" s="270"/>
      <c r="O255" s="270"/>
      <c r="P255" s="270"/>
      <c r="Q255" s="270"/>
      <c r="R255" s="270"/>
      <c r="S255" s="270"/>
      <c r="T255" s="270"/>
      <c r="U255" s="270"/>
    </row>
    <row r="256" spans="3:21">
      <c r="C256" s="270"/>
      <c r="D256" s="270"/>
      <c r="E256" s="270"/>
      <c r="F256" s="270"/>
      <c r="G256" s="270"/>
      <c r="H256" s="270"/>
      <c r="I256" s="270"/>
      <c r="J256" s="270"/>
      <c r="K256" s="270"/>
      <c r="L256" s="270"/>
      <c r="M256" s="270"/>
      <c r="N256" s="270"/>
      <c r="O256" s="270"/>
      <c r="P256" s="270"/>
      <c r="Q256" s="270"/>
      <c r="R256" s="270"/>
      <c r="S256" s="270"/>
      <c r="T256" s="270"/>
      <c r="U256" s="270"/>
    </row>
    <row r="257" spans="3:21">
      <c r="C257" s="270"/>
      <c r="D257" s="270"/>
      <c r="E257" s="270"/>
      <c r="F257" s="270"/>
      <c r="G257" s="270"/>
      <c r="H257" s="270"/>
      <c r="I257" s="270"/>
      <c r="J257" s="270"/>
      <c r="K257" s="270"/>
      <c r="L257" s="270"/>
      <c r="M257" s="270"/>
      <c r="N257" s="270"/>
      <c r="O257" s="270"/>
      <c r="P257" s="270"/>
      <c r="Q257" s="270"/>
      <c r="R257" s="270"/>
      <c r="S257" s="270"/>
      <c r="T257" s="270"/>
      <c r="U257" s="270"/>
    </row>
    <row r="258" spans="3:21">
      <c r="C258" s="270"/>
      <c r="D258" s="270"/>
      <c r="E258" s="270"/>
      <c r="F258" s="270"/>
      <c r="G258" s="270"/>
      <c r="H258" s="270"/>
      <c r="I258" s="270"/>
      <c r="J258" s="270"/>
      <c r="K258" s="270"/>
      <c r="L258" s="270"/>
      <c r="M258" s="270"/>
      <c r="N258" s="270"/>
      <c r="O258" s="270"/>
      <c r="P258" s="270"/>
      <c r="Q258" s="270"/>
      <c r="R258" s="270"/>
      <c r="S258" s="270"/>
      <c r="T258" s="270"/>
      <c r="U258" s="270"/>
    </row>
    <row r="259" spans="3:21">
      <c r="C259" s="270"/>
      <c r="D259" s="270"/>
      <c r="E259" s="270"/>
      <c r="F259" s="270"/>
      <c r="G259" s="270"/>
      <c r="H259" s="270"/>
      <c r="I259" s="270"/>
      <c r="J259" s="270"/>
      <c r="K259" s="270"/>
      <c r="L259" s="270"/>
      <c r="M259" s="270"/>
      <c r="N259" s="270"/>
      <c r="O259" s="270"/>
      <c r="P259" s="270"/>
      <c r="Q259" s="270"/>
      <c r="R259" s="270"/>
      <c r="S259" s="270"/>
      <c r="T259" s="270"/>
      <c r="U259" s="270"/>
    </row>
    <row r="260" spans="3:21">
      <c r="C260" s="270"/>
      <c r="D260" s="270"/>
      <c r="E260" s="270"/>
      <c r="F260" s="270"/>
      <c r="G260" s="270"/>
      <c r="H260" s="270"/>
      <c r="I260" s="270"/>
      <c r="J260" s="270"/>
      <c r="K260" s="270"/>
      <c r="L260" s="270"/>
      <c r="M260" s="270"/>
      <c r="N260" s="270"/>
      <c r="O260" s="270"/>
      <c r="P260" s="270"/>
      <c r="Q260" s="270"/>
      <c r="R260" s="270"/>
      <c r="S260" s="270"/>
      <c r="T260" s="270"/>
      <c r="U260" s="270"/>
    </row>
    <row r="261" spans="3:21">
      <c r="C261" s="270"/>
      <c r="D261" s="270"/>
      <c r="E261" s="270"/>
      <c r="F261" s="270"/>
      <c r="G261" s="270"/>
      <c r="H261" s="270"/>
      <c r="I261" s="270"/>
      <c r="J261" s="270"/>
      <c r="K261" s="270"/>
      <c r="L261" s="270"/>
      <c r="M261" s="270"/>
      <c r="N261" s="270"/>
      <c r="O261" s="270"/>
      <c r="P261" s="270"/>
      <c r="Q261" s="270"/>
      <c r="R261" s="270"/>
      <c r="S261" s="270"/>
      <c r="T261" s="270"/>
      <c r="U261" s="270"/>
    </row>
    <row r="262" spans="3:21">
      <c r="C262" s="270"/>
      <c r="D262" s="270"/>
      <c r="E262" s="270"/>
      <c r="F262" s="270"/>
      <c r="G262" s="270"/>
      <c r="H262" s="270"/>
      <c r="I262" s="270"/>
      <c r="J262" s="270"/>
      <c r="K262" s="270"/>
      <c r="L262" s="270"/>
      <c r="M262" s="270"/>
      <c r="N262" s="270"/>
      <c r="O262" s="270"/>
      <c r="P262" s="270"/>
      <c r="Q262" s="270"/>
      <c r="R262" s="270"/>
      <c r="S262" s="270"/>
      <c r="T262" s="270"/>
      <c r="U262" s="270"/>
    </row>
    <row r="263" spans="3:21">
      <c r="C263" s="270"/>
      <c r="D263" s="270"/>
      <c r="E263" s="270"/>
      <c r="F263" s="270"/>
      <c r="G263" s="270"/>
      <c r="H263" s="270"/>
      <c r="I263" s="270"/>
      <c r="J263" s="270"/>
      <c r="K263" s="270"/>
      <c r="L263" s="270"/>
      <c r="M263" s="270"/>
      <c r="N263" s="270"/>
      <c r="O263" s="270"/>
      <c r="P263" s="270"/>
      <c r="Q263" s="270"/>
      <c r="R263" s="270"/>
      <c r="S263" s="270"/>
      <c r="T263" s="270"/>
      <c r="U263" s="270"/>
    </row>
    <row r="264" spans="3:21">
      <c r="C264" s="270"/>
      <c r="D264" s="270"/>
      <c r="E264" s="270"/>
      <c r="F264" s="270"/>
      <c r="G264" s="270"/>
      <c r="H264" s="270"/>
      <c r="I264" s="270"/>
      <c r="J264" s="270"/>
      <c r="K264" s="270"/>
      <c r="L264" s="270"/>
      <c r="M264" s="270"/>
      <c r="N264" s="270"/>
      <c r="O264" s="270"/>
      <c r="P264" s="270"/>
      <c r="Q264" s="270"/>
      <c r="R264" s="270"/>
      <c r="S264" s="270"/>
      <c r="T264" s="270"/>
      <c r="U264" s="270"/>
    </row>
    <row r="265" spans="3:21">
      <c r="C265" s="270"/>
      <c r="D265" s="270"/>
      <c r="E265" s="270"/>
      <c r="F265" s="270"/>
      <c r="G265" s="270"/>
      <c r="H265" s="270"/>
      <c r="I265" s="270"/>
      <c r="J265" s="270"/>
      <c r="K265" s="270"/>
      <c r="L265" s="270"/>
      <c r="M265" s="270"/>
      <c r="N265" s="270"/>
      <c r="O265" s="270"/>
      <c r="P265" s="270"/>
      <c r="Q265" s="270"/>
      <c r="R265" s="270"/>
      <c r="S265" s="270"/>
      <c r="T265" s="270"/>
      <c r="U265" s="270"/>
    </row>
    <row r="266" spans="3:21">
      <c r="C266" s="270"/>
      <c r="D266" s="270"/>
      <c r="E266" s="270"/>
      <c r="F266" s="270"/>
      <c r="G266" s="270"/>
      <c r="H266" s="270"/>
      <c r="I266" s="270"/>
      <c r="J266" s="270"/>
      <c r="K266" s="270"/>
      <c r="L266" s="270"/>
      <c r="M266" s="270"/>
      <c r="N266" s="270"/>
      <c r="O266" s="270"/>
      <c r="P266" s="270"/>
      <c r="Q266" s="270"/>
      <c r="R266" s="270"/>
      <c r="S266" s="270"/>
      <c r="T266" s="270"/>
      <c r="U266" s="270"/>
    </row>
    <row r="267" spans="3:21">
      <c r="C267" s="270"/>
      <c r="D267" s="270"/>
      <c r="E267" s="270"/>
      <c r="F267" s="270"/>
      <c r="G267" s="270"/>
      <c r="H267" s="270"/>
      <c r="I267" s="270"/>
      <c r="J267" s="270"/>
      <c r="K267" s="270"/>
      <c r="L267" s="270"/>
      <c r="M267" s="270"/>
      <c r="N267" s="270"/>
      <c r="O267" s="270"/>
      <c r="P267" s="270"/>
      <c r="Q267" s="270"/>
      <c r="R267" s="270"/>
      <c r="S267" s="270"/>
      <c r="T267" s="270"/>
      <c r="U267" s="270"/>
    </row>
    <row r="268" spans="3:21">
      <c r="C268" s="270"/>
      <c r="D268" s="270"/>
      <c r="E268" s="270"/>
      <c r="F268" s="270"/>
      <c r="G268" s="270"/>
      <c r="H268" s="270"/>
      <c r="I268" s="270"/>
      <c r="J268" s="270"/>
      <c r="K268" s="270"/>
      <c r="L268" s="270"/>
      <c r="M268" s="270"/>
      <c r="N268" s="270"/>
      <c r="O268" s="270"/>
      <c r="P268" s="270"/>
      <c r="Q268" s="270"/>
      <c r="R268" s="270"/>
      <c r="S268" s="270"/>
      <c r="T268" s="270"/>
      <c r="U268" s="270"/>
    </row>
    <row r="269" spans="3:21">
      <c r="C269" s="270"/>
      <c r="D269" s="270"/>
      <c r="E269" s="270"/>
      <c r="F269" s="270"/>
      <c r="G269" s="270"/>
      <c r="H269" s="270"/>
      <c r="I269" s="270"/>
      <c r="J269" s="270"/>
      <c r="K269" s="270"/>
      <c r="L269" s="270"/>
      <c r="M269" s="270"/>
      <c r="N269" s="270"/>
      <c r="O269" s="270"/>
      <c r="P269" s="270"/>
      <c r="Q269" s="270"/>
      <c r="R269" s="270"/>
      <c r="S269" s="270"/>
      <c r="T269" s="270"/>
      <c r="U269" s="270"/>
    </row>
    <row r="270" spans="3:21">
      <c r="C270" s="270"/>
      <c r="D270" s="270"/>
      <c r="E270" s="270"/>
      <c r="F270" s="270"/>
      <c r="G270" s="270"/>
      <c r="H270" s="270"/>
      <c r="I270" s="270"/>
      <c r="J270" s="270"/>
      <c r="K270" s="270"/>
      <c r="L270" s="270"/>
      <c r="M270" s="270"/>
      <c r="N270" s="270"/>
      <c r="O270" s="270"/>
      <c r="P270" s="270"/>
      <c r="Q270" s="270"/>
      <c r="R270" s="270"/>
      <c r="S270" s="270"/>
      <c r="T270" s="270"/>
      <c r="U270" s="270"/>
    </row>
    <row r="271" spans="3:21">
      <c r="C271" s="270"/>
      <c r="D271" s="270"/>
      <c r="E271" s="270"/>
      <c r="F271" s="270"/>
      <c r="G271" s="270"/>
      <c r="H271" s="270"/>
      <c r="I271" s="270"/>
      <c r="J271" s="270"/>
      <c r="K271" s="270"/>
      <c r="L271" s="270"/>
      <c r="M271" s="270"/>
      <c r="N271" s="270"/>
      <c r="O271" s="270"/>
      <c r="P271" s="270"/>
      <c r="Q271" s="270"/>
      <c r="R271" s="270"/>
      <c r="S271" s="270"/>
      <c r="T271" s="270"/>
      <c r="U271" s="270"/>
    </row>
    <row r="272" spans="3:21">
      <c r="C272" s="270"/>
      <c r="D272" s="270"/>
      <c r="E272" s="270"/>
      <c r="F272" s="270"/>
      <c r="G272" s="270"/>
      <c r="H272" s="270"/>
      <c r="I272" s="270"/>
      <c r="J272" s="270"/>
      <c r="K272" s="270"/>
      <c r="L272" s="270"/>
      <c r="M272" s="270"/>
      <c r="N272" s="270"/>
      <c r="O272" s="270"/>
      <c r="P272" s="270"/>
      <c r="Q272" s="270"/>
      <c r="R272" s="270"/>
      <c r="S272" s="270"/>
      <c r="T272" s="270"/>
      <c r="U272" s="270"/>
    </row>
    <row r="273" spans="3:21">
      <c r="C273" s="270"/>
      <c r="D273" s="270"/>
      <c r="E273" s="270"/>
      <c r="F273" s="270"/>
      <c r="G273" s="270"/>
      <c r="H273" s="270"/>
      <c r="I273" s="270"/>
      <c r="J273" s="270"/>
      <c r="K273" s="270"/>
      <c r="L273" s="270"/>
      <c r="M273" s="270"/>
      <c r="N273" s="270"/>
      <c r="O273" s="270"/>
      <c r="P273" s="270"/>
      <c r="Q273" s="270"/>
      <c r="R273" s="270"/>
      <c r="S273" s="270"/>
      <c r="T273" s="270"/>
      <c r="U273" s="270"/>
    </row>
    <row r="274" spans="3:21">
      <c r="C274" s="270"/>
      <c r="D274" s="270"/>
      <c r="E274" s="270"/>
      <c r="F274" s="270"/>
      <c r="G274" s="270"/>
      <c r="H274" s="270"/>
      <c r="I274" s="270"/>
      <c r="J274" s="270"/>
      <c r="K274" s="270"/>
      <c r="L274" s="270"/>
      <c r="M274" s="270"/>
      <c r="N274" s="270"/>
      <c r="O274" s="270"/>
      <c r="P274" s="270"/>
      <c r="Q274" s="270"/>
      <c r="R274" s="270"/>
      <c r="S274" s="270"/>
      <c r="T274" s="270"/>
      <c r="U274" s="270"/>
    </row>
    <row r="275" spans="3:21">
      <c r="C275" s="270"/>
      <c r="D275" s="270"/>
      <c r="E275" s="270"/>
      <c r="F275" s="270"/>
      <c r="G275" s="270"/>
      <c r="H275" s="270"/>
      <c r="I275" s="270"/>
      <c r="J275" s="270"/>
      <c r="K275" s="270"/>
      <c r="L275" s="270"/>
      <c r="M275" s="270"/>
      <c r="N275" s="270"/>
      <c r="O275" s="270"/>
      <c r="P275" s="270"/>
      <c r="Q275" s="270"/>
      <c r="R275" s="270"/>
      <c r="S275" s="270"/>
      <c r="T275" s="270"/>
      <c r="U275" s="270"/>
    </row>
    <row r="276" spans="3:21">
      <c r="C276" s="270"/>
      <c r="D276" s="270"/>
      <c r="E276" s="270"/>
      <c r="F276" s="270"/>
      <c r="G276" s="270"/>
      <c r="H276" s="270"/>
      <c r="I276" s="270"/>
      <c r="J276" s="270"/>
      <c r="K276" s="270"/>
      <c r="L276" s="270"/>
      <c r="M276" s="270"/>
      <c r="N276" s="270"/>
      <c r="O276" s="270"/>
      <c r="P276" s="270"/>
      <c r="Q276" s="270"/>
      <c r="R276" s="270"/>
      <c r="S276" s="270"/>
      <c r="T276" s="270"/>
      <c r="U276" s="270"/>
    </row>
    <row r="277" spans="3:21">
      <c r="C277" s="270"/>
      <c r="D277" s="270"/>
      <c r="E277" s="270"/>
      <c r="F277" s="270"/>
      <c r="G277" s="270"/>
      <c r="H277" s="270"/>
      <c r="I277" s="270"/>
      <c r="J277" s="270"/>
      <c r="K277" s="270"/>
      <c r="L277" s="270"/>
      <c r="M277" s="270"/>
      <c r="N277" s="270"/>
      <c r="O277" s="270"/>
      <c r="P277" s="270"/>
      <c r="Q277" s="270"/>
      <c r="R277" s="270"/>
      <c r="S277" s="270"/>
      <c r="T277" s="270"/>
      <c r="U277" s="270"/>
    </row>
    <row r="278" spans="3:21">
      <c r="C278" s="270"/>
      <c r="D278" s="270"/>
      <c r="E278" s="270"/>
      <c r="F278" s="270"/>
      <c r="G278" s="270"/>
      <c r="H278" s="270"/>
      <c r="I278" s="270"/>
      <c r="J278" s="270"/>
      <c r="K278" s="270"/>
      <c r="L278" s="270"/>
      <c r="M278" s="270"/>
      <c r="N278" s="270"/>
      <c r="O278" s="270"/>
      <c r="P278" s="270"/>
      <c r="Q278" s="270"/>
      <c r="R278" s="270"/>
      <c r="S278" s="270"/>
      <c r="T278" s="270"/>
      <c r="U278" s="270"/>
    </row>
    <row r="279" spans="3:21">
      <c r="C279" s="270"/>
      <c r="D279" s="270"/>
      <c r="E279" s="270"/>
      <c r="F279" s="270"/>
      <c r="G279" s="270"/>
      <c r="H279" s="270"/>
      <c r="I279" s="270"/>
      <c r="J279" s="270"/>
      <c r="K279" s="270"/>
      <c r="L279" s="270"/>
      <c r="M279" s="270"/>
      <c r="N279" s="270"/>
      <c r="O279" s="270"/>
      <c r="P279" s="270"/>
      <c r="Q279" s="270"/>
      <c r="R279" s="270"/>
      <c r="S279" s="270"/>
      <c r="T279" s="270"/>
      <c r="U279" s="270"/>
    </row>
    <row r="280" spans="3:21">
      <c r="C280" s="270"/>
      <c r="D280" s="270"/>
      <c r="E280" s="270"/>
      <c r="F280" s="270"/>
      <c r="G280" s="270"/>
      <c r="H280" s="270"/>
      <c r="I280" s="270"/>
      <c r="J280" s="270"/>
      <c r="K280" s="270"/>
      <c r="L280" s="270"/>
      <c r="M280" s="270"/>
      <c r="N280" s="270"/>
      <c r="O280" s="270"/>
      <c r="P280" s="270"/>
      <c r="Q280" s="270"/>
      <c r="R280" s="270"/>
      <c r="S280" s="270"/>
      <c r="T280" s="270"/>
      <c r="U280" s="270"/>
    </row>
    <row r="281" spans="3:21">
      <c r="C281" s="270"/>
      <c r="D281" s="270"/>
      <c r="E281" s="270"/>
      <c r="F281" s="270"/>
      <c r="G281" s="270"/>
      <c r="H281" s="270"/>
      <c r="I281" s="270"/>
      <c r="J281" s="270"/>
      <c r="K281" s="270"/>
      <c r="L281" s="270"/>
      <c r="M281" s="270"/>
      <c r="N281" s="270"/>
      <c r="O281" s="270"/>
      <c r="P281" s="270"/>
      <c r="Q281" s="270"/>
      <c r="R281" s="270"/>
      <c r="S281" s="270"/>
      <c r="T281" s="270"/>
      <c r="U281" s="270"/>
    </row>
    <row r="282" spans="3:21">
      <c r="C282" s="270"/>
      <c r="D282" s="270"/>
      <c r="E282" s="270"/>
      <c r="F282" s="270"/>
      <c r="G282" s="270"/>
      <c r="H282" s="270"/>
      <c r="I282" s="270"/>
      <c r="J282" s="270"/>
      <c r="K282" s="270"/>
      <c r="L282" s="270"/>
      <c r="M282" s="270"/>
      <c r="N282" s="270"/>
      <c r="O282" s="270"/>
      <c r="P282" s="270"/>
      <c r="Q282" s="270"/>
      <c r="R282" s="270"/>
      <c r="S282" s="270"/>
      <c r="T282" s="270"/>
      <c r="U282" s="270"/>
    </row>
    <row r="283" spans="3:21">
      <c r="C283" s="270"/>
      <c r="D283" s="270"/>
      <c r="E283" s="270"/>
      <c r="F283" s="270"/>
      <c r="G283" s="270"/>
      <c r="H283" s="270"/>
      <c r="I283" s="270"/>
      <c r="J283" s="270"/>
      <c r="K283" s="270"/>
      <c r="L283" s="270"/>
      <c r="M283" s="270"/>
      <c r="N283" s="270"/>
      <c r="O283" s="270"/>
      <c r="P283" s="270"/>
      <c r="Q283" s="270"/>
      <c r="R283" s="270"/>
      <c r="S283" s="270"/>
      <c r="T283" s="270"/>
      <c r="U283" s="270"/>
    </row>
    <row r="284" spans="3:21">
      <c r="C284" s="270"/>
      <c r="D284" s="270"/>
      <c r="E284" s="270"/>
      <c r="F284" s="270"/>
      <c r="G284" s="270"/>
      <c r="H284" s="270"/>
      <c r="I284" s="270"/>
      <c r="J284" s="270"/>
      <c r="K284" s="270"/>
      <c r="L284" s="270"/>
      <c r="M284" s="270"/>
      <c r="N284" s="270"/>
      <c r="O284" s="270"/>
      <c r="P284" s="270"/>
      <c r="Q284" s="270"/>
      <c r="R284" s="270"/>
      <c r="S284" s="270"/>
      <c r="T284" s="270"/>
      <c r="U284" s="270"/>
    </row>
    <row r="285" spans="3:21">
      <c r="C285" s="270"/>
      <c r="D285" s="270"/>
      <c r="E285" s="270"/>
      <c r="F285" s="270"/>
      <c r="G285" s="270"/>
      <c r="H285" s="270"/>
      <c r="I285" s="270"/>
      <c r="J285" s="270"/>
      <c r="K285" s="270"/>
      <c r="L285" s="270"/>
      <c r="M285" s="270"/>
      <c r="N285" s="270"/>
      <c r="O285" s="270"/>
      <c r="P285" s="270"/>
      <c r="Q285" s="270"/>
      <c r="R285" s="270"/>
      <c r="S285" s="270"/>
      <c r="T285" s="270"/>
      <c r="U285" s="270"/>
    </row>
    <row r="286" spans="3:21">
      <c r="C286" s="270"/>
      <c r="D286" s="270"/>
      <c r="E286" s="270"/>
      <c r="F286" s="270"/>
      <c r="G286" s="270"/>
      <c r="H286" s="270"/>
      <c r="I286" s="270"/>
      <c r="J286" s="270"/>
      <c r="K286" s="270"/>
      <c r="L286" s="270"/>
      <c r="M286" s="270"/>
      <c r="N286" s="270"/>
      <c r="O286" s="270"/>
      <c r="P286" s="270"/>
      <c r="Q286" s="270"/>
      <c r="R286" s="270"/>
      <c r="S286" s="270"/>
      <c r="T286" s="270"/>
      <c r="U286" s="270"/>
    </row>
    <row r="287" spans="3:21">
      <c r="C287" s="270"/>
      <c r="D287" s="270"/>
      <c r="E287" s="270"/>
      <c r="F287" s="270"/>
      <c r="G287" s="270"/>
      <c r="H287" s="270"/>
      <c r="I287" s="270"/>
      <c r="J287" s="270"/>
      <c r="K287" s="270"/>
      <c r="L287" s="270"/>
      <c r="M287" s="270"/>
      <c r="N287" s="270"/>
      <c r="O287" s="270"/>
      <c r="P287" s="270"/>
      <c r="Q287" s="270"/>
      <c r="R287" s="270"/>
      <c r="S287" s="270"/>
      <c r="T287" s="270"/>
      <c r="U287" s="270"/>
    </row>
    <row r="288" spans="3:21">
      <c r="C288" s="270"/>
      <c r="D288" s="270"/>
      <c r="E288" s="270"/>
      <c r="F288" s="270"/>
      <c r="G288" s="270"/>
      <c r="H288" s="270"/>
      <c r="I288" s="270"/>
      <c r="J288" s="270"/>
      <c r="K288" s="270"/>
      <c r="L288" s="270"/>
      <c r="M288" s="270"/>
      <c r="N288" s="270"/>
      <c r="O288" s="270"/>
      <c r="P288" s="270"/>
      <c r="Q288" s="270"/>
      <c r="R288" s="270"/>
      <c r="S288" s="270"/>
      <c r="T288" s="270"/>
      <c r="U288" s="270"/>
    </row>
    <row r="289" spans="3:21">
      <c r="C289" s="270"/>
      <c r="D289" s="270"/>
      <c r="E289" s="270"/>
      <c r="F289" s="270"/>
      <c r="G289" s="270"/>
      <c r="H289" s="270"/>
      <c r="I289" s="270"/>
      <c r="J289" s="270"/>
      <c r="K289" s="270"/>
      <c r="L289" s="270"/>
      <c r="M289" s="270"/>
      <c r="N289" s="270"/>
      <c r="O289" s="270"/>
      <c r="P289" s="270"/>
      <c r="Q289" s="270"/>
      <c r="R289" s="270"/>
      <c r="S289" s="270"/>
      <c r="T289" s="270"/>
      <c r="U289" s="270"/>
    </row>
    <row r="290" spans="3:21">
      <c r="C290" s="270"/>
      <c r="D290" s="270"/>
      <c r="E290" s="270"/>
      <c r="F290" s="270"/>
      <c r="G290" s="270"/>
      <c r="H290" s="270"/>
      <c r="I290" s="270"/>
      <c r="J290" s="270"/>
      <c r="K290" s="270"/>
      <c r="L290" s="270"/>
      <c r="M290" s="270"/>
      <c r="N290" s="270"/>
      <c r="O290" s="270"/>
      <c r="P290" s="270"/>
      <c r="Q290" s="270"/>
      <c r="R290" s="270"/>
      <c r="S290" s="270"/>
      <c r="T290" s="270"/>
      <c r="U290" s="270"/>
    </row>
    <row r="291" spans="3:21">
      <c r="C291" s="270"/>
      <c r="D291" s="270"/>
      <c r="E291" s="270"/>
      <c r="F291" s="270"/>
      <c r="G291" s="270"/>
      <c r="H291" s="270"/>
      <c r="I291" s="270"/>
      <c r="J291" s="270"/>
      <c r="K291" s="270"/>
      <c r="L291" s="270"/>
      <c r="M291" s="270"/>
      <c r="N291" s="270"/>
      <c r="O291" s="270"/>
      <c r="P291" s="270"/>
      <c r="Q291" s="270"/>
      <c r="R291" s="270"/>
      <c r="S291" s="270"/>
      <c r="T291" s="270"/>
      <c r="U291" s="270"/>
    </row>
    <row r="292" spans="3:21">
      <c r="C292" s="270"/>
      <c r="D292" s="270"/>
      <c r="E292" s="270"/>
      <c r="F292" s="270"/>
      <c r="G292" s="270"/>
      <c r="H292" s="270"/>
      <c r="I292" s="270"/>
      <c r="J292" s="270"/>
      <c r="K292" s="270"/>
      <c r="L292" s="270"/>
      <c r="M292" s="270"/>
      <c r="N292" s="270"/>
      <c r="O292" s="270"/>
      <c r="P292" s="270"/>
      <c r="Q292" s="270"/>
      <c r="R292" s="270"/>
      <c r="S292" s="270"/>
      <c r="T292" s="270"/>
      <c r="U292" s="270"/>
    </row>
    <row r="293" spans="3:21">
      <c r="C293" s="270"/>
      <c r="D293" s="270"/>
      <c r="E293" s="270"/>
      <c r="F293" s="270"/>
      <c r="G293" s="270"/>
      <c r="H293" s="270"/>
      <c r="I293" s="270"/>
      <c r="J293" s="270"/>
      <c r="K293" s="270"/>
      <c r="L293" s="270"/>
      <c r="M293" s="270"/>
      <c r="N293" s="270"/>
      <c r="O293" s="270"/>
      <c r="P293" s="270"/>
      <c r="Q293" s="270"/>
      <c r="R293" s="270"/>
      <c r="S293" s="270"/>
      <c r="T293" s="270"/>
      <c r="U293" s="270"/>
    </row>
    <row r="294" spans="3:21">
      <c r="C294" s="270"/>
      <c r="D294" s="270"/>
      <c r="E294" s="270"/>
      <c r="F294" s="270"/>
      <c r="G294" s="270"/>
      <c r="H294" s="270"/>
      <c r="I294" s="270"/>
      <c r="J294" s="270"/>
      <c r="K294" s="270"/>
      <c r="L294" s="270"/>
      <c r="M294" s="270"/>
      <c r="N294" s="270"/>
      <c r="O294" s="270"/>
      <c r="P294" s="270"/>
      <c r="Q294" s="270"/>
      <c r="R294" s="270"/>
      <c r="S294" s="270"/>
      <c r="T294" s="270"/>
      <c r="U294" s="270"/>
    </row>
    <row r="295" spans="3:21">
      <c r="C295" s="270"/>
      <c r="D295" s="270"/>
      <c r="E295" s="270"/>
      <c r="F295" s="270"/>
      <c r="G295" s="270"/>
      <c r="H295" s="270"/>
      <c r="I295" s="270"/>
      <c r="J295" s="270"/>
      <c r="K295" s="270"/>
      <c r="L295" s="270"/>
      <c r="M295" s="270"/>
      <c r="N295" s="270"/>
      <c r="O295" s="270"/>
      <c r="P295" s="270"/>
      <c r="Q295" s="270"/>
      <c r="R295" s="270"/>
      <c r="S295" s="270"/>
      <c r="T295" s="270"/>
      <c r="U295" s="270"/>
    </row>
    <row r="296" spans="3:21">
      <c r="C296" s="270"/>
      <c r="D296" s="270"/>
      <c r="E296" s="270"/>
      <c r="F296" s="270"/>
      <c r="G296" s="270"/>
      <c r="H296" s="270"/>
      <c r="I296" s="270"/>
      <c r="J296" s="270"/>
      <c r="K296" s="270"/>
      <c r="L296" s="270"/>
      <c r="M296" s="270"/>
      <c r="N296" s="270"/>
      <c r="O296" s="270"/>
      <c r="P296" s="270"/>
      <c r="Q296" s="270"/>
      <c r="R296" s="270"/>
      <c r="S296" s="270"/>
      <c r="T296" s="270"/>
      <c r="U296" s="270"/>
    </row>
    <row r="297" spans="3:21">
      <c r="C297" s="270"/>
      <c r="D297" s="270"/>
      <c r="E297" s="270"/>
      <c r="F297" s="270"/>
      <c r="G297" s="270"/>
      <c r="H297" s="270"/>
      <c r="I297" s="270"/>
      <c r="J297" s="270"/>
      <c r="K297" s="270"/>
      <c r="L297" s="270"/>
      <c r="M297" s="270"/>
      <c r="N297" s="270"/>
      <c r="O297" s="270"/>
      <c r="P297" s="270"/>
      <c r="Q297" s="270"/>
      <c r="R297" s="270"/>
      <c r="S297" s="270"/>
      <c r="T297" s="270"/>
      <c r="U297" s="270"/>
    </row>
    <row r="298" spans="3:21">
      <c r="C298" s="270"/>
      <c r="D298" s="270"/>
      <c r="E298" s="270"/>
      <c r="F298" s="270"/>
      <c r="G298" s="270"/>
      <c r="H298" s="270"/>
      <c r="I298" s="270"/>
      <c r="J298" s="270"/>
      <c r="K298" s="270"/>
      <c r="L298" s="270"/>
      <c r="M298" s="270"/>
      <c r="N298" s="270"/>
      <c r="O298" s="270"/>
      <c r="P298" s="270"/>
      <c r="Q298" s="270"/>
      <c r="R298" s="270"/>
      <c r="S298" s="270"/>
      <c r="T298" s="270"/>
      <c r="U298" s="270"/>
    </row>
    <row r="299" spans="3:21">
      <c r="C299" s="270"/>
      <c r="D299" s="270"/>
      <c r="E299" s="270"/>
      <c r="F299" s="270"/>
      <c r="G299" s="270"/>
      <c r="H299" s="270"/>
      <c r="I299" s="270"/>
      <c r="J299" s="270"/>
      <c r="K299" s="270"/>
      <c r="L299" s="270"/>
      <c r="M299" s="270"/>
      <c r="N299" s="270"/>
      <c r="O299" s="270"/>
      <c r="P299" s="270"/>
      <c r="Q299" s="270"/>
      <c r="R299" s="270"/>
      <c r="S299" s="270"/>
      <c r="T299" s="270"/>
      <c r="U299" s="270"/>
    </row>
    <row r="300" spans="3:21">
      <c r="C300" s="270"/>
      <c r="D300" s="270"/>
      <c r="E300" s="270"/>
      <c r="F300" s="270"/>
      <c r="G300" s="270"/>
      <c r="H300" s="270"/>
      <c r="I300" s="270"/>
      <c r="J300" s="270"/>
      <c r="K300" s="270"/>
      <c r="L300" s="270"/>
      <c r="M300" s="270"/>
      <c r="N300" s="270"/>
      <c r="O300" s="270"/>
      <c r="P300" s="270"/>
      <c r="Q300" s="270"/>
      <c r="R300" s="270"/>
      <c r="S300" s="270"/>
      <c r="T300" s="270"/>
      <c r="U300" s="270"/>
    </row>
    <row r="301" spans="3:21">
      <c r="C301" s="270"/>
      <c r="D301" s="270"/>
      <c r="E301" s="270"/>
      <c r="F301" s="270"/>
      <c r="G301" s="270"/>
      <c r="H301" s="270"/>
      <c r="I301" s="270"/>
      <c r="J301" s="270"/>
      <c r="K301" s="270"/>
      <c r="L301" s="270"/>
      <c r="M301" s="270"/>
      <c r="N301" s="270"/>
      <c r="Q301" s="270"/>
      <c r="R301" s="270"/>
    </row>
    <row r="302" spans="3:21">
      <c r="C302" s="270"/>
      <c r="D302" s="270"/>
      <c r="E302" s="270"/>
      <c r="F302" s="270"/>
      <c r="G302" s="270"/>
      <c r="H302" s="270"/>
      <c r="I302" s="270"/>
      <c r="J302" s="270"/>
      <c r="K302" s="270"/>
      <c r="L302" s="270"/>
      <c r="M302" s="270"/>
      <c r="N302" s="270"/>
    </row>
    <row r="303" spans="3:21">
      <c r="C303" s="270"/>
      <c r="D303" s="270"/>
      <c r="E303" s="270"/>
      <c r="F303" s="270"/>
      <c r="G303" s="270"/>
      <c r="H303" s="270"/>
      <c r="I303" s="270"/>
      <c r="J303" s="270"/>
      <c r="K303" s="270"/>
      <c r="L303" s="270"/>
      <c r="M303" s="270"/>
      <c r="N303" s="270"/>
    </row>
    <row r="304" spans="3:21">
      <c r="C304" s="270"/>
      <c r="D304" s="270"/>
      <c r="E304" s="270"/>
      <c r="F304" s="270"/>
      <c r="G304" s="270"/>
      <c r="H304" s="270"/>
      <c r="I304" s="270"/>
      <c r="J304" s="270"/>
      <c r="K304" s="270"/>
      <c r="L304" s="270"/>
      <c r="M304" s="270"/>
      <c r="N304" s="270"/>
    </row>
    <row r="305" spans="3:14">
      <c r="C305" s="270"/>
      <c r="D305" s="270"/>
      <c r="E305" s="270"/>
      <c r="F305" s="270"/>
      <c r="G305" s="270"/>
      <c r="H305" s="270"/>
      <c r="I305" s="270"/>
      <c r="J305" s="270"/>
      <c r="K305" s="270"/>
      <c r="L305" s="270"/>
      <c r="M305" s="270"/>
      <c r="N305" s="270"/>
    </row>
    <row r="306" spans="3:14">
      <c r="C306" s="270"/>
      <c r="D306" s="270"/>
      <c r="E306" s="270"/>
      <c r="F306" s="270"/>
      <c r="G306" s="270"/>
      <c r="H306" s="270"/>
      <c r="I306" s="270"/>
      <c r="J306" s="270"/>
      <c r="K306" s="270"/>
      <c r="L306" s="270"/>
      <c r="M306" s="270"/>
      <c r="N306" s="270"/>
    </row>
    <row r="307" spans="3:14">
      <c r="C307" s="270"/>
      <c r="D307" s="270"/>
      <c r="E307" s="270"/>
      <c r="F307" s="270"/>
      <c r="G307" s="270"/>
      <c r="H307" s="270"/>
      <c r="I307" s="270"/>
      <c r="J307" s="270"/>
      <c r="K307" s="270"/>
      <c r="L307" s="270"/>
      <c r="M307" s="270"/>
      <c r="N307" s="270"/>
    </row>
    <row r="308" spans="3:14">
      <c r="C308" s="270"/>
      <c r="D308" s="270"/>
      <c r="E308" s="270"/>
      <c r="F308" s="270"/>
      <c r="G308" s="270"/>
      <c r="H308" s="270"/>
      <c r="I308" s="270"/>
      <c r="J308" s="270"/>
      <c r="K308" s="270"/>
      <c r="L308" s="270"/>
      <c r="M308" s="270"/>
      <c r="N308" s="270"/>
    </row>
  </sheetData>
  <mergeCells count="8">
    <mergeCell ref="C108:N108"/>
    <mergeCell ref="C109:N109"/>
    <mergeCell ref="C102:N102"/>
    <mergeCell ref="C103:N103"/>
    <mergeCell ref="C104:N104"/>
    <mergeCell ref="C105:N105"/>
    <mergeCell ref="C106:N106"/>
    <mergeCell ref="C107:N107"/>
  </mergeCells>
  <pageMargins left="0.7" right="0.7" top="0.75" bottom="0.75" header="0.3" footer="0.3"/>
  <pageSetup scale="47" fitToHeight="2" orientation="landscape" r:id="rId1"/>
  <rowBreaks count="1" manualBreakCount="1">
    <brk id="60"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11</vt:i4>
      </vt:variant>
    </vt:vector>
  </HeadingPairs>
  <TitlesOfParts>
    <vt:vector size="26" baseType="lpstr">
      <vt:lpstr>Version Control</vt:lpstr>
      <vt:lpstr>Proof of True-Up </vt:lpstr>
      <vt:lpstr>Att GG True Up Combined</vt:lpstr>
      <vt:lpstr>Interest Over Collect</vt:lpstr>
      <vt:lpstr>Interest Under Collect </vt:lpstr>
      <vt:lpstr>Actual Load</vt:lpstr>
      <vt:lpstr>Zonal Load</vt:lpstr>
      <vt:lpstr>Att GG at 12.38 </vt:lpstr>
      <vt:lpstr>Att GG at 10.82</vt:lpstr>
      <vt:lpstr>Att GG Support</vt:lpstr>
      <vt:lpstr>MM Proof of True-Up</vt:lpstr>
      <vt:lpstr>Att MM True Up</vt:lpstr>
      <vt:lpstr>Att MM at 12.38</vt:lpstr>
      <vt:lpstr>Att MM at 10.82</vt:lpstr>
      <vt:lpstr>Attachment MM Supporting Data</vt:lpstr>
      <vt:lpstr>'Actual Load'!Print_Area</vt:lpstr>
      <vt:lpstr>'Att GG at 10.82'!Print_Area</vt:lpstr>
      <vt:lpstr>'Att GG at 12.38 '!Print_Area</vt:lpstr>
      <vt:lpstr>'Att GG True Up Combined'!Print_Area</vt:lpstr>
      <vt:lpstr>'Att MM at 10.82'!Print_Area</vt:lpstr>
      <vt:lpstr>'Att MM at 12.38'!Print_Area</vt:lpstr>
      <vt:lpstr>'Att MM True Up'!Print_Area</vt:lpstr>
      <vt:lpstr>'Interest Over Collect'!Print_Area</vt:lpstr>
      <vt:lpstr>'Interest Under Collect '!Print_Area</vt:lpstr>
      <vt:lpstr>'Version Control'!Print_Area</vt:lpstr>
      <vt:lpstr>'Zonal Load'!Print_Area</vt:lpstr>
    </vt:vector>
  </TitlesOfParts>
  <Company>Xcel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Kramer</dc:creator>
  <cp:lastModifiedBy>Teekay</cp:lastModifiedBy>
  <cp:lastPrinted>2017-11-13T13:17:28Z</cp:lastPrinted>
  <dcterms:created xsi:type="dcterms:W3CDTF">2010-07-06T14:39:45Z</dcterms:created>
  <dcterms:modified xsi:type="dcterms:W3CDTF">2017-11-21T19:49:42Z</dcterms:modified>
</cp:coreProperties>
</file>