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95" windowWidth="14880" windowHeight="7680" tabRatio="795"/>
  </bookViews>
  <sheets>
    <sheet name="Att GG True Up " sheetId="1" r:id="rId1"/>
    <sheet name="Proof of True-Up " sheetId="8" r:id="rId2"/>
    <sheet name="Actual Load" sheetId="3" r:id="rId3"/>
    <sheet name="Zonal Load" sheetId="2" r:id="rId4"/>
    <sheet name="Interest Under Collect " sheetId="5" r:id="rId5"/>
    <sheet name="Interest Over Collect" sheetId="6" r:id="rId6"/>
    <sheet name="Attachment GG Actuals" sheetId="9" r:id="rId7"/>
    <sheet name="Attachment GG Supporting Data" sheetId="12" r:id="rId8"/>
    <sheet name="Att MM True Up" sheetId="11" r:id="rId9"/>
    <sheet name="Attachment MM Actuals" sheetId="10" r:id="rId10"/>
    <sheet name="Attachment MM Supporting Data" sheetId="13" r:id="rId11"/>
    <sheet name="MM Proof of True-Up" sheetId="16" r:id="rId12"/>
  </sheets>
  <definedNames>
    <definedName name="_xlnm.Print_Area" localSheetId="2">'Actual Load'!$A$1:$E$40</definedName>
    <definedName name="_xlnm.Print_Area" localSheetId="0">'Att GG True Up '!$B$1:$N$917</definedName>
    <definedName name="_xlnm.Print_Area" localSheetId="6">'Attachment GG Actuals'!$A$1:$P$97</definedName>
    <definedName name="_xlnm.Print_Area" localSheetId="7">'Attachment GG Supporting Data'!$A$1:$R$62</definedName>
    <definedName name="_xlnm.Print_Area" localSheetId="9">'Attachment MM Actuals'!$A$1:$T$105</definedName>
    <definedName name="_xlnm.Print_Area" localSheetId="5">'Interest Over Collect'!$A$1:$J$36</definedName>
    <definedName name="_xlnm.Print_Area" localSheetId="4">'Interest Under Collect '!$A$1:$J$36</definedName>
    <definedName name="_xlnm.Print_Area" localSheetId="3">'Zonal Load'!$A$1:$N$39</definedName>
  </definedNames>
  <calcPr calcId="145621"/>
</workbook>
</file>

<file path=xl/calcChain.xml><?xml version="1.0" encoding="utf-8"?>
<calcChain xmlns="http://schemas.openxmlformats.org/spreadsheetml/2006/main">
  <c r="J34" i="11" l="1"/>
  <c r="J35" i="11" l="1"/>
  <c r="F9" i="5" l="1"/>
  <c r="F620" i="1" l="1"/>
  <c r="F619" i="1"/>
  <c r="B151" i="3" l="1"/>
  <c r="B150" i="3"/>
  <c r="B149" i="3"/>
  <c r="B148" i="3"/>
  <c r="D147" i="3"/>
  <c r="B147" i="3"/>
  <c r="B146" i="3"/>
  <c r="B106" i="3"/>
  <c r="B85" i="3"/>
  <c r="B68" i="3"/>
  <c r="M31" i="2" l="1"/>
  <c r="L31" i="2"/>
  <c r="K31" i="2"/>
  <c r="J31" i="2"/>
  <c r="I31" i="2"/>
  <c r="H31" i="2"/>
  <c r="G31" i="2"/>
  <c r="F31" i="2"/>
  <c r="E31" i="2"/>
  <c r="D31" i="2"/>
  <c r="C31" i="2"/>
  <c r="B31" i="2"/>
  <c r="C123" i="2"/>
  <c r="D123" i="2"/>
  <c r="E123" i="2"/>
  <c r="F123" i="2"/>
  <c r="G123" i="2"/>
  <c r="H123" i="2"/>
  <c r="I123" i="2"/>
  <c r="J123" i="2"/>
  <c r="K123" i="2"/>
  <c r="L123" i="2"/>
  <c r="M123" i="2"/>
  <c r="B123" i="2"/>
  <c r="C129" i="2"/>
  <c r="D129" i="2"/>
  <c r="E129" i="2"/>
  <c r="F129" i="2"/>
  <c r="G129" i="2"/>
  <c r="H129" i="2"/>
  <c r="I129" i="2"/>
  <c r="J129" i="2"/>
  <c r="K129" i="2"/>
  <c r="L129" i="2"/>
  <c r="M129" i="2"/>
  <c r="B129" i="2"/>
  <c r="G82" i="1" l="1"/>
  <c r="G122" i="1"/>
  <c r="G162" i="1"/>
  <c r="G856" i="1"/>
  <c r="G803" i="1"/>
  <c r="G757" i="1"/>
  <c r="G711" i="1"/>
  <c r="G665" i="1"/>
  <c r="G620" i="1"/>
  <c r="G578" i="1"/>
  <c r="G536" i="1"/>
  <c r="G494" i="1"/>
  <c r="G452" i="1"/>
  <c r="G410" i="1"/>
  <c r="G368" i="1"/>
  <c r="G328" i="1"/>
  <c r="G286" i="1"/>
  <c r="G244" i="1"/>
  <c r="G204" i="1"/>
  <c r="H916" i="1" l="1"/>
  <c r="H915" i="1"/>
  <c r="H917" i="1" l="1"/>
  <c r="F23" i="11"/>
  <c r="T95" i="10" l="1"/>
  <c r="F13" i="5" l="1"/>
  <c r="F870" i="1"/>
  <c r="F17" i="5" s="1"/>
  <c r="F869" i="1"/>
  <c r="F20" i="6" s="1"/>
  <c r="R95" i="9" l="1"/>
  <c r="R74" i="9"/>
  <c r="R75" i="9"/>
  <c r="R76" i="9"/>
  <c r="R77" i="9"/>
  <c r="R78" i="9"/>
  <c r="R79" i="9"/>
  <c r="R80" i="9"/>
  <c r="R81" i="9"/>
  <c r="R82" i="9"/>
  <c r="R83" i="9"/>
  <c r="R84" i="9"/>
  <c r="R85" i="9"/>
  <c r="R86" i="9"/>
  <c r="R87" i="9"/>
  <c r="R88" i="9"/>
  <c r="R89" i="9"/>
  <c r="R90" i="9"/>
  <c r="R91" i="9"/>
  <c r="R73" i="9"/>
  <c r="F12" i="5" l="1"/>
  <c r="F11" i="5"/>
  <c r="F10" i="5"/>
  <c r="F8" i="5"/>
  <c r="F7" i="5"/>
  <c r="F6" i="5"/>
  <c r="F15" i="6" l="1"/>
  <c r="F14" i="6"/>
  <c r="F13" i="6"/>
  <c r="F12" i="6"/>
  <c r="F11" i="6"/>
  <c r="F10" i="6"/>
  <c r="F9" i="6"/>
  <c r="F8" i="6"/>
  <c r="F7" i="6"/>
  <c r="F6" i="6"/>
  <c r="F5" i="6"/>
  <c r="N7" i="2"/>
  <c r="N8" i="2"/>
  <c r="N9" i="2"/>
  <c r="N11" i="2"/>
  <c r="N12" i="2"/>
  <c r="N14" i="2"/>
  <c r="N16" i="2"/>
  <c r="N20" i="2"/>
  <c r="N22" i="2"/>
  <c r="N24" i="2"/>
  <c r="N28" i="2"/>
  <c r="N30" i="2"/>
  <c r="H799" i="1" s="1"/>
  <c r="N36" i="2"/>
  <c r="N37" i="2"/>
  <c r="F862" i="1"/>
  <c r="F861" i="1"/>
  <c r="E821" i="1"/>
  <c r="E820" i="1"/>
  <c r="F820" i="1" s="1"/>
  <c r="H820" i="1" s="1"/>
  <c r="D820" i="1"/>
  <c r="C820" i="1"/>
  <c r="G774" i="1"/>
  <c r="F774" i="1"/>
  <c r="H774" i="1" s="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3" i="1"/>
  <c r="G772" i="1"/>
  <c r="F799" i="1"/>
  <c r="F798" i="1"/>
  <c r="F797" i="1"/>
  <c r="F796" i="1"/>
  <c r="F795" i="1"/>
  <c r="H795" i="1" s="1"/>
  <c r="F794" i="1"/>
  <c r="F793" i="1"/>
  <c r="F792" i="1"/>
  <c r="F791" i="1"/>
  <c r="F790" i="1"/>
  <c r="F789" i="1"/>
  <c r="F788" i="1"/>
  <c r="H788" i="1" s="1"/>
  <c r="F787" i="1"/>
  <c r="F786" i="1"/>
  <c r="F785" i="1"/>
  <c r="F784" i="1"/>
  <c r="F783" i="1"/>
  <c r="F782" i="1"/>
  <c r="H782" i="1" s="1"/>
  <c r="F781" i="1"/>
  <c r="F780" i="1"/>
  <c r="F779" i="1"/>
  <c r="F778" i="1"/>
  <c r="H778" i="1" s="1"/>
  <c r="F777" i="1"/>
  <c r="F776" i="1"/>
  <c r="F775" i="1"/>
  <c r="F773" i="1"/>
  <c r="F772" i="1"/>
  <c r="E800" i="1"/>
  <c r="D800" i="1"/>
  <c r="C800" i="1"/>
  <c r="G820" i="1" l="1"/>
  <c r="G862" i="1"/>
  <c r="H787" i="1"/>
  <c r="H783" i="1"/>
  <c r="H773" i="1"/>
  <c r="H777" i="1"/>
  <c r="H797" i="1"/>
  <c r="F800" i="1"/>
  <c r="H772" i="1"/>
  <c r="G800" i="1"/>
  <c r="G852" i="1" l="1"/>
  <c r="G42" i="1" s="1"/>
  <c r="G851" i="1"/>
  <c r="G41" i="1" s="1"/>
  <c r="G850" i="1"/>
  <c r="G40" i="1" s="1"/>
  <c r="G849" i="1"/>
  <c r="G39" i="1" s="1"/>
  <c r="G848" i="1"/>
  <c r="G38" i="1" s="1"/>
  <c r="G847" i="1"/>
  <c r="G37" i="1" s="1"/>
  <c r="G846" i="1"/>
  <c r="G36" i="1" s="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19" i="1"/>
  <c r="G818" i="1"/>
  <c r="F852" i="1"/>
  <c r="F851" i="1"/>
  <c r="F850" i="1"/>
  <c r="F849" i="1"/>
  <c r="F848" i="1"/>
  <c r="F847" i="1"/>
  <c r="F846" i="1"/>
  <c r="F845" i="1"/>
  <c r="H845" i="1" s="1"/>
  <c r="F844" i="1"/>
  <c r="F843" i="1"/>
  <c r="H843" i="1" s="1"/>
  <c r="F842" i="1"/>
  <c r="F841" i="1"/>
  <c r="H841" i="1" s="1"/>
  <c r="F840" i="1"/>
  <c r="F839" i="1"/>
  <c r="F838" i="1"/>
  <c r="F837" i="1"/>
  <c r="F836" i="1"/>
  <c r="F835" i="1"/>
  <c r="F834" i="1"/>
  <c r="H834" i="1" s="1"/>
  <c r="F833" i="1"/>
  <c r="H833" i="1" s="1"/>
  <c r="F832" i="1"/>
  <c r="F831" i="1"/>
  <c r="F830" i="1"/>
  <c r="F829" i="1"/>
  <c r="H829" i="1" s="1"/>
  <c r="F828" i="1"/>
  <c r="H828" i="1" s="1"/>
  <c r="F827" i="1"/>
  <c r="F826" i="1"/>
  <c r="F825" i="1"/>
  <c r="F824" i="1"/>
  <c r="H824" i="1" s="1"/>
  <c r="F823" i="1"/>
  <c r="H823" i="1" s="1"/>
  <c r="F822" i="1"/>
  <c r="F821" i="1"/>
  <c r="F819" i="1"/>
  <c r="F818" i="1"/>
  <c r="H851" i="1" l="1"/>
  <c r="H907" i="1" s="1"/>
  <c r="F42" i="1"/>
  <c r="H852" i="1"/>
  <c r="H908" i="1" s="1"/>
  <c r="F37" i="1"/>
  <c r="F41" i="1"/>
  <c r="F40" i="1"/>
  <c r="F36" i="1"/>
  <c r="F39" i="1"/>
  <c r="F38" i="1"/>
  <c r="E853" i="1"/>
  <c r="D822" i="1"/>
  <c r="C822" i="1"/>
  <c r="D821" i="1"/>
  <c r="C821" i="1"/>
  <c r="H819" i="1"/>
  <c r="H818" i="1"/>
  <c r="H95" i="9"/>
  <c r="E95" i="9"/>
  <c r="F75" i="9"/>
  <c r="F76" i="9" s="1"/>
  <c r="F77" i="9" s="1"/>
  <c r="F78" i="9" s="1"/>
  <c r="F79" i="9" s="1"/>
  <c r="F80" i="9" s="1"/>
  <c r="F81" i="9" s="1"/>
  <c r="F82" i="9" s="1"/>
  <c r="F83" i="9" s="1"/>
  <c r="F84" i="9" s="1"/>
  <c r="F85" i="9" s="1"/>
  <c r="F86" i="9" s="1"/>
  <c r="F87" i="9" s="1"/>
  <c r="F88" i="9" s="1"/>
  <c r="F89" i="9" s="1"/>
  <c r="F90" i="9" s="1"/>
  <c r="F74" i="9"/>
  <c r="I75" i="9"/>
  <c r="I76" i="9" s="1"/>
  <c r="I77" i="9" s="1"/>
  <c r="I78" i="9" s="1"/>
  <c r="I79" i="9" s="1"/>
  <c r="I80" i="9" s="1"/>
  <c r="I81" i="9" s="1"/>
  <c r="I82" i="9" s="1"/>
  <c r="I83" i="9" s="1"/>
  <c r="I84" i="9" s="1"/>
  <c r="I85" i="9" s="1"/>
  <c r="I86" i="9" s="1"/>
  <c r="I87" i="9" s="1"/>
  <c r="I88" i="9" s="1"/>
  <c r="I89" i="9" s="1"/>
  <c r="I90" i="9" s="1"/>
  <c r="I74" i="9"/>
  <c r="T61" i="12"/>
  <c r="S61" i="12"/>
  <c r="R61" i="12"/>
  <c r="Q61" i="12"/>
  <c r="P61" i="12"/>
  <c r="O61" i="12"/>
  <c r="N61" i="12"/>
  <c r="M61" i="12"/>
  <c r="L61" i="12"/>
  <c r="K61" i="12"/>
  <c r="J61" i="12"/>
  <c r="I61" i="12"/>
  <c r="H61" i="12"/>
  <c r="G61" i="12"/>
  <c r="F61" i="12"/>
  <c r="E61" i="12"/>
  <c r="D61" i="12"/>
  <c r="C61" i="12"/>
  <c r="T55" i="12"/>
  <c r="S55" i="12"/>
  <c r="R55" i="12"/>
  <c r="Q55" i="12"/>
  <c r="P55" i="12"/>
  <c r="O55" i="12"/>
  <c r="N55" i="12"/>
  <c r="M55" i="12"/>
  <c r="L55" i="12"/>
  <c r="K55" i="12"/>
  <c r="J55" i="12"/>
  <c r="I55" i="12"/>
  <c r="H55" i="12"/>
  <c r="G55" i="12"/>
  <c r="F55" i="12"/>
  <c r="E55" i="12"/>
  <c r="D55" i="12"/>
  <c r="C55" i="12"/>
  <c r="T54" i="12"/>
  <c r="S54" i="12"/>
  <c r="R54" i="12"/>
  <c r="Q54" i="12"/>
  <c r="P54" i="12"/>
  <c r="O54" i="12"/>
  <c r="N54" i="12"/>
  <c r="M54" i="12"/>
  <c r="L54" i="12"/>
  <c r="K54" i="12"/>
  <c r="J54" i="12"/>
  <c r="I54" i="12"/>
  <c r="H54" i="12"/>
  <c r="G54" i="12"/>
  <c r="F54" i="12"/>
  <c r="E54" i="12"/>
  <c r="D54" i="12"/>
  <c r="C54" i="12"/>
  <c r="T53" i="12"/>
  <c r="S53" i="12"/>
  <c r="R53" i="12"/>
  <c r="Q53" i="12"/>
  <c r="P53" i="12"/>
  <c r="O53" i="12"/>
  <c r="N53" i="12"/>
  <c r="M53" i="12"/>
  <c r="L53" i="12"/>
  <c r="K53" i="12"/>
  <c r="J53" i="12"/>
  <c r="I53" i="12"/>
  <c r="H53" i="12"/>
  <c r="G53" i="12"/>
  <c r="F53" i="12"/>
  <c r="E53" i="12"/>
  <c r="D53" i="12"/>
  <c r="C53" i="12"/>
  <c r="T52" i="12"/>
  <c r="S52" i="12"/>
  <c r="R52" i="12"/>
  <c r="Q52" i="12"/>
  <c r="P52" i="12"/>
  <c r="O52" i="12"/>
  <c r="N52" i="12"/>
  <c r="M52" i="12"/>
  <c r="L52" i="12"/>
  <c r="K52" i="12"/>
  <c r="J52" i="12"/>
  <c r="I52" i="12"/>
  <c r="H52" i="12"/>
  <c r="G52" i="12"/>
  <c r="F52" i="12"/>
  <c r="E52" i="12"/>
  <c r="D52" i="12"/>
  <c r="C52" i="12"/>
  <c r="T51" i="12"/>
  <c r="S51" i="12"/>
  <c r="R51" i="12"/>
  <c r="Q51" i="12"/>
  <c r="P51" i="12"/>
  <c r="O51" i="12"/>
  <c r="N51" i="12"/>
  <c r="M51" i="12"/>
  <c r="L51" i="12"/>
  <c r="K51" i="12"/>
  <c r="J51" i="12"/>
  <c r="I51" i="12"/>
  <c r="H51" i="12"/>
  <c r="G51" i="12"/>
  <c r="F51" i="12"/>
  <c r="E51" i="12"/>
  <c r="D51" i="12"/>
  <c r="C51" i="12"/>
  <c r="T50" i="12"/>
  <c r="S50" i="12"/>
  <c r="R50" i="12"/>
  <c r="Q50" i="12"/>
  <c r="P50" i="12"/>
  <c r="O50" i="12"/>
  <c r="N50" i="12"/>
  <c r="M50" i="12"/>
  <c r="L50" i="12"/>
  <c r="K50" i="12"/>
  <c r="J50" i="12"/>
  <c r="I50" i="12"/>
  <c r="H50" i="12"/>
  <c r="G50" i="12"/>
  <c r="F50" i="12"/>
  <c r="E50" i="12"/>
  <c r="D50" i="12"/>
  <c r="C50" i="12"/>
  <c r="T49" i="12"/>
  <c r="S49" i="12"/>
  <c r="R49" i="12"/>
  <c r="Q49" i="12"/>
  <c r="P49" i="12"/>
  <c r="O49" i="12"/>
  <c r="N49" i="12"/>
  <c r="M49" i="12"/>
  <c r="L49" i="12"/>
  <c r="K49" i="12"/>
  <c r="J49" i="12"/>
  <c r="I49" i="12"/>
  <c r="H49" i="12"/>
  <c r="G49" i="12"/>
  <c r="F49" i="12"/>
  <c r="E49" i="12"/>
  <c r="D49" i="12"/>
  <c r="C49" i="12"/>
  <c r="T48" i="12"/>
  <c r="S48" i="12"/>
  <c r="R48" i="12"/>
  <c r="Q48" i="12"/>
  <c r="P48" i="12"/>
  <c r="O48" i="12"/>
  <c r="N48" i="12"/>
  <c r="M48" i="12"/>
  <c r="L48" i="12"/>
  <c r="K48" i="12"/>
  <c r="J48" i="12"/>
  <c r="I48" i="12"/>
  <c r="H48" i="12"/>
  <c r="G48" i="12"/>
  <c r="F48" i="12"/>
  <c r="E48" i="12"/>
  <c r="D48" i="12"/>
  <c r="C48" i="12"/>
  <c r="T47" i="12"/>
  <c r="S47" i="12"/>
  <c r="R47" i="12"/>
  <c r="Q47" i="12"/>
  <c r="P47" i="12"/>
  <c r="O47" i="12"/>
  <c r="N47" i="12"/>
  <c r="M47" i="12"/>
  <c r="L47" i="12"/>
  <c r="K47" i="12"/>
  <c r="J47" i="12"/>
  <c r="I47" i="12"/>
  <c r="H47" i="12"/>
  <c r="G47" i="12"/>
  <c r="F47" i="12"/>
  <c r="E47" i="12"/>
  <c r="D47" i="12"/>
  <c r="C47" i="12"/>
  <c r="T46" i="12"/>
  <c r="S46" i="12"/>
  <c r="R46" i="12"/>
  <c r="Q46" i="12"/>
  <c r="P46" i="12"/>
  <c r="O46" i="12"/>
  <c r="N46" i="12"/>
  <c r="M46" i="12"/>
  <c r="L46" i="12"/>
  <c r="K46" i="12"/>
  <c r="J46" i="12"/>
  <c r="I46" i="12"/>
  <c r="H46" i="12"/>
  <c r="G46" i="12"/>
  <c r="F46" i="12"/>
  <c r="E46" i="12"/>
  <c r="D46" i="12"/>
  <c r="C46" i="12"/>
  <c r="T45" i="12"/>
  <c r="S45" i="12"/>
  <c r="R45" i="12"/>
  <c r="Q45" i="12"/>
  <c r="P45" i="12"/>
  <c r="O45" i="12"/>
  <c r="N45" i="12"/>
  <c r="M45" i="12"/>
  <c r="L45" i="12"/>
  <c r="K45" i="12"/>
  <c r="J45" i="12"/>
  <c r="I45" i="12"/>
  <c r="H45" i="12"/>
  <c r="G45" i="12"/>
  <c r="F45" i="12"/>
  <c r="E45" i="12"/>
  <c r="D45" i="12"/>
  <c r="C45" i="12"/>
  <c r="T44" i="12"/>
  <c r="S44" i="12"/>
  <c r="S56" i="12" s="1"/>
  <c r="R44" i="12"/>
  <c r="Q44" i="12"/>
  <c r="P44" i="12"/>
  <c r="O44" i="12"/>
  <c r="O56" i="12" s="1"/>
  <c r="N44" i="12"/>
  <c r="M44" i="12"/>
  <c r="L44" i="12"/>
  <c r="K44" i="12"/>
  <c r="K56" i="12" s="1"/>
  <c r="J44" i="12"/>
  <c r="I44" i="12"/>
  <c r="H44" i="12"/>
  <c r="G44" i="12"/>
  <c r="G56" i="12" s="1"/>
  <c r="F44" i="12"/>
  <c r="E44" i="12"/>
  <c r="D44" i="12"/>
  <c r="C44" i="12"/>
  <c r="C56" i="12" s="1"/>
  <c r="T43" i="12"/>
  <c r="S43" i="12"/>
  <c r="R43" i="12"/>
  <c r="R56" i="12" s="1"/>
  <c r="Q43" i="12"/>
  <c r="Q56" i="12" s="1"/>
  <c r="P43" i="12"/>
  <c r="P56" i="12" s="1"/>
  <c r="O43" i="12"/>
  <c r="N43" i="12"/>
  <c r="N56" i="12" s="1"/>
  <c r="M43" i="12"/>
  <c r="M56" i="12" s="1"/>
  <c r="L43" i="12"/>
  <c r="L56" i="12" s="1"/>
  <c r="K43" i="12"/>
  <c r="J43" i="12"/>
  <c r="J56" i="12" s="1"/>
  <c r="I43" i="12"/>
  <c r="I56" i="12" s="1"/>
  <c r="H43" i="12"/>
  <c r="H56" i="12" s="1"/>
  <c r="G43" i="12"/>
  <c r="F43" i="12"/>
  <c r="F56" i="12" s="1"/>
  <c r="E43" i="12"/>
  <c r="E56" i="12" s="1"/>
  <c r="D43" i="12"/>
  <c r="D56" i="12" s="1"/>
  <c r="C43" i="12"/>
  <c r="T39" i="12"/>
  <c r="S39" i="12"/>
  <c r="R39" i="12"/>
  <c r="Q39" i="12"/>
  <c r="P39" i="12"/>
  <c r="O39" i="12"/>
  <c r="N39" i="12"/>
  <c r="M39" i="12"/>
  <c r="L39" i="12"/>
  <c r="K39" i="12"/>
  <c r="J39" i="12"/>
  <c r="I39" i="12"/>
  <c r="H39" i="12"/>
  <c r="G39" i="12"/>
  <c r="F39" i="12"/>
  <c r="E39" i="12"/>
  <c r="D39" i="12"/>
  <c r="C39" i="12"/>
  <c r="T23" i="12"/>
  <c r="S23" i="12"/>
  <c r="R23" i="12"/>
  <c r="Q23" i="12"/>
  <c r="P23" i="12"/>
  <c r="O23" i="12"/>
  <c r="N23" i="12"/>
  <c r="M23" i="12"/>
  <c r="L23" i="12"/>
  <c r="K23" i="12"/>
  <c r="J23" i="12"/>
  <c r="I23" i="12"/>
  <c r="H23" i="12"/>
  <c r="G23" i="12"/>
  <c r="F23" i="12"/>
  <c r="E23" i="12"/>
  <c r="D23" i="12"/>
  <c r="C23" i="12"/>
  <c r="H41" i="1" l="1"/>
  <c r="H42" i="1"/>
  <c r="C853" i="1"/>
  <c r="D853" i="1"/>
  <c r="G853" i="1"/>
  <c r="F853" i="1"/>
  <c r="G90" i="9"/>
  <c r="F91" i="9"/>
  <c r="G91" i="9" s="1"/>
  <c r="J90" i="9"/>
  <c r="I91" i="9"/>
  <c r="J91" i="9" s="1"/>
  <c r="L91" i="9" s="1"/>
  <c r="N91" i="9" s="1"/>
  <c r="T56" i="12"/>
  <c r="L90" i="9" l="1"/>
  <c r="N90" i="9" s="1"/>
  <c r="E21" i="11" l="1"/>
  <c r="H23" i="11" l="1"/>
  <c r="E12" i="16" l="1"/>
  <c r="D3" i="16"/>
  <c r="D5" i="16"/>
  <c r="O23" i="11"/>
  <c r="B143" i="3" l="1"/>
  <c r="B35" i="3" s="1"/>
  <c r="B140" i="3"/>
  <c r="B34" i="3" s="1"/>
  <c r="B134" i="3"/>
  <c r="B33" i="3" s="1"/>
  <c r="B131" i="3"/>
  <c r="B32" i="3" s="1"/>
  <c r="B126" i="3"/>
  <c r="B31" i="3" s="1"/>
  <c r="B120" i="3"/>
  <c r="B121" i="3" s="1"/>
  <c r="B123" i="3" s="1"/>
  <c r="B57" i="3" s="1"/>
  <c r="B18" i="3" s="1"/>
  <c r="B116" i="3"/>
  <c r="B25" i="3" s="1"/>
  <c r="B112" i="3"/>
  <c r="B6" i="3" s="1"/>
  <c r="B108" i="3"/>
  <c r="B29" i="3" s="1"/>
  <c r="B105" i="3"/>
  <c r="B27" i="3" s="1"/>
  <c r="B95" i="3"/>
  <c r="B84" i="3"/>
  <c r="B23" i="3" s="1"/>
  <c r="B78" i="3"/>
  <c r="B19" i="3" s="1"/>
  <c r="B75" i="3"/>
  <c r="B4" i="3" s="1"/>
  <c r="B67" i="3"/>
  <c r="B13" i="3" s="1"/>
  <c r="B60" i="3"/>
  <c r="B15" i="3" s="1"/>
  <c r="B47" i="3"/>
  <c r="B10" i="3" s="1"/>
  <c r="C141" i="2"/>
  <c r="C35" i="2" s="1"/>
  <c r="D141" i="2"/>
  <c r="D35" i="2" s="1"/>
  <c r="E141" i="2"/>
  <c r="E35" i="2" s="1"/>
  <c r="F141" i="2"/>
  <c r="F35" i="2" s="1"/>
  <c r="G141" i="2"/>
  <c r="G35" i="2" s="1"/>
  <c r="H141" i="2"/>
  <c r="H35" i="2" s="1"/>
  <c r="I141" i="2"/>
  <c r="I35" i="2" s="1"/>
  <c r="J141" i="2"/>
  <c r="J35" i="2" s="1"/>
  <c r="K141" i="2"/>
  <c r="K35" i="2" s="1"/>
  <c r="L141" i="2"/>
  <c r="L35" i="2" s="1"/>
  <c r="M141" i="2"/>
  <c r="M35" i="2" s="1"/>
  <c r="B141" i="2"/>
  <c r="B35" i="2" s="1"/>
  <c r="L138" i="2"/>
  <c r="L34" i="2" s="1"/>
  <c r="K138" i="2"/>
  <c r="K34" i="2" s="1"/>
  <c r="J138" i="2"/>
  <c r="J34" i="2" s="1"/>
  <c r="I138" i="2"/>
  <c r="I34" i="2" s="1"/>
  <c r="H138" i="2"/>
  <c r="H34" i="2" s="1"/>
  <c r="G138" i="2"/>
  <c r="G34" i="2" s="1"/>
  <c r="F138" i="2"/>
  <c r="F34" i="2" s="1"/>
  <c r="E138" i="2"/>
  <c r="E34" i="2" s="1"/>
  <c r="D138" i="2"/>
  <c r="D34" i="2" s="1"/>
  <c r="C138" i="2"/>
  <c r="C34" i="2" s="1"/>
  <c r="B138" i="2"/>
  <c r="B34" i="2" s="1"/>
  <c r="L132" i="2"/>
  <c r="L33" i="2" s="1"/>
  <c r="K132" i="2"/>
  <c r="K33" i="2" s="1"/>
  <c r="J132" i="2"/>
  <c r="J33" i="2" s="1"/>
  <c r="I132" i="2"/>
  <c r="I33" i="2" s="1"/>
  <c r="H132" i="2"/>
  <c r="H33" i="2" s="1"/>
  <c r="G132" i="2"/>
  <c r="G33" i="2" s="1"/>
  <c r="F132" i="2"/>
  <c r="F33" i="2" s="1"/>
  <c r="E132" i="2"/>
  <c r="E33" i="2" s="1"/>
  <c r="D132" i="2"/>
  <c r="D33" i="2" s="1"/>
  <c r="C132" i="2"/>
  <c r="C33" i="2" s="1"/>
  <c r="B132" i="2"/>
  <c r="B33" i="2" s="1"/>
  <c r="L32" i="2"/>
  <c r="K32" i="2"/>
  <c r="J32" i="2"/>
  <c r="I32" i="2"/>
  <c r="H32" i="2"/>
  <c r="G32" i="2"/>
  <c r="F32" i="2"/>
  <c r="E32" i="2"/>
  <c r="D32" i="2"/>
  <c r="C32" i="2"/>
  <c r="B32" i="2"/>
  <c r="B92" i="2"/>
  <c r="N35" i="2" l="1"/>
  <c r="H850" i="1" s="1"/>
  <c r="B21" i="3"/>
  <c r="B17" i="3"/>
  <c r="B50" i="3"/>
  <c r="H906" i="1" l="1"/>
  <c r="H40" i="1"/>
  <c r="T89" i="10"/>
  <c r="F707" i="1" l="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H682" i="1" s="1"/>
  <c r="F681" i="1"/>
  <c r="F680"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G753" i="1"/>
  <c r="G707" i="1"/>
  <c r="G35" i="1" l="1"/>
  <c r="F35" i="1"/>
  <c r="H728" i="1"/>
  <c r="G752" i="1" l="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D729" i="1"/>
  <c r="C729" i="1"/>
  <c r="D728" i="1"/>
  <c r="C728" i="1"/>
  <c r="D683" i="1"/>
  <c r="C683" i="1"/>
  <c r="D682" i="1"/>
  <c r="C682" i="1"/>
  <c r="C708" i="1" l="1"/>
  <c r="D708" i="1"/>
  <c r="C754" i="1"/>
  <c r="D754" i="1"/>
  <c r="G754" i="1"/>
  <c r="E754" i="1"/>
  <c r="F708" i="1"/>
  <c r="G708" i="1"/>
  <c r="E708" i="1"/>
  <c r="F754" i="1" l="1"/>
  <c r="C61" i="13" l="1"/>
  <c r="C55" i="13"/>
  <c r="C54" i="13"/>
  <c r="C53" i="13"/>
  <c r="C52" i="13"/>
  <c r="C51" i="13"/>
  <c r="C50" i="13"/>
  <c r="C49" i="13"/>
  <c r="C48" i="13"/>
  <c r="C47" i="13"/>
  <c r="C46" i="13"/>
  <c r="C45" i="13"/>
  <c r="C44" i="13"/>
  <c r="C43" i="13"/>
  <c r="C39" i="13"/>
  <c r="C23" i="13"/>
  <c r="B22" i="13"/>
  <c r="B38" i="13" s="1"/>
  <c r="B55" i="13" s="1"/>
  <c r="B11" i="13"/>
  <c r="B44" i="13" s="1"/>
  <c r="B10" i="13"/>
  <c r="B43" i="13" s="1"/>
  <c r="B22" i="12"/>
  <c r="B38" i="12" s="1"/>
  <c r="B55" i="12" s="1"/>
  <c r="B11" i="12"/>
  <c r="B44" i="12" s="1"/>
  <c r="B10" i="12"/>
  <c r="B43" i="12" s="1"/>
  <c r="C56" i="13" l="1"/>
  <c r="B27" i="13"/>
  <c r="B26" i="13"/>
  <c r="B27" i="12"/>
  <c r="B26" i="12"/>
  <c r="F30" i="11"/>
  <c r="G23" i="11" s="1"/>
  <c r="J27" i="10"/>
  <c r="J29" i="10" s="1"/>
  <c r="L29" i="10" s="1"/>
  <c r="G72" i="10" s="1"/>
  <c r="J38" i="10"/>
  <c r="L38" i="10" s="1"/>
  <c r="J42" i="10"/>
  <c r="L42" i="10" s="1"/>
  <c r="L72" i="10"/>
  <c r="J20" i="10"/>
  <c r="J52" i="10" s="1"/>
  <c r="L52" i="10" s="1"/>
  <c r="Q89" i="10"/>
  <c r="J64" i="10"/>
  <c r="J62" i="10"/>
  <c r="R61" i="10"/>
  <c r="J61" i="10"/>
  <c r="C61" i="10"/>
  <c r="G23" i="9"/>
  <c r="L23" i="9" s="1"/>
  <c r="G27" i="9"/>
  <c r="L27" i="9" s="1"/>
  <c r="G31" i="9"/>
  <c r="L31" i="9" s="1"/>
  <c r="G37" i="9"/>
  <c r="L37" i="9" s="1"/>
  <c r="G41" i="9"/>
  <c r="L41" i="9" s="1"/>
  <c r="P95" i="9"/>
  <c r="M95" i="9"/>
  <c r="F65" i="9"/>
  <c r="G63" i="9"/>
  <c r="N62" i="9"/>
  <c r="G62" i="9"/>
  <c r="C62" i="9"/>
  <c r="F635" i="1"/>
  <c r="F636" i="1"/>
  <c r="F639" i="1"/>
  <c r="E61" i="1"/>
  <c r="F61" i="1" s="1"/>
  <c r="E101" i="1"/>
  <c r="G101" i="1" s="1"/>
  <c r="E181" i="1"/>
  <c r="F181" i="1" s="1"/>
  <c r="E223" i="1"/>
  <c r="F223" i="1" s="1"/>
  <c r="E429" i="1"/>
  <c r="F429" i="1" s="1"/>
  <c r="E471" i="1"/>
  <c r="F471" i="1" s="1"/>
  <c r="F640" i="1"/>
  <c r="E224" i="1"/>
  <c r="F224" i="1" s="1"/>
  <c r="F641" i="1"/>
  <c r="F642" i="1"/>
  <c r="F643" i="1"/>
  <c r="F644" i="1"/>
  <c r="F645" i="1"/>
  <c r="F647" i="1"/>
  <c r="F646" i="1"/>
  <c r="F648" i="1"/>
  <c r="F649" i="1"/>
  <c r="F650" i="1"/>
  <c r="F651" i="1"/>
  <c r="F652" i="1"/>
  <c r="F653" i="1"/>
  <c r="F654" i="1"/>
  <c r="F655" i="1"/>
  <c r="F656" i="1"/>
  <c r="F657" i="1"/>
  <c r="F658" i="1"/>
  <c r="F659" i="1"/>
  <c r="F32" i="1" s="1"/>
  <c r="F660" i="1"/>
  <c r="F33" i="1" s="1"/>
  <c r="F661" i="1"/>
  <c r="F34" i="1" s="1"/>
  <c r="G635" i="1"/>
  <c r="G636" i="1"/>
  <c r="G639" i="1"/>
  <c r="G640" i="1"/>
  <c r="G641" i="1"/>
  <c r="G642" i="1"/>
  <c r="G643" i="1"/>
  <c r="G644" i="1"/>
  <c r="G645" i="1"/>
  <c r="G646" i="1"/>
  <c r="G647" i="1"/>
  <c r="G648" i="1"/>
  <c r="G649" i="1"/>
  <c r="G650" i="1"/>
  <c r="G651" i="1"/>
  <c r="G652" i="1"/>
  <c r="G653" i="1"/>
  <c r="G654" i="1"/>
  <c r="G655" i="1"/>
  <c r="G656" i="1"/>
  <c r="G657" i="1"/>
  <c r="G658" i="1"/>
  <c r="G659" i="1"/>
  <c r="G32" i="1" s="1"/>
  <c r="G660" i="1"/>
  <c r="G33" i="1" s="1"/>
  <c r="G661" i="1"/>
  <c r="G34" i="1" s="1"/>
  <c r="G616" i="1"/>
  <c r="G594" i="1"/>
  <c r="G595" i="1"/>
  <c r="G596" i="1"/>
  <c r="G597" i="1"/>
  <c r="G598" i="1"/>
  <c r="G599" i="1"/>
  <c r="G600" i="1"/>
  <c r="G601" i="1"/>
  <c r="G602" i="1"/>
  <c r="G603" i="1"/>
  <c r="G604" i="1"/>
  <c r="G605" i="1"/>
  <c r="G606" i="1"/>
  <c r="G607" i="1"/>
  <c r="G608" i="1"/>
  <c r="G609" i="1"/>
  <c r="G610" i="1"/>
  <c r="G611" i="1"/>
  <c r="G612" i="1"/>
  <c r="G613" i="1"/>
  <c r="G614" i="1"/>
  <c r="G615" i="1"/>
  <c r="G593" i="1"/>
  <c r="F553" i="1"/>
  <c r="H553" i="1" s="1"/>
  <c r="F554" i="1"/>
  <c r="M138" i="2"/>
  <c r="M34" i="2" s="1"/>
  <c r="N34" i="2" s="1"/>
  <c r="H849" i="1" s="1"/>
  <c r="M132" i="2"/>
  <c r="M33" i="2" s="1"/>
  <c r="N33" i="2" s="1"/>
  <c r="H848" i="1" s="1"/>
  <c r="M32" i="2"/>
  <c r="N32" i="2" s="1"/>
  <c r="H847" i="1" s="1"/>
  <c r="N31" i="2"/>
  <c r="H846" i="1" s="1"/>
  <c r="B117" i="2"/>
  <c r="B118" i="2" s="1"/>
  <c r="B120" i="2" s="1"/>
  <c r="B55" i="2" s="1"/>
  <c r="B18" i="2" s="1"/>
  <c r="M113" i="2"/>
  <c r="M25" i="2" s="1"/>
  <c r="L113" i="2"/>
  <c r="K113" i="2"/>
  <c r="J113" i="2"/>
  <c r="J25" i="2" s="1"/>
  <c r="I113" i="2"/>
  <c r="H113" i="2"/>
  <c r="G113" i="2"/>
  <c r="F113" i="2"/>
  <c r="F25" i="2" s="1"/>
  <c r="E113" i="2"/>
  <c r="E25" i="2" s="1"/>
  <c r="D113" i="2"/>
  <c r="C113" i="2"/>
  <c r="B113" i="2"/>
  <c r="B25" i="2" s="1"/>
  <c r="M109" i="2"/>
  <c r="L109" i="2"/>
  <c r="K109" i="2"/>
  <c r="K6" i="2" s="1"/>
  <c r="J109" i="2"/>
  <c r="J6" i="2" s="1"/>
  <c r="I109" i="2"/>
  <c r="I6" i="2" s="1"/>
  <c r="H109" i="2"/>
  <c r="G109" i="2"/>
  <c r="G6" i="2" s="1"/>
  <c r="F109" i="2"/>
  <c r="F6" i="2" s="1"/>
  <c r="E109" i="2"/>
  <c r="E6" i="2" s="1"/>
  <c r="D109" i="2"/>
  <c r="C109" i="2"/>
  <c r="C6" i="2" s="1"/>
  <c r="B109" i="2"/>
  <c r="M105" i="2"/>
  <c r="L105" i="2"/>
  <c r="K105" i="2"/>
  <c r="K29" i="2" s="1"/>
  <c r="J105" i="2"/>
  <c r="J29" i="2" s="1"/>
  <c r="I105" i="2"/>
  <c r="H105" i="2"/>
  <c r="G105" i="2"/>
  <c r="F105" i="2"/>
  <c r="F29" i="2" s="1"/>
  <c r="E105" i="2"/>
  <c r="D105" i="2"/>
  <c r="C105" i="2"/>
  <c r="C29" i="2" s="1"/>
  <c r="B105" i="2"/>
  <c r="B29" i="2" s="1"/>
  <c r="B102" i="2"/>
  <c r="C92" i="2"/>
  <c r="C21" i="2" s="1"/>
  <c r="B81" i="2"/>
  <c r="B23" i="2" s="1"/>
  <c r="C75" i="2"/>
  <c r="C19" i="2" s="1"/>
  <c r="B75" i="2"/>
  <c r="B19" i="2" s="1"/>
  <c r="M72" i="2"/>
  <c r="L72" i="2"/>
  <c r="K72" i="2"/>
  <c r="K4" i="2" s="1"/>
  <c r="J72" i="2"/>
  <c r="J4" i="2" s="1"/>
  <c r="I72" i="2"/>
  <c r="I4" i="2" s="1"/>
  <c r="H72" i="2"/>
  <c r="G72" i="2"/>
  <c r="F72" i="2"/>
  <c r="F4" i="2" s="1"/>
  <c r="E72" i="2"/>
  <c r="E4" i="2" s="1"/>
  <c r="D72" i="2"/>
  <c r="D4" i="2" s="1"/>
  <c r="C72" i="2"/>
  <c r="C4" i="2" s="1"/>
  <c r="B72" i="2"/>
  <c r="B64" i="2"/>
  <c r="B58" i="2"/>
  <c r="B15" i="2" s="1"/>
  <c r="M48" i="2"/>
  <c r="L48" i="2"/>
  <c r="K48" i="2"/>
  <c r="J48" i="2"/>
  <c r="I48" i="2"/>
  <c r="H48" i="2"/>
  <c r="G48" i="2"/>
  <c r="F48" i="2"/>
  <c r="E48" i="2"/>
  <c r="D48" i="2"/>
  <c r="C48" i="2"/>
  <c r="B48" i="2"/>
  <c r="M45" i="2"/>
  <c r="M10" i="2" s="1"/>
  <c r="L45" i="2"/>
  <c r="L10" i="2" s="1"/>
  <c r="K45" i="2"/>
  <c r="K10" i="2" s="1"/>
  <c r="J45" i="2"/>
  <c r="I45" i="2"/>
  <c r="I10" i="2" s="1"/>
  <c r="H45" i="2"/>
  <c r="H10" i="2" s="1"/>
  <c r="G45" i="2"/>
  <c r="G10" i="2" s="1"/>
  <c r="F45" i="2"/>
  <c r="E45" i="2"/>
  <c r="D45" i="2"/>
  <c r="C45" i="2"/>
  <c r="C10" i="2" s="1"/>
  <c r="B45" i="2"/>
  <c r="M4" i="2"/>
  <c r="C5" i="2"/>
  <c r="M6" i="2"/>
  <c r="C26" i="2"/>
  <c r="M29" i="2"/>
  <c r="L4" i="2"/>
  <c r="L6" i="2"/>
  <c r="L25" i="2"/>
  <c r="L29" i="2"/>
  <c r="K25" i="2"/>
  <c r="J10" i="2"/>
  <c r="I25" i="2"/>
  <c r="I29" i="2"/>
  <c r="H4" i="2"/>
  <c r="H6" i="2"/>
  <c r="H25" i="2"/>
  <c r="H29" i="2"/>
  <c r="G4" i="2"/>
  <c r="G25" i="2"/>
  <c r="G29" i="2"/>
  <c r="F10" i="2"/>
  <c r="E10" i="2"/>
  <c r="E29" i="2"/>
  <c r="D6" i="2"/>
  <c r="D10" i="2"/>
  <c r="D25" i="2"/>
  <c r="D29" i="2"/>
  <c r="C25" i="2"/>
  <c r="B4" i="2"/>
  <c r="B6" i="2"/>
  <c r="B10" i="2"/>
  <c r="B13" i="2"/>
  <c r="B21" i="2"/>
  <c r="B27" i="2"/>
  <c r="G401" i="1"/>
  <c r="G259" i="1"/>
  <c r="G260" i="1"/>
  <c r="G263" i="1"/>
  <c r="G264" i="1"/>
  <c r="G265" i="1"/>
  <c r="G266" i="1"/>
  <c r="G267" i="1"/>
  <c r="G268" i="1"/>
  <c r="G269" i="1"/>
  <c r="G270" i="1"/>
  <c r="G271" i="1"/>
  <c r="G272" i="1"/>
  <c r="G273" i="1"/>
  <c r="G274" i="1"/>
  <c r="G275" i="1"/>
  <c r="G276" i="1"/>
  <c r="G277" i="1"/>
  <c r="G278" i="1"/>
  <c r="G279" i="1"/>
  <c r="G280" i="1"/>
  <c r="G281" i="1"/>
  <c r="G282" i="1"/>
  <c r="G443" i="1"/>
  <c r="G485" i="1"/>
  <c r="G511" i="1"/>
  <c r="G512" i="1"/>
  <c r="G513" i="1"/>
  <c r="G514" i="1"/>
  <c r="G515" i="1"/>
  <c r="G516" i="1"/>
  <c r="G517" i="1"/>
  <c r="G518" i="1"/>
  <c r="G519" i="1"/>
  <c r="G520" i="1"/>
  <c r="G521" i="1"/>
  <c r="G522" i="1"/>
  <c r="G523" i="1"/>
  <c r="G524" i="1"/>
  <c r="G525" i="1"/>
  <c r="G526" i="1"/>
  <c r="G527" i="1"/>
  <c r="G528" i="1"/>
  <c r="G529" i="1"/>
  <c r="G530" i="1"/>
  <c r="G531" i="1"/>
  <c r="G532" i="1"/>
  <c r="G553" i="1"/>
  <c r="G554" i="1"/>
  <c r="G555" i="1"/>
  <c r="G556" i="1"/>
  <c r="G557" i="1"/>
  <c r="G558" i="1"/>
  <c r="G559" i="1"/>
  <c r="G560" i="1"/>
  <c r="G561" i="1"/>
  <c r="G562" i="1"/>
  <c r="G563" i="1"/>
  <c r="G564" i="1"/>
  <c r="G565" i="1"/>
  <c r="G566" i="1"/>
  <c r="G567" i="1"/>
  <c r="G568" i="1"/>
  <c r="G569" i="1"/>
  <c r="G570" i="1"/>
  <c r="G571" i="1"/>
  <c r="G572" i="1"/>
  <c r="G573" i="1"/>
  <c r="G574" i="1"/>
  <c r="E861" i="1"/>
  <c r="G510" i="1"/>
  <c r="G552" i="1"/>
  <c r="G509" i="1"/>
  <c r="G551" i="1"/>
  <c r="E637" i="1"/>
  <c r="E638" i="1"/>
  <c r="E57" i="1"/>
  <c r="F57" i="1" s="1"/>
  <c r="E97" i="1"/>
  <c r="F97" i="1" s="1"/>
  <c r="C137" i="1"/>
  <c r="E137" i="1" s="1"/>
  <c r="F137" i="1" s="1"/>
  <c r="E177" i="1"/>
  <c r="E219" i="1"/>
  <c r="F219" i="1" s="1"/>
  <c r="F259" i="1"/>
  <c r="E301" i="1"/>
  <c r="F301" i="1" s="1"/>
  <c r="C343" i="1"/>
  <c r="E343" i="1" s="1"/>
  <c r="E383" i="1"/>
  <c r="F383" i="1" s="1"/>
  <c r="E425" i="1"/>
  <c r="E467" i="1"/>
  <c r="F467" i="1" s="1"/>
  <c r="F509" i="1"/>
  <c r="H509" i="1" s="1"/>
  <c r="F551" i="1"/>
  <c r="F593" i="1"/>
  <c r="H593" i="1" s="1"/>
  <c r="E58" i="1"/>
  <c r="F58" i="1" s="1"/>
  <c r="E98" i="1"/>
  <c r="F98" i="1" s="1"/>
  <c r="C138" i="1"/>
  <c r="E138" i="1" s="1"/>
  <c r="E178" i="1"/>
  <c r="F178" i="1" s="1"/>
  <c r="E220" i="1"/>
  <c r="F260" i="1"/>
  <c r="H260" i="1" s="1"/>
  <c r="E302" i="1"/>
  <c r="F302" i="1" s="1"/>
  <c r="C344" i="1"/>
  <c r="E344" i="1" s="1"/>
  <c r="F344" i="1" s="1"/>
  <c r="E384" i="1"/>
  <c r="E426" i="1"/>
  <c r="F426" i="1" s="1"/>
  <c r="E468" i="1"/>
  <c r="F510" i="1"/>
  <c r="F552" i="1"/>
  <c r="H552" i="1" s="1"/>
  <c r="F594" i="1"/>
  <c r="C59" i="1"/>
  <c r="D59" i="1"/>
  <c r="D79" i="1" s="1"/>
  <c r="C99" i="1"/>
  <c r="D99" i="1"/>
  <c r="C139" i="1"/>
  <c r="D139" i="1"/>
  <c r="C179" i="1"/>
  <c r="D179" i="1"/>
  <c r="C221" i="1"/>
  <c r="D221" i="1"/>
  <c r="E261" i="1"/>
  <c r="F261" i="1" s="1"/>
  <c r="H261" i="1" s="1"/>
  <c r="C303" i="1"/>
  <c r="D303" i="1"/>
  <c r="C345" i="1"/>
  <c r="D345" i="1"/>
  <c r="C385" i="1"/>
  <c r="D385" i="1"/>
  <c r="C427" i="1"/>
  <c r="D427" i="1"/>
  <c r="C469" i="1"/>
  <c r="D469" i="1"/>
  <c r="F511" i="1"/>
  <c r="H511" i="1" s="1"/>
  <c r="F595" i="1"/>
  <c r="H595" i="1" s="1"/>
  <c r="C60" i="1"/>
  <c r="D60" i="1"/>
  <c r="C100" i="1"/>
  <c r="D100" i="1"/>
  <c r="C140" i="1"/>
  <c r="D140" i="1"/>
  <c r="C180" i="1"/>
  <c r="D180" i="1"/>
  <c r="C222" i="1"/>
  <c r="D222" i="1"/>
  <c r="E262" i="1"/>
  <c r="F262" i="1" s="1"/>
  <c r="C304" i="1"/>
  <c r="D304" i="1"/>
  <c r="C346" i="1"/>
  <c r="D346" i="1"/>
  <c r="C386" i="1"/>
  <c r="D386" i="1"/>
  <c r="C428" i="1"/>
  <c r="D428" i="1"/>
  <c r="C470" i="1"/>
  <c r="D470" i="1"/>
  <c r="F512" i="1"/>
  <c r="F596" i="1"/>
  <c r="C141" i="1"/>
  <c r="E141" i="1" s="1"/>
  <c r="F263" i="1"/>
  <c r="E305" i="1"/>
  <c r="F305" i="1" s="1"/>
  <c r="C347" i="1"/>
  <c r="E347" i="1" s="1"/>
  <c r="E387" i="1"/>
  <c r="F387" i="1" s="1"/>
  <c r="F513" i="1"/>
  <c r="F555" i="1"/>
  <c r="F597" i="1"/>
  <c r="E62" i="1"/>
  <c r="F62" i="1" s="1"/>
  <c r="E102" i="1"/>
  <c r="F102" i="1" s="1"/>
  <c r="H102" i="1" s="1"/>
  <c r="C142" i="1"/>
  <c r="E142" i="1" s="1"/>
  <c r="E182" i="1"/>
  <c r="F264" i="1"/>
  <c r="E306" i="1"/>
  <c r="F306" i="1" s="1"/>
  <c r="H306" i="1" s="1"/>
  <c r="C348" i="1"/>
  <c r="E348" i="1" s="1"/>
  <c r="F348" i="1" s="1"/>
  <c r="H348" i="1" s="1"/>
  <c r="E388" i="1"/>
  <c r="E430" i="1"/>
  <c r="F430" i="1" s="1"/>
  <c r="H430" i="1" s="1"/>
  <c r="E472" i="1"/>
  <c r="F514" i="1"/>
  <c r="H514" i="1" s="1"/>
  <c r="F556" i="1"/>
  <c r="F598" i="1"/>
  <c r="H598" i="1" s="1"/>
  <c r="E63" i="1"/>
  <c r="F63" i="1" s="1"/>
  <c r="E103" i="1"/>
  <c r="F103" i="1" s="1"/>
  <c r="C143" i="1"/>
  <c r="E143" i="1" s="1"/>
  <c r="F143" i="1" s="1"/>
  <c r="E183" i="1"/>
  <c r="E225" i="1"/>
  <c r="F225" i="1" s="1"/>
  <c r="F265" i="1"/>
  <c r="E307" i="1"/>
  <c r="F307" i="1" s="1"/>
  <c r="C349" i="1"/>
  <c r="E349" i="1" s="1"/>
  <c r="E389" i="1"/>
  <c r="F389" i="1" s="1"/>
  <c r="E431" i="1"/>
  <c r="E473" i="1"/>
  <c r="F473" i="1" s="1"/>
  <c r="F515" i="1"/>
  <c r="F557" i="1"/>
  <c r="F599" i="1"/>
  <c r="E64" i="1"/>
  <c r="F64" i="1" s="1"/>
  <c r="E104" i="1"/>
  <c r="F104" i="1" s="1"/>
  <c r="C144" i="1"/>
  <c r="E144" i="1" s="1"/>
  <c r="E184" i="1"/>
  <c r="F184" i="1" s="1"/>
  <c r="E226" i="1"/>
  <c r="F266" i="1"/>
  <c r="E308" i="1"/>
  <c r="F308" i="1" s="1"/>
  <c r="C350" i="1"/>
  <c r="E350" i="1" s="1"/>
  <c r="F350" i="1" s="1"/>
  <c r="E390" i="1"/>
  <c r="E432" i="1"/>
  <c r="F432" i="1" s="1"/>
  <c r="E474" i="1"/>
  <c r="F516" i="1"/>
  <c r="F558" i="1"/>
  <c r="F600" i="1"/>
  <c r="E65" i="1"/>
  <c r="F65" i="1" s="1"/>
  <c r="E105" i="1"/>
  <c r="F105" i="1" s="1"/>
  <c r="C145" i="1"/>
  <c r="E145" i="1" s="1"/>
  <c r="F145" i="1" s="1"/>
  <c r="E185" i="1"/>
  <c r="E227" i="1"/>
  <c r="F227" i="1" s="1"/>
  <c r="F267" i="1"/>
  <c r="E309" i="1"/>
  <c r="F309" i="1" s="1"/>
  <c r="C351" i="1"/>
  <c r="E351" i="1" s="1"/>
  <c r="E391" i="1"/>
  <c r="F391" i="1" s="1"/>
  <c r="E433" i="1"/>
  <c r="E475" i="1"/>
  <c r="F475" i="1" s="1"/>
  <c r="F517" i="1"/>
  <c r="F559" i="1"/>
  <c r="F601" i="1"/>
  <c r="E66" i="1"/>
  <c r="F66" i="1" s="1"/>
  <c r="E106" i="1"/>
  <c r="F106" i="1" s="1"/>
  <c r="C146" i="1"/>
  <c r="E146" i="1" s="1"/>
  <c r="E186" i="1"/>
  <c r="F186" i="1" s="1"/>
  <c r="E228" i="1"/>
  <c r="F268" i="1"/>
  <c r="E310" i="1"/>
  <c r="F310" i="1" s="1"/>
  <c r="C352" i="1"/>
  <c r="E352" i="1" s="1"/>
  <c r="F352" i="1" s="1"/>
  <c r="E392" i="1"/>
  <c r="E434" i="1"/>
  <c r="F434" i="1" s="1"/>
  <c r="E476" i="1"/>
  <c r="F518" i="1"/>
  <c r="F560" i="1"/>
  <c r="F602" i="1"/>
  <c r="E67" i="1"/>
  <c r="F67" i="1" s="1"/>
  <c r="E107" i="1"/>
  <c r="F107" i="1" s="1"/>
  <c r="C147" i="1"/>
  <c r="E147" i="1" s="1"/>
  <c r="F147" i="1" s="1"/>
  <c r="E187" i="1"/>
  <c r="E229" i="1"/>
  <c r="F229" i="1" s="1"/>
  <c r="H229" i="1" s="1"/>
  <c r="F269" i="1"/>
  <c r="E311" i="1"/>
  <c r="F311" i="1" s="1"/>
  <c r="H311" i="1" s="1"/>
  <c r="C353" i="1"/>
  <c r="E353" i="1" s="1"/>
  <c r="E393" i="1"/>
  <c r="F393" i="1" s="1"/>
  <c r="H393" i="1" s="1"/>
  <c r="E435" i="1"/>
  <c r="E477" i="1"/>
  <c r="F477" i="1" s="1"/>
  <c r="F519" i="1"/>
  <c r="H519" i="1" s="1"/>
  <c r="F561" i="1"/>
  <c r="F603" i="1"/>
  <c r="H603" i="1" s="1"/>
  <c r="E68" i="1"/>
  <c r="F68" i="1" s="1"/>
  <c r="E108" i="1"/>
  <c r="F108" i="1" s="1"/>
  <c r="C148" i="1"/>
  <c r="E148" i="1" s="1"/>
  <c r="E189" i="1"/>
  <c r="F189" i="1" s="1"/>
  <c r="E230" i="1"/>
  <c r="F271" i="1"/>
  <c r="E313" i="1"/>
  <c r="F313" i="1" s="1"/>
  <c r="C354" i="1"/>
  <c r="E354" i="1" s="1"/>
  <c r="F354" i="1" s="1"/>
  <c r="E395" i="1"/>
  <c r="E437" i="1"/>
  <c r="F437" i="1" s="1"/>
  <c r="E479" i="1"/>
  <c r="F521" i="1"/>
  <c r="F563" i="1"/>
  <c r="F605" i="1"/>
  <c r="E69" i="1"/>
  <c r="F69" i="1" s="1"/>
  <c r="E109" i="1"/>
  <c r="F109" i="1" s="1"/>
  <c r="H109" i="1" s="1"/>
  <c r="C149" i="1"/>
  <c r="E149" i="1" s="1"/>
  <c r="F149" i="1" s="1"/>
  <c r="E188" i="1"/>
  <c r="E231" i="1"/>
  <c r="F231" i="1" s="1"/>
  <c r="F270" i="1"/>
  <c r="H270" i="1" s="1"/>
  <c r="E312" i="1"/>
  <c r="F312" i="1" s="1"/>
  <c r="C355" i="1"/>
  <c r="E355" i="1" s="1"/>
  <c r="E394" i="1"/>
  <c r="F394" i="1" s="1"/>
  <c r="H394" i="1" s="1"/>
  <c r="E436" i="1"/>
  <c r="E478" i="1"/>
  <c r="F478" i="1" s="1"/>
  <c r="F520" i="1"/>
  <c r="F562" i="1"/>
  <c r="H562" i="1" s="1"/>
  <c r="F604" i="1"/>
  <c r="E190" i="1"/>
  <c r="F190" i="1" s="1"/>
  <c r="F272" i="1"/>
  <c r="E314" i="1"/>
  <c r="F314" i="1" s="1"/>
  <c r="E396" i="1"/>
  <c r="E438" i="1"/>
  <c r="F438" i="1" s="1"/>
  <c r="E480" i="1"/>
  <c r="F522" i="1"/>
  <c r="F564" i="1"/>
  <c r="F606" i="1"/>
  <c r="E191" i="1"/>
  <c r="F191" i="1" s="1"/>
  <c r="F273" i="1"/>
  <c r="E315" i="1"/>
  <c r="E397" i="1"/>
  <c r="F397" i="1" s="1"/>
  <c r="E439" i="1"/>
  <c r="E481" i="1"/>
  <c r="F481" i="1" s="1"/>
  <c r="F523" i="1"/>
  <c r="F565" i="1"/>
  <c r="F607" i="1"/>
  <c r="E70" i="1"/>
  <c r="F70" i="1" s="1"/>
  <c r="E110" i="1"/>
  <c r="F110" i="1" s="1"/>
  <c r="C150" i="1"/>
  <c r="E150" i="1" s="1"/>
  <c r="E192" i="1"/>
  <c r="F192" i="1" s="1"/>
  <c r="E232" i="1"/>
  <c r="F274" i="1"/>
  <c r="E316" i="1"/>
  <c r="F316" i="1" s="1"/>
  <c r="C356" i="1"/>
  <c r="E356" i="1" s="1"/>
  <c r="F356" i="1" s="1"/>
  <c r="E398" i="1"/>
  <c r="E440" i="1"/>
  <c r="F440" i="1" s="1"/>
  <c r="E482" i="1"/>
  <c r="F524" i="1"/>
  <c r="F566" i="1"/>
  <c r="F608" i="1"/>
  <c r="E71" i="1"/>
  <c r="F71" i="1" s="1"/>
  <c r="E111" i="1"/>
  <c r="F111" i="1" s="1"/>
  <c r="C151" i="1"/>
  <c r="E151" i="1" s="1"/>
  <c r="F151" i="1" s="1"/>
  <c r="H151" i="1" s="1"/>
  <c r="E193" i="1"/>
  <c r="E233" i="1"/>
  <c r="F233" i="1" s="1"/>
  <c r="H233" i="1" s="1"/>
  <c r="F275" i="1"/>
  <c r="E317" i="1"/>
  <c r="F317" i="1" s="1"/>
  <c r="H317" i="1" s="1"/>
  <c r="C357" i="1"/>
  <c r="E357" i="1" s="1"/>
  <c r="E399" i="1"/>
  <c r="F399" i="1" s="1"/>
  <c r="E441" i="1"/>
  <c r="E483" i="1"/>
  <c r="F483" i="1" s="1"/>
  <c r="F525" i="1"/>
  <c r="H525" i="1" s="1"/>
  <c r="F567" i="1"/>
  <c r="F609" i="1"/>
  <c r="H609" i="1" s="1"/>
  <c r="E72" i="1"/>
  <c r="F72" i="1" s="1"/>
  <c r="E112" i="1"/>
  <c r="F112" i="1" s="1"/>
  <c r="C152" i="1"/>
  <c r="E152" i="1" s="1"/>
  <c r="E194" i="1"/>
  <c r="F194" i="1" s="1"/>
  <c r="E234" i="1"/>
  <c r="F276" i="1"/>
  <c r="E318" i="1"/>
  <c r="F318" i="1" s="1"/>
  <c r="C358" i="1"/>
  <c r="E358" i="1" s="1"/>
  <c r="F358" i="1" s="1"/>
  <c r="E400" i="1"/>
  <c r="E442" i="1"/>
  <c r="F442" i="1" s="1"/>
  <c r="E484" i="1"/>
  <c r="F526" i="1"/>
  <c r="F568" i="1"/>
  <c r="F610" i="1"/>
  <c r="E73" i="1"/>
  <c r="F73" i="1" s="1"/>
  <c r="E113" i="1"/>
  <c r="C153" i="1"/>
  <c r="D153" i="1"/>
  <c r="E195" i="1"/>
  <c r="F195" i="1" s="1"/>
  <c r="E235" i="1"/>
  <c r="F235" i="1" s="1"/>
  <c r="F277" i="1"/>
  <c r="E319" i="1"/>
  <c r="F319" i="1" s="1"/>
  <c r="C359" i="1"/>
  <c r="D359" i="1"/>
  <c r="F401" i="1"/>
  <c r="F443" i="1"/>
  <c r="F485" i="1"/>
  <c r="F527" i="1"/>
  <c r="F569" i="1"/>
  <c r="F611" i="1"/>
  <c r="E74" i="1"/>
  <c r="F74" i="1" s="1"/>
  <c r="E114" i="1"/>
  <c r="C154" i="1"/>
  <c r="E154" i="1" s="1"/>
  <c r="F154" i="1" s="1"/>
  <c r="E196" i="1"/>
  <c r="F196" i="1" s="1"/>
  <c r="E236" i="1"/>
  <c r="F236" i="1" s="1"/>
  <c r="F278" i="1"/>
  <c r="E320" i="1"/>
  <c r="F320" i="1" s="1"/>
  <c r="C360" i="1"/>
  <c r="E360" i="1" s="1"/>
  <c r="E402" i="1"/>
  <c r="F402" i="1" s="1"/>
  <c r="E444" i="1"/>
  <c r="F444" i="1" s="1"/>
  <c r="E486" i="1"/>
  <c r="F486" i="1" s="1"/>
  <c r="F528" i="1"/>
  <c r="F570" i="1"/>
  <c r="F612" i="1"/>
  <c r="E75" i="1"/>
  <c r="E115" i="1"/>
  <c r="F115" i="1" s="1"/>
  <c r="C155" i="1"/>
  <c r="E155" i="1" s="1"/>
  <c r="E197" i="1"/>
  <c r="F197" i="1" s="1"/>
  <c r="E237" i="1"/>
  <c r="F237" i="1" s="1"/>
  <c r="F279" i="1"/>
  <c r="E321" i="1"/>
  <c r="C361" i="1"/>
  <c r="E361" i="1" s="1"/>
  <c r="F361" i="1" s="1"/>
  <c r="E403" i="1"/>
  <c r="F403" i="1" s="1"/>
  <c r="E445" i="1"/>
  <c r="F445" i="1" s="1"/>
  <c r="E487" i="1"/>
  <c r="F487" i="1" s="1"/>
  <c r="F529" i="1"/>
  <c r="F571" i="1"/>
  <c r="F613" i="1"/>
  <c r="E76" i="1"/>
  <c r="F76" i="1" s="1"/>
  <c r="E116" i="1"/>
  <c r="C156" i="1"/>
  <c r="E156" i="1" s="1"/>
  <c r="F156" i="1" s="1"/>
  <c r="E198" i="1"/>
  <c r="F198" i="1" s="1"/>
  <c r="E238" i="1"/>
  <c r="F238" i="1" s="1"/>
  <c r="F280" i="1"/>
  <c r="E322" i="1"/>
  <c r="F322" i="1" s="1"/>
  <c r="C362" i="1"/>
  <c r="E362" i="1" s="1"/>
  <c r="E404" i="1"/>
  <c r="F404" i="1" s="1"/>
  <c r="E446" i="1"/>
  <c r="F446" i="1" s="1"/>
  <c r="E488" i="1"/>
  <c r="F530" i="1"/>
  <c r="F572" i="1"/>
  <c r="F614" i="1"/>
  <c r="E77" i="1"/>
  <c r="E117" i="1"/>
  <c r="F117" i="1" s="1"/>
  <c r="C157" i="1"/>
  <c r="E157" i="1" s="1"/>
  <c r="E199" i="1"/>
  <c r="F199" i="1" s="1"/>
  <c r="E239" i="1"/>
  <c r="F239" i="1" s="1"/>
  <c r="F281" i="1"/>
  <c r="E323" i="1"/>
  <c r="C363" i="1"/>
  <c r="E363" i="1" s="1"/>
  <c r="F363" i="1" s="1"/>
  <c r="E405" i="1"/>
  <c r="F405" i="1" s="1"/>
  <c r="E447" i="1"/>
  <c r="F447" i="1" s="1"/>
  <c r="E489" i="1"/>
  <c r="F489" i="1" s="1"/>
  <c r="F531" i="1"/>
  <c r="F573" i="1"/>
  <c r="F615" i="1"/>
  <c r="E78" i="1"/>
  <c r="F78" i="1" s="1"/>
  <c r="E118" i="1"/>
  <c r="C158" i="1"/>
  <c r="E158" i="1" s="1"/>
  <c r="F158" i="1" s="1"/>
  <c r="E200" i="1"/>
  <c r="F200" i="1" s="1"/>
  <c r="E240" i="1"/>
  <c r="F282" i="1"/>
  <c r="E324" i="1"/>
  <c r="F324" i="1" s="1"/>
  <c r="C364" i="1"/>
  <c r="E364" i="1" s="1"/>
  <c r="E406" i="1"/>
  <c r="F406" i="1" s="1"/>
  <c r="E448" i="1"/>
  <c r="F448" i="1" s="1"/>
  <c r="E490" i="1"/>
  <c r="F532" i="1"/>
  <c r="F574" i="1"/>
  <c r="F616" i="1"/>
  <c r="D637" i="1"/>
  <c r="D638" i="1"/>
  <c r="C637" i="1"/>
  <c r="C638" i="1"/>
  <c r="E617" i="1"/>
  <c r="D595" i="1"/>
  <c r="D596" i="1"/>
  <c r="C595" i="1"/>
  <c r="C596" i="1"/>
  <c r="D262" i="1"/>
  <c r="C262" i="1"/>
  <c r="D261" i="1"/>
  <c r="C261" i="1"/>
  <c r="D554" i="1"/>
  <c r="C554" i="1"/>
  <c r="D553" i="1"/>
  <c r="C553" i="1"/>
  <c r="D512" i="1"/>
  <c r="C512" i="1"/>
  <c r="D511" i="1"/>
  <c r="C511" i="1"/>
  <c r="E575" i="1"/>
  <c r="A118" i="2"/>
  <c r="A121" i="3"/>
  <c r="E533" i="1"/>
  <c r="E14" i="8"/>
  <c r="G181" i="1" l="1"/>
  <c r="D617" i="1"/>
  <c r="C662" i="1"/>
  <c r="E662" i="1"/>
  <c r="F101" i="1"/>
  <c r="D26" i="2"/>
  <c r="D5" i="2"/>
  <c r="N6" i="2"/>
  <c r="N4" i="2"/>
  <c r="H186" i="1" s="1"/>
  <c r="N29" i="2"/>
  <c r="H706" i="1" s="1"/>
  <c r="H784" i="1"/>
  <c r="H830" i="1"/>
  <c r="N25" i="2"/>
  <c r="H529" i="1" s="1"/>
  <c r="B17" i="2"/>
  <c r="H903" i="1"/>
  <c r="H37" i="1"/>
  <c r="H36" i="1"/>
  <c r="H902" i="1"/>
  <c r="H38" i="1"/>
  <c r="H904" i="1"/>
  <c r="H39" i="1"/>
  <c r="H905" i="1"/>
  <c r="N10" i="2"/>
  <c r="H512" i="1" s="1"/>
  <c r="E359" i="1"/>
  <c r="F359" i="1" s="1"/>
  <c r="D365" i="1"/>
  <c r="C283" i="1"/>
  <c r="D449" i="1"/>
  <c r="C575" i="1"/>
  <c r="C325" i="1"/>
  <c r="D201" i="1"/>
  <c r="D119" i="1"/>
  <c r="E428" i="1"/>
  <c r="G428" i="1" s="1"/>
  <c r="E346" i="1"/>
  <c r="F346" i="1" s="1"/>
  <c r="D241" i="1"/>
  <c r="D491" i="1"/>
  <c r="D407" i="1"/>
  <c r="D325" i="1"/>
  <c r="C241" i="1"/>
  <c r="C79" i="1"/>
  <c r="C617" i="1"/>
  <c r="E153" i="1"/>
  <c r="F153" i="1" s="1"/>
  <c r="C533" i="1"/>
  <c r="C491" i="1"/>
  <c r="C407" i="1"/>
  <c r="E179" i="1"/>
  <c r="F179" i="1" s="1"/>
  <c r="H179" i="1" s="1"/>
  <c r="E99" i="1"/>
  <c r="F99" i="1" s="1"/>
  <c r="H99" i="1" s="1"/>
  <c r="D283" i="1"/>
  <c r="G471" i="1"/>
  <c r="G223" i="1"/>
  <c r="D7" i="16"/>
  <c r="E9" i="16" s="1"/>
  <c r="O24" i="11"/>
  <c r="O25" i="11" s="1"/>
  <c r="H557" i="1"/>
  <c r="H265" i="1"/>
  <c r="H143" i="1"/>
  <c r="H473" i="1"/>
  <c r="H103" i="1"/>
  <c r="H616" i="1"/>
  <c r="H448" i="1"/>
  <c r="H282" i="1"/>
  <c r="H532" i="1"/>
  <c r="H200" i="1"/>
  <c r="H178" i="1"/>
  <c r="H608" i="1"/>
  <c r="H440" i="1"/>
  <c r="H316" i="1"/>
  <c r="H524" i="1"/>
  <c r="H110" i="1"/>
  <c r="C117" i="2"/>
  <c r="H279" i="1"/>
  <c r="H566" i="1"/>
  <c r="H274" i="1"/>
  <c r="H515" i="1"/>
  <c r="H389" i="1"/>
  <c r="H225" i="1"/>
  <c r="H594" i="1"/>
  <c r="H426" i="1"/>
  <c r="H302" i="1"/>
  <c r="H356" i="1"/>
  <c r="H192" i="1"/>
  <c r="H599" i="1"/>
  <c r="H307" i="1"/>
  <c r="H510" i="1"/>
  <c r="H344" i="1"/>
  <c r="C102" i="2"/>
  <c r="C27" i="2" s="1"/>
  <c r="H707" i="1"/>
  <c r="H753" i="1"/>
  <c r="H751" i="1"/>
  <c r="H705" i="1"/>
  <c r="H726" i="1"/>
  <c r="H680" i="1"/>
  <c r="H324" i="1"/>
  <c r="H158" i="1"/>
  <c r="H361" i="1"/>
  <c r="H483" i="1"/>
  <c r="H477" i="1"/>
  <c r="H107" i="1"/>
  <c r="H732" i="1"/>
  <c r="H686" i="1"/>
  <c r="H752" i="1"/>
  <c r="H749" i="1"/>
  <c r="H703" i="1"/>
  <c r="H742" i="1"/>
  <c r="H696" i="1"/>
  <c r="H645" i="1"/>
  <c r="H736" i="1"/>
  <c r="H690" i="1"/>
  <c r="H731" i="1"/>
  <c r="H685" i="1"/>
  <c r="H574" i="1"/>
  <c r="H406" i="1"/>
  <c r="H571" i="1"/>
  <c r="H567" i="1"/>
  <c r="H399" i="1"/>
  <c r="H275" i="1"/>
  <c r="H111" i="1"/>
  <c r="H561" i="1"/>
  <c r="H269" i="1"/>
  <c r="H147" i="1"/>
  <c r="H556" i="1"/>
  <c r="H264" i="1"/>
  <c r="H661" i="1"/>
  <c r="H741" i="1"/>
  <c r="H695" i="1"/>
  <c r="H727" i="1"/>
  <c r="H681" i="1"/>
  <c r="C81" i="2"/>
  <c r="C23" i="2" s="1"/>
  <c r="C64" i="2"/>
  <c r="C13" i="2" s="1"/>
  <c r="C58" i="2"/>
  <c r="C15" i="2" s="1"/>
  <c r="H691" i="1"/>
  <c r="H737" i="1"/>
  <c r="H520" i="1"/>
  <c r="H231" i="1"/>
  <c r="H478" i="1"/>
  <c r="H604" i="1"/>
  <c r="H312" i="1"/>
  <c r="H149" i="1"/>
  <c r="H108" i="1"/>
  <c r="H310" i="1"/>
  <c r="D533" i="1"/>
  <c r="D575" i="1"/>
  <c r="C365" i="1"/>
  <c r="C201" i="1"/>
  <c r="D159" i="1"/>
  <c r="G429" i="1"/>
  <c r="G61" i="1"/>
  <c r="E283" i="1"/>
  <c r="C119" i="1"/>
  <c r="C449" i="1"/>
  <c r="D662" i="1"/>
  <c r="E180" i="1"/>
  <c r="G180" i="1" s="1"/>
  <c r="E100" i="1"/>
  <c r="G100" i="1" s="1"/>
  <c r="E427" i="1"/>
  <c r="G427" i="1" s="1"/>
  <c r="E345" i="1"/>
  <c r="H636" i="1"/>
  <c r="H651" i="1"/>
  <c r="H646" i="1"/>
  <c r="H640" i="1"/>
  <c r="H78" i="1"/>
  <c r="H71" i="1"/>
  <c r="H98" i="1"/>
  <c r="H69" i="1"/>
  <c r="H67" i="1"/>
  <c r="H63" i="1"/>
  <c r="G224" i="1"/>
  <c r="G575" i="1"/>
  <c r="G533" i="1"/>
  <c r="G617" i="1"/>
  <c r="F15" i="5"/>
  <c r="H13" i="5" s="1"/>
  <c r="F18" i="6"/>
  <c r="H16" i="6" s="1"/>
  <c r="F533" i="1"/>
  <c r="J33" i="10"/>
  <c r="J34" i="10" s="1"/>
  <c r="L34" i="10" s="1"/>
  <c r="L44" i="10" s="1"/>
  <c r="I72" i="10" s="1"/>
  <c r="L43" i="9"/>
  <c r="L33" i="9"/>
  <c r="G362" i="1"/>
  <c r="F362" i="1"/>
  <c r="H97" i="1"/>
  <c r="G157" i="1"/>
  <c r="F157" i="1"/>
  <c r="H58" i="1"/>
  <c r="G364" i="1"/>
  <c r="F364" i="1"/>
  <c r="H364" i="1" s="1"/>
  <c r="G360" i="1"/>
  <c r="F360" i="1"/>
  <c r="H70" i="1"/>
  <c r="G355" i="1"/>
  <c r="F355" i="1"/>
  <c r="H355" i="1" s="1"/>
  <c r="G148" i="1"/>
  <c r="F148" i="1"/>
  <c r="G353" i="1"/>
  <c r="F353" i="1"/>
  <c r="H353" i="1" s="1"/>
  <c r="G146" i="1"/>
  <c r="F146" i="1"/>
  <c r="G351" i="1"/>
  <c r="F351" i="1"/>
  <c r="G144" i="1"/>
  <c r="F144" i="1"/>
  <c r="G349" i="1"/>
  <c r="F349" i="1"/>
  <c r="H349" i="1" s="1"/>
  <c r="G138" i="1"/>
  <c r="F138" i="1"/>
  <c r="H138" i="1" s="1"/>
  <c r="G343" i="1"/>
  <c r="F343" i="1"/>
  <c r="H343" i="1" s="1"/>
  <c r="G155" i="1"/>
  <c r="F155" i="1"/>
  <c r="G152" i="1"/>
  <c r="F152" i="1"/>
  <c r="G357" i="1"/>
  <c r="F357" i="1"/>
  <c r="H357" i="1" s="1"/>
  <c r="G150" i="1"/>
  <c r="F150" i="1"/>
  <c r="H150" i="1" s="1"/>
  <c r="H62" i="1"/>
  <c r="G490" i="1"/>
  <c r="G240" i="1"/>
  <c r="G488" i="1"/>
  <c r="G113" i="1"/>
  <c r="C159" i="1"/>
  <c r="F490" i="1"/>
  <c r="H490" i="1" s="1"/>
  <c r="F240" i="1"/>
  <c r="H240" i="1" s="1"/>
  <c r="G118" i="1"/>
  <c r="G323" i="1"/>
  <c r="G77" i="1"/>
  <c r="F488" i="1"/>
  <c r="G116" i="1"/>
  <c r="G321" i="1"/>
  <c r="G75" i="1"/>
  <c r="G114" i="1"/>
  <c r="F113" i="1"/>
  <c r="G484" i="1"/>
  <c r="G400" i="1"/>
  <c r="G234" i="1"/>
  <c r="G441" i="1"/>
  <c r="G193" i="1"/>
  <c r="G482" i="1"/>
  <c r="G398" i="1"/>
  <c r="G232" i="1"/>
  <c r="G439" i="1"/>
  <c r="G315" i="1"/>
  <c r="G480" i="1"/>
  <c r="G396" i="1"/>
  <c r="G436" i="1"/>
  <c r="G188" i="1"/>
  <c r="G479" i="1"/>
  <c r="G395" i="1"/>
  <c r="G230" i="1"/>
  <c r="G435" i="1"/>
  <c r="G187" i="1"/>
  <c r="G476" i="1"/>
  <c r="G392" i="1"/>
  <c r="G228" i="1"/>
  <c r="G433" i="1"/>
  <c r="G185" i="1"/>
  <c r="G474" i="1"/>
  <c r="G390" i="1"/>
  <c r="G226" i="1"/>
  <c r="G431" i="1"/>
  <c r="G183" i="1"/>
  <c r="G472" i="1"/>
  <c r="G388" i="1"/>
  <c r="G182" i="1"/>
  <c r="G468" i="1"/>
  <c r="G384" i="1"/>
  <c r="G220" i="1"/>
  <c r="H259" i="1"/>
  <c r="F283" i="1"/>
  <c r="G177" i="1"/>
  <c r="F638" i="1"/>
  <c r="G638" i="1"/>
  <c r="G158" i="1"/>
  <c r="G361" i="1"/>
  <c r="G197" i="1"/>
  <c r="G486" i="1"/>
  <c r="G154" i="1"/>
  <c r="G235" i="1"/>
  <c r="G318" i="1"/>
  <c r="G72" i="1"/>
  <c r="G111" i="1"/>
  <c r="G316" i="1"/>
  <c r="G70" i="1"/>
  <c r="G190" i="1"/>
  <c r="G109" i="1"/>
  <c r="G313" i="1"/>
  <c r="G68" i="1"/>
  <c r="G107" i="1"/>
  <c r="G310" i="1"/>
  <c r="G66" i="1"/>
  <c r="G105" i="1"/>
  <c r="G308" i="1"/>
  <c r="G64" i="1"/>
  <c r="G103" i="1"/>
  <c r="G306" i="1"/>
  <c r="F142" i="1"/>
  <c r="H142" i="1" s="1"/>
  <c r="G142" i="1"/>
  <c r="G62" i="1"/>
  <c r="G305" i="1"/>
  <c r="G262" i="1"/>
  <c r="G261" i="1"/>
  <c r="G302" i="1"/>
  <c r="G58" i="1"/>
  <c r="H467" i="1"/>
  <c r="H383" i="1"/>
  <c r="H219" i="1"/>
  <c r="H137" i="1"/>
  <c r="G97" i="1"/>
  <c r="F637" i="1"/>
  <c r="G637" i="1"/>
  <c r="G406" i="1"/>
  <c r="G363" i="1"/>
  <c r="G199" i="1"/>
  <c r="G156" i="1"/>
  <c r="G402" i="1"/>
  <c r="G78" i="1"/>
  <c r="G117" i="1"/>
  <c r="G322" i="1"/>
  <c r="G115" i="1"/>
  <c r="G320" i="1"/>
  <c r="G74" i="1"/>
  <c r="G319" i="1"/>
  <c r="G442" i="1"/>
  <c r="G358" i="1"/>
  <c r="G194" i="1"/>
  <c r="G483" i="1"/>
  <c r="G399" i="1"/>
  <c r="G233" i="1"/>
  <c r="G151" i="1"/>
  <c r="G440" i="1"/>
  <c r="G356" i="1"/>
  <c r="G192" i="1"/>
  <c r="G481" i="1"/>
  <c r="G397" i="1"/>
  <c r="G438" i="1"/>
  <c r="G314" i="1"/>
  <c r="G478" i="1"/>
  <c r="G394" i="1"/>
  <c r="G231" i="1"/>
  <c r="G149" i="1"/>
  <c r="G437" i="1"/>
  <c r="G354" i="1"/>
  <c r="G189" i="1"/>
  <c r="G477" i="1"/>
  <c r="G393" i="1"/>
  <c r="G229" i="1"/>
  <c r="G147" i="1"/>
  <c r="G434" i="1"/>
  <c r="G352" i="1"/>
  <c r="G186" i="1"/>
  <c r="G475" i="1"/>
  <c r="G391" i="1"/>
  <c r="G227" i="1"/>
  <c r="G145" i="1"/>
  <c r="G432" i="1"/>
  <c r="G350" i="1"/>
  <c r="G184" i="1"/>
  <c r="G473" i="1"/>
  <c r="G389" i="1"/>
  <c r="G225" i="1"/>
  <c r="G143" i="1"/>
  <c r="G430" i="1"/>
  <c r="G348" i="1"/>
  <c r="G387" i="1"/>
  <c r="G426" i="1"/>
  <c r="G344" i="1"/>
  <c r="G178" i="1"/>
  <c r="G383" i="1"/>
  <c r="H301" i="1"/>
  <c r="G219" i="1"/>
  <c r="G137" i="1"/>
  <c r="H57" i="1"/>
  <c r="G467" i="1"/>
  <c r="G425" i="1"/>
  <c r="G447" i="1"/>
  <c r="G404" i="1"/>
  <c r="G238" i="1"/>
  <c r="G445" i="1"/>
  <c r="G236" i="1"/>
  <c r="G324" i="1"/>
  <c r="G76" i="1"/>
  <c r="F617" i="1"/>
  <c r="G448" i="1"/>
  <c r="G200" i="1"/>
  <c r="F118" i="1"/>
  <c r="H118" i="1" s="1"/>
  <c r="G489" i="1"/>
  <c r="G405" i="1"/>
  <c r="F323" i="1"/>
  <c r="G239" i="1"/>
  <c r="F77" i="1"/>
  <c r="G446" i="1"/>
  <c r="G198" i="1"/>
  <c r="F116" i="1"/>
  <c r="G487" i="1"/>
  <c r="G403" i="1"/>
  <c r="F321" i="1"/>
  <c r="H321" i="1" s="1"/>
  <c r="G237" i="1"/>
  <c r="F75" i="1"/>
  <c r="G444" i="1"/>
  <c r="G196" i="1"/>
  <c r="F114" i="1"/>
  <c r="G195" i="1"/>
  <c r="G73" i="1"/>
  <c r="F484" i="1"/>
  <c r="F400" i="1"/>
  <c r="F234" i="1"/>
  <c r="G112" i="1"/>
  <c r="F441" i="1"/>
  <c r="H441" i="1" s="1"/>
  <c r="G317" i="1"/>
  <c r="F193" i="1"/>
  <c r="H193" i="1" s="1"/>
  <c r="G71" i="1"/>
  <c r="F482" i="1"/>
  <c r="H482" i="1" s="1"/>
  <c r="F398" i="1"/>
  <c r="H398" i="1" s="1"/>
  <c r="F232" i="1"/>
  <c r="H232" i="1" s="1"/>
  <c r="G110" i="1"/>
  <c r="F439" i="1"/>
  <c r="F315" i="1"/>
  <c r="G191" i="1"/>
  <c r="F480" i="1"/>
  <c r="F396" i="1"/>
  <c r="F436" i="1"/>
  <c r="H436" i="1" s="1"/>
  <c r="G312" i="1"/>
  <c r="F188" i="1"/>
  <c r="H188" i="1" s="1"/>
  <c r="G69" i="1"/>
  <c r="F479" i="1"/>
  <c r="F395" i="1"/>
  <c r="F230" i="1"/>
  <c r="G108" i="1"/>
  <c r="F435" i="1"/>
  <c r="H435" i="1" s="1"/>
  <c r="G311" i="1"/>
  <c r="F187" i="1"/>
  <c r="H187" i="1" s="1"/>
  <c r="G67" i="1"/>
  <c r="F476" i="1"/>
  <c r="H476" i="1" s="1"/>
  <c r="F392" i="1"/>
  <c r="F228" i="1"/>
  <c r="G106" i="1"/>
  <c r="F433" i="1"/>
  <c r="G309" i="1"/>
  <c r="F185" i="1"/>
  <c r="G65" i="1"/>
  <c r="F474" i="1"/>
  <c r="F390" i="1"/>
  <c r="F226" i="1"/>
  <c r="G104" i="1"/>
  <c r="F431" i="1"/>
  <c r="H431" i="1" s="1"/>
  <c r="G307" i="1"/>
  <c r="F183" i="1"/>
  <c r="G63" i="1"/>
  <c r="F472" i="1"/>
  <c r="H472" i="1" s="1"/>
  <c r="F388" i="1"/>
  <c r="H388" i="1" s="1"/>
  <c r="F182" i="1"/>
  <c r="H182" i="1" s="1"/>
  <c r="G102" i="1"/>
  <c r="F347" i="1"/>
  <c r="G347" i="1"/>
  <c r="F141" i="1"/>
  <c r="G141" i="1"/>
  <c r="E470" i="1"/>
  <c r="E386" i="1"/>
  <c r="E304" i="1"/>
  <c r="E222" i="1"/>
  <c r="E140" i="1"/>
  <c r="E60" i="1"/>
  <c r="E469" i="1"/>
  <c r="E385" i="1"/>
  <c r="E303" i="1"/>
  <c r="E221" i="1"/>
  <c r="E139" i="1"/>
  <c r="E59" i="1"/>
  <c r="F468" i="1"/>
  <c r="F384" i="1"/>
  <c r="F220" i="1"/>
  <c r="H220" i="1" s="1"/>
  <c r="G98" i="1"/>
  <c r="H551" i="1"/>
  <c r="F575" i="1"/>
  <c r="F425" i="1"/>
  <c r="G301" i="1"/>
  <c r="F177" i="1"/>
  <c r="G57" i="1"/>
  <c r="E26" i="2"/>
  <c r="F26" i="2" s="1"/>
  <c r="G26" i="2" s="1"/>
  <c r="H26" i="2" s="1"/>
  <c r="I26" i="2" s="1"/>
  <c r="J26" i="2" s="1"/>
  <c r="K26" i="2" s="1"/>
  <c r="L26" i="2" s="1"/>
  <c r="M26" i="2" s="1"/>
  <c r="E5" i="2"/>
  <c r="F5" i="2" s="1"/>
  <c r="G5" i="2" s="1"/>
  <c r="H5" i="2" s="1"/>
  <c r="I5" i="2" s="1"/>
  <c r="J5" i="2" s="1"/>
  <c r="K5" i="2" s="1"/>
  <c r="L5" i="2" s="1"/>
  <c r="M5" i="2" s="1"/>
  <c r="D58" i="2"/>
  <c r="D15" i="2" s="1"/>
  <c r="D75" i="2"/>
  <c r="D19" i="2" s="1"/>
  <c r="D92" i="2"/>
  <c r="D21" i="2" s="1"/>
  <c r="B39" i="2"/>
  <c r="D81" i="2"/>
  <c r="D23" i="2" s="1"/>
  <c r="D64" i="2"/>
  <c r="D13" i="2" s="1"/>
  <c r="D102" i="2"/>
  <c r="D27" i="2" s="1"/>
  <c r="D117" i="2"/>
  <c r="H660" i="1"/>
  <c r="H658" i="1"/>
  <c r="H650" i="1"/>
  <c r="H641" i="1"/>
  <c r="H224" i="1"/>
  <c r="H72" i="10"/>
  <c r="H635" i="1"/>
  <c r="J48" i="10"/>
  <c r="L48" i="10" s="1"/>
  <c r="L54" i="10" s="1"/>
  <c r="M72" i="10" s="1"/>
  <c r="G30" i="11"/>
  <c r="F8" i="1" l="1"/>
  <c r="F12" i="1"/>
  <c r="F27" i="1"/>
  <c r="G359" i="1"/>
  <c r="N26" i="2"/>
  <c r="N5" i="2"/>
  <c r="H352" i="1"/>
  <c r="H392" i="1"/>
  <c r="H66" i="1"/>
  <c r="H560" i="1"/>
  <c r="H518" i="1"/>
  <c r="H106" i="1"/>
  <c r="H644" i="1"/>
  <c r="H146" i="1"/>
  <c r="H434" i="1"/>
  <c r="H735" i="1"/>
  <c r="H268" i="1"/>
  <c r="H228" i="1"/>
  <c r="H602" i="1"/>
  <c r="H689" i="1"/>
  <c r="H403" i="1"/>
  <c r="H237" i="1"/>
  <c r="H445" i="1"/>
  <c r="H155" i="1"/>
  <c r="H655" i="1"/>
  <c r="H487" i="1"/>
  <c r="H613" i="1"/>
  <c r="H197" i="1"/>
  <c r="H746" i="1"/>
  <c r="H781" i="1"/>
  <c r="H827" i="1"/>
  <c r="H844" i="1"/>
  <c r="H798" i="1"/>
  <c r="H838" i="1"/>
  <c r="H792" i="1"/>
  <c r="H821" i="1"/>
  <c r="H775" i="1"/>
  <c r="H729" i="1"/>
  <c r="H683" i="1"/>
  <c r="H262" i="1"/>
  <c r="H596" i="1"/>
  <c r="H346" i="1"/>
  <c r="H554" i="1"/>
  <c r="F16" i="1"/>
  <c r="F21" i="1"/>
  <c r="F428" i="1"/>
  <c r="H428" i="1" s="1"/>
  <c r="H899" i="1"/>
  <c r="H9" i="5"/>
  <c r="H10" i="5"/>
  <c r="H7" i="5"/>
  <c r="H11" i="5"/>
  <c r="H8" i="5"/>
  <c r="H12" i="5"/>
  <c r="H35" i="1"/>
  <c r="H901" i="1"/>
  <c r="H890" i="1"/>
  <c r="H897" i="1"/>
  <c r="H879" i="1"/>
  <c r="H889" i="1"/>
  <c r="H884" i="1"/>
  <c r="H886" i="1"/>
  <c r="F22" i="1"/>
  <c r="F26" i="1"/>
  <c r="H33" i="1"/>
  <c r="F25" i="1"/>
  <c r="F29" i="1"/>
  <c r="H24" i="1"/>
  <c r="F24" i="1"/>
  <c r="G29" i="1"/>
  <c r="F28" i="1"/>
  <c r="F30" i="1"/>
  <c r="G23" i="1"/>
  <c r="G27" i="1"/>
  <c r="G31" i="1"/>
  <c r="H23" i="1"/>
  <c r="F23" i="1"/>
  <c r="G25" i="1"/>
  <c r="G24" i="1"/>
  <c r="G28" i="1"/>
  <c r="G30" i="1"/>
  <c r="H31" i="1"/>
  <c r="F31" i="1"/>
  <c r="G22" i="1"/>
  <c r="G21" i="1"/>
  <c r="H20" i="1"/>
  <c r="F20" i="1"/>
  <c r="G20" i="1"/>
  <c r="F19" i="1"/>
  <c r="G19" i="1"/>
  <c r="F18" i="1"/>
  <c r="F15" i="1"/>
  <c r="G18" i="1"/>
  <c r="G16" i="1"/>
  <c r="H18" i="1"/>
  <c r="F17" i="1"/>
  <c r="G17" i="1"/>
  <c r="G15" i="1"/>
  <c r="F100" i="1"/>
  <c r="H100" i="1" s="1"/>
  <c r="F180" i="1"/>
  <c r="H180" i="1" s="1"/>
  <c r="G12" i="1"/>
  <c r="G346" i="1"/>
  <c r="G14" i="1"/>
  <c r="G13" i="1"/>
  <c r="F14" i="1"/>
  <c r="F13" i="1"/>
  <c r="H13" i="1"/>
  <c r="H638" i="1"/>
  <c r="H637" i="1"/>
  <c r="G9" i="1"/>
  <c r="F9" i="1"/>
  <c r="G8" i="1"/>
  <c r="G179" i="1"/>
  <c r="G201" i="1" s="1"/>
  <c r="E365" i="1"/>
  <c r="G153" i="1"/>
  <c r="G99" i="1"/>
  <c r="G119" i="1" s="1"/>
  <c r="E119" i="1"/>
  <c r="E449" i="1"/>
  <c r="F427" i="1"/>
  <c r="H427" i="1" s="1"/>
  <c r="H15" i="6"/>
  <c r="G345" i="1"/>
  <c r="F73" i="9"/>
  <c r="G73" i="9" s="1"/>
  <c r="I73" i="9"/>
  <c r="J73" i="9" s="1"/>
  <c r="C118" i="2"/>
  <c r="C120" i="2" s="1"/>
  <c r="C55" i="2" s="1"/>
  <c r="C18" i="2" s="1"/>
  <c r="C17" i="2"/>
  <c r="H115" i="1"/>
  <c r="H700" i="1"/>
  <c r="H647" i="1"/>
  <c r="H230" i="1"/>
  <c r="H271" i="1"/>
  <c r="H395" i="1"/>
  <c r="H313" i="1"/>
  <c r="H189" i="1"/>
  <c r="H563" i="1"/>
  <c r="H479" i="1"/>
  <c r="H68" i="1"/>
  <c r="H437" i="1"/>
  <c r="H354" i="1"/>
  <c r="H148" i="1"/>
  <c r="H605" i="1"/>
  <c r="H521" i="1"/>
  <c r="H692" i="1"/>
  <c r="H738" i="1"/>
  <c r="H194" i="1"/>
  <c r="H14" i="5"/>
  <c r="H6" i="5"/>
  <c r="E201" i="1"/>
  <c r="E159" i="1"/>
  <c r="F345" i="1"/>
  <c r="H345" i="1" s="1"/>
  <c r="H9" i="6"/>
  <c r="H6" i="6"/>
  <c r="H11" i="6"/>
  <c r="H10" i="6"/>
  <c r="H8" i="6"/>
  <c r="H5" i="6"/>
  <c r="H13" i="6"/>
  <c r="H14" i="6"/>
  <c r="H12" i="6"/>
  <c r="H7" i="6"/>
  <c r="J44" i="10"/>
  <c r="E102" i="2"/>
  <c r="E27" i="2" s="1"/>
  <c r="E92" i="2"/>
  <c r="E21" i="2" s="1"/>
  <c r="E58" i="2"/>
  <c r="E15" i="2" s="1"/>
  <c r="H177" i="1"/>
  <c r="H384" i="1"/>
  <c r="F221" i="1"/>
  <c r="H221" i="1" s="1"/>
  <c r="G221" i="1"/>
  <c r="E241" i="1"/>
  <c r="F60" i="1"/>
  <c r="G60" i="1"/>
  <c r="F386" i="1"/>
  <c r="H386" i="1" s="1"/>
  <c r="G386" i="1"/>
  <c r="N72" i="10"/>
  <c r="D118" i="2"/>
  <c r="D120" i="2" s="1"/>
  <c r="D55" i="2" s="1"/>
  <c r="D18" i="2" s="1"/>
  <c r="D17" i="2"/>
  <c r="E64" i="2"/>
  <c r="E13" i="2" s="1"/>
  <c r="E81" i="2"/>
  <c r="E23" i="2" s="1"/>
  <c r="H442" i="1"/>
  <c r="H358" i="1"/>
  <c r="H610" i="1"/>
  <c r="H72" i="1"/>
  <c r="H468" i="1"/>
  <c r="F303" i="1"/>
  <c r="G303" i="1"/>
  <c r="E325" i="1"/>
  <c r="F140" i="1"/>
  <c r="H140" i="1" s="1"/>
  <c r="G140" i="1"/>
  <c r="F470" i="1"/>
  <c r="H470" i="1" s="1"/>
  <c r="G470" i="1"/>
  <c r="H183" i="1"/>
  <c r="H14" i="1" s="1"/>
  <c r="J72" i="10"/>
  <c r="K72" i="10" s="1"/>
  <c r="B39" i="3"/>
  <c r="E117" i="2"/>
  <c r="E75" i="2"/>
  <c r="E19" i="2" s="1"/>
  <c r="H75" i="1"/>
  <c r="F662" i="1"/>
  <c r="G283" i="1"/>
  <c r="H425" i="1"/>
  <c r="F59" i="1"/>
  <c r="G59" i="1"/>
  <c r="E79" i="1"/>
  <c r="F385" i="1"/>
  <c r="H385" i="1" s="1"/>
  <c r="G385" i="1"/>
  <c r="E407" i="1"/>
  <c r="F222" i="1"/>
  <c r="H222" i="1" s="1"/>
  <c r="G222" i="1"/>
  <c r="F139" i="1"/>
  <c r="G139" i="1"/>
  <c r="F469" i="1"/>
  <c r="H469" i="1" s="1"/>
  <c r="G469" i="1"/>
  <c r="E491" i="1"/>
  <c r="F304" i="1"/>
  <c r="H304" i="1" s="1"/>
  <c r="G304" i="1"/>
  <c r="H234" i="1"/>
  <c r="G662" i="1"/>
  <c r="G449" i="1"/>
  <c r="H900" i="1" l="1"/>
  <c r="G26" i="1"/>
  <c r="H883" i="1"/>
  <c r="H776" i="1"/>
  <c r="H822" i="1"/>
  <c r="H789" i="1"/>
  <c r="H835" i="1"/>
  <c r="H17" i="1"/>
  <c r="H34" i="1"/>
  <c r="C39" i="2"/>
  <c r="F119" i="1"/>
  <c r="H874" i="1"/>
  <c r="H875" i="1"/>
  <c r="H885" i="1"/>
  <c r="H894" i="1"/>
  <c r="H880" i="1"/>
  <c r="H28" i="1"/>
  <c r="H19" i="1"/>
  <c r="F201" i="1"/>
  <c r="G365" i="1"/>
  <c r="G10" i="1"/>
  <c r="G11" i="1"/>
  <c r="F10" i="1"/>
  <c r="F11" i="1"/>
  <c r="H9" i="1"/>
  <c r="H8" i="1"/>
  <c r="F449" i="1"/>
  <c r="G159" i="1"/>
  <c r="G74" i="9"/>
  <c r="L73" i="9"/>
  <c r="N73" i="9" s="1"/>
  <c r="J74" i="9"/>
  <c r="H112" i="1"/>
  <c r="H730" i="1"/>
  <c r="H684" i="1"/>
  <c r="H347" i="1"/>
  <c r="H152" i="1"/>
  <c r="H484" i="1"/>
  <c r="H400" i="1"/>
  <c r="H568" i="1"/>
  <c r="H318" i="1"/>
  <c r="H276" i="1"/>
  <c r="H526" i="1"/>
  <c r="H697" i="1"/>
  <c r="H743" i="1"/>
  <c r="H652" i="1"/>
  <c r="F365" i="1"/>
  <c r="G241" i="1"/>
  <c r="G79" i="1"/>
  <c r="H15" i="5"/>
  <c r="G325" i="1"/>
  <c r="H18" i="6"/>
  <c r="P72" i="10"/>
  <c r="R72" i="10" s="1"/>
  <c r="H59" i="1"/>
  <c r="F79" i="1"/>
  <c r="H513" i="1"/>
  <c r="H597" i="1"/>
  <c r="H305" i="1"/>
  <c r="H387" i="1"/>
  <c r="H263" i="1"/>
  <c r="H555" i="1"/>
  <c r="H639" i="1"/>
  <c r="H181" i="1"/>
  <c r="H429" i="1"/>
  <c r="H223" i="1"/>
  <c r="H61" i="1"/>
  <c r="H101" i="1"/>
  <c r="H471" i="1"/>
  <c r="E118" i="2"/>
  <c r="E120" i="2" s="1"/>
  <c r="E55" i="2" s="1"/>
  <c r="E18" i="2" s="1"/>
  <c r="E17" i="2"/>
  <c r="H303" i="1"/>
  <c r="F325" i="1"/>
  <c r="F64" i="2"/>
  <c r="F13" i="2" s="1"/>
  <c r="F75" i="2"/>
  <c r="F19" i="2" s="1"/>
  <c r="F117" i="2"/>
  <c r="F491" i="1"/>
  <c r="F58" i="2"/>
  <c r="F15" i="2" s="1"/>
  <c r="F241" i="1"/>
  <c r="F81" i="2"/>
  <c r="F23" i="2" s="1"/>
  <c r="D39" i="2"/>
  <c r="H60" i="1"/>
  <c r="H877" i="1" s="1"/>
  <c r="F102" i="2"/>
  <c r="F27" i="2" s="1"/>
  <c r="G491" i="1"/>
  <c r="H139" i="1"/>
  <c r="F159" i="1"/>
  <c r="G407" i="1"/>
  <c r="H141" i="1"/>
  <c r="F407" i="1"/>
  <c r="F92" i="2"/>
  <c r="F21" i="2" s="1"/>
  <c r="F867" i="1" l="1"/>
  <c r="F43" i="1"/>
  <c r="G43" i="1"/>
  <c r="H891" i="1"/>
  <c r="H10" i="1"/>
  <c r="H876" i="1"/>
  <c r="H878" i="1"/>
  <c r="G867" i="1"/>
  <c r="D5" i="8" s="1"/>
  <c r="H25" i="1"/>
  <c r="H11" i="1"/>
  <c r="H12" i="1"/>
  <c r="L74" i="9"/>
  <c r="N74" i="9" s="1"/>
  <c r="G75" i="9"/>
  <c r="J75" i="9"/>
  <c r="E39" i="2"/>
  <c r="R89" i="10"/>
  <c r="P89" i="10"/>
  <c r="G58" i="2"/>
  <c r="G15" i="2" s="1"/>
  <c r="G117" i="2"/>
  <c r="G81" i="2"/>
  <c r="G23" i="2" s="1"/>
  <c r="G92" i="2"/>
  <c r="G21" i="2" s="1"/>
  <c r="G102" i="2"/>
  <c r="G27" i="2" s="1"/>
  <c r="G75" i="2"/>
  <c r="G19" i="2" s="1"/>
  <c r="F118" i="2"/>
  <c r="F120" i="2" s="1"/>
  <c r="F55" i="2" s="1"/>
  <c r="F18" i="2" s="1"/>
  <c r="F17" i="2"/>
  <c r="G64" i="2"/>
  <c r="G13" i="2" s="1"/>
  <c r="H30" i="11" l="1"/>
  <c r="I23" i="11"/>
  <c r="L75" i="9"/>
  <c r="N75" i="9" s="1"/>
  <c r="P91" i="10"/>
  <c r="H64" i="2"/>
  <c r="H13" i="2" s="1"/>
  <c r="G77" i="9"/>
  <c r="H102" i="2"/>
  <c r="H27" i="2" s="1"/>
  <c r="H58" i="2"/>
  <c r="H15" i="2" s="1"/>
  <c r="H81" i="2"/>
  <c r="H23" i="2" s="1"/>
  <c r="G17" i="2"/>
  <c r="G118" i="2"/>
  <c r="G120" i="2" s="1"/>
  <c r="G55" i="2" s="1"/>
  <c r="G18" i="2" s="1"/>
  <c r="F39" i="2"/>
  <c r="H75" i="2"/>
  <c r="H19" i="2" s="1"/>
  <c r="H92" i="2"/>
  <c r="H21" i="2" s="1"/>
  <c r="H117" i="2"/>
  <c r="G76" i="9" l="1"/>
  <c r="J23" i="11"/>
  <c r="K23" i="11" s="1"/>
  <c r="K32" i="11" s="1"/>
  <c r="I32" i="11"/>
  <c r="J76" i="9"/>
  <c r="G39" i="2"/>
  <c r="I92" i="2"/>
  <c r="I21" i="2" s="1"/>
  <c r="I102" i="2"/>
  <c r="I27" i="2" s="1"/>
  <c r="H118" i="2"/>
  <c r="H120" i="2" s="1"/>
  <c r="H55" i="2" s="1"/>
  <c r="H18" i="2" s="1"/>
  <c r="H17" i="2"/>
  <c r="G78" i="9"/>
  <c r="I117" i="2"/>
  <c r="I75" i="2"/>
  <c r="I19" i="2" s="1"/>
  <c r="I58" i="2"/>
  <c r="I15" i="2" s="1"/>
  <c r="I81" i="2"/>
  <c r="I23" i="2" s="1"/>
  <c r="I64" i="2"/>
  <c r="I13" i="2" s="1"/>
  <c r="L76" i="9" l="1"/>
  <c r="N76" i="9" s="1"/>
  <c r="L23" i="11"/>
  <c r="L32" i="11" s="1"/>
  <c r="J77" i="9"/>
  <c r="L77" i="9" s="1"/>
  <c r="N77" i="9" s="1"/>
  <c r="I118" i="2"/>
  <c r="I120" i="2" s="1"/>
  <c r="I55" i="2" s="1"/>
  <c r="I18" i="2" s="1"/>
  <c r="I17" i="2"/>
  <c r="J81" i="2"/>
  <c r="J23" i="2" s="1"/>
  <c r="J58" i="2"/>
  <c r="J15" i="2" s="1"/>
  <c r="J117" i="2"/>
  <c r="J102" i="2"/>
  <c r="J27" i="2" s="1"/>
  <c r="J64" i="2"/>
  <c r="J13" i="2" s="1"/>
  <c r="J75" i="2"/>
  <c r="J19" i="2" s="1"/>
  <c r="G79" i="9"/>
  <c r="H39" i="2"/>
  <c r="J92" i="2"/>
  <c r="J21" i="2" s="1"/>
  <c r="I39" i="2" l="1"/>
  <c r="J78" i="9"/>
  <c r="L78" i="9" s="1"/>
  <c r="N78" i="9" s="1"/>
  <c r="K92" i="2"/>
  <c r="K21" i="2" s="1"/>
  <c r="J118" i="2"/>
  <c r="J120" i="2" s="1"/>
  <c r="J55" i="2" s="1"/>
  <c r="J18" i="2" s="1"/>
  <c r="J17" i="2"/>
  <c r="K75" i="2"/>
  <c r="K19" i="2" s="1"/>
  <c r="K117" i="2"/>
  <c r="K81" i="2"/>
  <c r="K23" i="2" s="1"/>
  <c r="G80" i="9"/>
  <c r="K102" i="2"/>
  <c r="K27" i="2" s="1"/>
  <c r="K58" i="2"/>
  <c r="K15" i="2" s="1"/>
  <c r="K64" i="2"/>
  <c r="K13" i="2" s="1"/>
  <c r="J79" i="9" l="1"/>
  <c r="L79" i="9" s="1"/>
  <c r="N79" i="9" s="1"/>
  <c r="M81" i="2"/>
  <c r="M23" i="2" s="1"/>
  <c r="L81" i="2"/>
  <c r="L23" i="2" s="1"/>
  <c r="M75" i="2"/>
  <c r="M19" i="2" s="1"/>
  <c r="L75" i="2"/>
  <c r="L19" i="2" s="1"/>
  <c r="L64" i="2"/>
  <c r="L13" i="2" s="1"/>
  <c r="M64" i="2"/>
  <c r="M13" i="2" s="1"/>
  <c r="N13" i="2" s="1"/>
  <c r="M102" i="2"/>
  <c r="M27" i="2" s="1"/>
  <c r="N27" i="2" s="1"/>
  <c r="L102" i="2"/>
  <c r="L27" i="2" s="1"/>
  <c r="G81" i="9"/>
  <c r="K17" i="2"/>
  <c r="K118" i="2"/>
  <c r="K120" i="2" s="1"/>
  <c r="K55" i="2" s="1"/>
  <c r="K18" i="2" s="1"/>
  <c r="M58" i="2"/>
  <c r="M15" i="2" s="1"/>
  <c r="L58" i="2"/>
  <c r="L15" i="2" s="1"/>
  <c r="M117" i="2"/>
  <c r="L117" i="2"/>
  <c r="J39" i="2"/>
  <c r="M92" i="2"/>
  <c r="M21" i="2" s="1"/>
  <c r="N21" i="2" s="1"/>
  <c r="L92" i="2"/>
  <c r="L21" i="2" s="1"/>
  <c r="N15" i="2" l="1"/>
  <c r="H793" i="1"/>
  <c r="H839" i="1"/>
  <c r="H790" i="1"/>
  <c r="H836" i="1"/>
  <c r="N19" i="2"/>
  <c r="H837" i="1" s="1"/>
  <c r="H842" i="1"/>
  <c r="H796" i="1"/>
  <c r="N23" i="2"/>
  <c r="H615" i="1" s="1"/>
  <c r="J80" i="9"/>
  <c r="L80" i="9" s="1"/>
  <c r="N80" i="9" s="1"/>
  <c r="H750" i="1"/>
  <c r="H659" i="1"/>
  <c r="H704" i="1"/>
  <c r="H359" i="1"/>
  <c r="H734" i="1"/>
  <c r="H688" i="1"/>
  <c r="G82" i="9"/>
  <c r="H145" i="1"/>
  <c r="H105" i="1"/>
  <c r="H267" i="1"/>
  <c r="H475" i="1"/>
  <c r="H601" i="1"/>
  <c r="H517" i="1"/>
  <c r="H391" i="1"/>
  <c r="H309" i="1"/>
  <c r="H227" i="1"/>
  <c r="H65" i="1"/>
  <c r="H559" i="1"/>
  <c r="H643" i="1"/>
  <c r="H351" i="1"/>
  <c r="H433" i="1"/>
  <c r="H185" i="1"/>
  <c r="L118" i="2"/>
  <c r="L120" i="2" s="1"/>
  <c r="L55" i="2" s="1"/>
  <c r="L18" i="2" s="1"/>
  <c r="L17" i="2"/>
  <c r="K39" i="2"/>
  <c r="M118" i="2"/>
  <c r="M120" i="2" s="1"/>
  <c r="M55" i="2" s="1"/>
  <c r="M18" i="2" s="1"/>
  <c r="N18" i="2" s="1"/>
  <c r="M17" i="2"/>
  <c r="H780" i="1" l="1"/>
  <c r="H826" i="1"/>
  <c r="H791" i="1"/>
  <c r="H154" i="1"/>
  <c r="H405" i="1"/>
  <c r="H702" i="1"/>
  <c r="H117" i="1"/>
  <c r="H323" i="1"/>
  <c r="H447" i="1"/>
  <c r="H486" i="1"/>
  <c r="N17" i="2"/>
  <c r="H481" i="1" s="1"/>
  <c r="H831" i="1"/>
  <c r="H785" i="1"/>
  <c r="H794" i="1"/>
  <c r="H840" i="1"/>
  <c r="H898" i="1"/>
  <c r="H32" i="1"/>
  <c r="J81" i="9"/>
  <c r="L81" i="9" s="1"/>
  <c r="N81" i="9" s="1"/>
  <c r="L39" i="2"/>
  <c r="H77" i="1"/>
  <c r="H363" i="1"/>
  <c r="H199" i="1"/>
  <c r="H528" i="1"/>
  <c r="H611" i="1"/>
  <c r="H401" i="1"/>
  <c r="H157" i="1"/>
  <c r="H489" i="1"/>
  <c r="H531" i="1"/>
  <c r="H573" i="1"/>
  <c r="H277" i="1"/>
  <c r="H654" i="1"/>
  <c r="H748" i="1"/>
  <c r="H657" i="1"/>
  <c r="H239" i="1"/>
  <c r="H281" i="1"/>
  <c r="H443" i="1"/>
  <c r="H485" i="1"/>
  <c r="H73" i="1"/>
  <c r="H195" i="1"/>
  <c r="H113" i="1"/>
  <c r="H569" i="1"/>
  <c r="H319" i="1"/>
  <c r="H527" i="1"/>
  <c r="H653" i="1"/>
  <c r="H235" i="1"/>
  <c r="H153" i="1"/>
  <c r="H698" i="1"/>
  <c r="H744" i="1"/>
  <c r="H745" i="1"/>
  <c r="H699" i="1"/>
  <c r="H278" i="1"/>
  <c r="H444" i="1"/>
  <c r="H196" i="1"/>
  <c r="H114" i="1"/>
  <c r="H612" i="1"/>
  <c r="H320" i="1"/>
  <c r="H570" i="1"/>
  <c r="H360" i="1"/>
  <c r="H74" i="1"/>
  <c r="H402" i="1"/>
  <c r="H236" i="1"/>
  <c r="H701" i="1"/>
  <c r="H747" i="1"/>
  <c r="H184" i="1"/>
  <c r="H649" i="1"/>
  <c r="H76" i="1"/>
  <c r="H572" i="1"/>
  <c r="H530" i="1"/>
  <c r="H238" i="1"/>
  <c r="H446" i="1"/>
  <c r="H198" i="1"/>
  <c r="H404" i="1"/>
  <c r="H322" i="1"/>
  <c r="H156" i="1"/>
  <c r="H614" i="1"/>
  <c r="H280" i="1"/>
  <c r="H656" i="1"/>
  <c r="H488" i="1"/>
  <c r="H362" i="1"/>
  <c r="H116" i="1"/>
  <c r="M39" i="2"/>
  <c r="G83" i="9"/>
  <c r="H16" i="1" l="1"/>
  <c r="H882" i="1"/>
  <c r="H273" i="1"/>
  <c r="H740" i="1"/>
  <c r="H308" i="1"/>
  <c r="H439" i="1"/>
  <c r="H832" i="1"/>
  <c r="H786" i="1"/>
  <c r="H779" i="1"/>
  <c r="H825" i="1"/>
  <c r="H315" i="1"/>
  <c r="H642" i="1"/>
  <c r="H64" i="1"/>
  <c r="H79" i="1" s="1"/>
  <c r="H266" i="1"/>
  <c r="H104" i="1"/>
  <c r="H432" i="1"/>
  <c r="H687" i="1"/>
  <c r="N39" i="2"/>
  <c r="H226" i="1"/>
  <c r="H241" i="1" s="1"/>
  <c r="H144" i="1"/>
  <c r="H159" i="1" s="1"/>
  <c r="H565" i="1"/>
  <c r="H397" i="1"/>
  <c r="H191" i="1"/>
  <c r="H516" i="1"/>
  <c r="H600" i="1"/>
  <c r="H733" i="1"/>
  <c r="H390" i="1"/>
  <c r="H474" i="1"/>
  <c r="H558" i="1"/>
  <c r="H523" i="1"/>
  <c r="H350" i="1"/>
  <c r="H365" i="1" s="1"/>
  <c r="H607" i="1"/>
  <c r="H694" i="1"/>
  <c r="H896" i="1"/>
  <c r="H892" i="1"/>
  <c r="H893" i="1"/>
  <c r="H895" i="1"/>
  <c r="H29" i="1"/>
  <c r="H30" i="1"/>
  <c r="H27" i="1"/>
  <c r="H26" i="1"/>
  <c r="J82" i="9"/>
  <c r="L82" i="9" s="1"/>
  <c r="N82" i="9" s="1"/>
  <c r="H739" i="1"/>
  <c r="H693" i="1"/>
  <c r="G84" i="9"/>
  <c r="H648" i="1"/>
  <c r="H564" i="1"/>
  <c r="H272" i="1"/>
  <c r="H438" i="1"/>
  <c r="H606" i="1"/>
  <c r="H480" i="1"/>
  <c r="H314" i="1"/>
  <c r="H190" i="1"/>
  <c r="H522" i="1"/>
  <c r="H396" i="1"/>
  <c r="H800" i="1" l="1"/>
  <c r="H491" i="1"/>
  <c r="H533" i="1"/>
  <c r="H662" i="1"/>
  <c r="H449" i="1"/>
  <c r="H407" i="1"/>
  <c r="H575" i="1"/>
  <c r="H754" i="1"/>
  <c r="H22" i="1"/>
  <c r="H881" i="1"/>
  <c r="H119" i="1"/>
  <c r="H888" i="1"/>
  <c r="H853" i="1"/>
  <c r="H15" i="1"/>
  <c r="H325" i="1"/>
  <c r="H283" i="1"/>
  <c r="H708" i="1"/>
  <c r="H617" i="1"/>
  <c r="H887" i="1"/>
  <c r="H21" i="1"/>
  <c r="J83" i="9"/>
  <c r="L83" i="9" s="1"/>
  <c r="N83" i="9" s="1"/>
  <c r="H201" i="1"/>
  <c r="G87" i="9"/>
  <c r="G86" i="9"/>
  <c r="G85" i="9"/>
  <c r="H910" i="1" l="1"/>
  <c r="I302" i="1" s="1"/>
  <c r="J302" i="1" s="1"/>
  <c r="K302" i="1" s="1"/>
  <c r="H43" i="1"/>
  <c r="H867" i="1"/>
  <c r="J84" i="9"/>
  <c r="L84" i="9" s="1"/>
  <c r="N84" i="9" s="1"/>
  <c r="G88" i="9"/>
  <c r="G89" i="9"/>
  <c r="I613" i="1" l="1"/>
  <c r="J613" i="1" s="1"/>
  <c r="K613" i="1" s="1"/>
  <c r="I602" i="1"/>
  <c r="J602" i="1" s="1"/>
  <c r="K602" i="1" s="1"/>
  <c r="I615" i="1"/>
  <c r="J615" i="1" s="1"/>
  <c r="K615" i="1" s="1"/>
  <c r="I612" i="1"/>
  <c r="J612" i="1" s="1"/>
  <c r="K612" i="1" s="1"/>
  <c r="I611" i="1"/>
  <c r="J611" i="1" s="1"/>
  <c r="K611" i="1" s="1"/>
  <c r="I614" i="1"/>
  <c r="J614" i="1" s="1"/>
  <c r="K614" i="1" s="1"/>
  <c r="I396" i="1"/>
  <c r="J396" i="1" s="1"/>
  <c r="K396" i="1" s="1"/>
  <c r="I308" i="1"/>
  <c r="J308" i="1" s="1"/>
  <c r="K308" i="1" s="1"/>
  <c r="I280" i="1"/>
  <c r="J280" i="1" s="1"/>
  <c r="K280" i="1" s="1"/>
  <c r="I360" i="1"/>
  <c r="J360" i="1" s="1"/>
  <c r="K360" i="1" s="1"/>
  <c r="I156" i="1"/>
  <c r="J156" i="1" s="1"/>
  <c r="K156" i="1" s="1"/>
  <c r="I522" i="1"/>
  <c r="J522" i="1" s="1"/>
  <c r="K522" i="1" s="1"/>
  <c r="I322" i="1"/>
  <c r="J322" i="1" s="1"/>
  <c r="K322" i="1" s="1"/>
  <c r="I227" i="1"/>
  <c r="J227" i="1" s="1"/>
  <c r="K227" i="1" s="1"/>
  <c r="I439" i="1"/>
  <c r="J439" i="1" s="1"/>
  <c r="K439" i="1" s="1"/>
  <c r="I447" i="1"/>
  <c r="J447" i="1" s="1"/>
  <c r="K447" i="1" s="1"/>
  <c r="I73" i="1"/>
  <c r="J73" i="1" s="1"/>
  <c r="I391" i="1"/>
  <c r="J391" i="1" s="1"/>
  <c r="K391" i="1" s="1"/>
  <c r="I442" i="1"/>
  <c r="J442" i="1" s="1"/>
  <c r="K442" i="1" s="1"/>
  <c r="I145" i="1"/>
  <c r="J145" i="1" s="1"/>
  <c r="K145" i="1" s="1"/>
  <c r="I105" i="1"/>
  <c r="J105" i="1" s="1"/>
  <c r="K105" i="1" s="1"/>
  <c r="I484" i="1"/>
  <c r="J484" i="1" s="1"/>
  <c r="K484" i="1" s="1"/>
  <c r="I363" i="1"/>
  <c r="J363" i="1" s="1"/>
  <c r="K363" i="1" s="1"/>
  <c r="I139" i="1"/>
  <c r="J139" i="1" s="1"/>
  <c r="K139" i="1" s="1"/>
  <c r="I282" i="1"/>
  <c r="J282" i="1" s="1"/>
  <c r="K282" i="1" s="1"/>
  <c r="I519" i="1"/>
  <c r="J519" i="1" s="1"/>
  <c r="K519" i="1" s="1"/>
  <c r="I75" i="1"/>
  <c r="J75" i="1" s="1"/>
  <c r="I301" i="1"/>
  <c r="J301" i="1" s="1"/>
  <c r="I219" i="1"/>
  <c r="J219" i="1" s="1"/>
  <c r="I479" i="1"/>
  <c r="J479" i="1" s="1"/>
  <c r="K479" i="1" s="1"/>
  <c r="I476" i="1"/>
  <c r="J476" i="1" s="1"/>
  <c r="K476" i="1" s="1"/>
  <c r="I658" i="1"/>
  <c r="J658" i="1" s="1"/>
  <c r="K658" i="1" s="1"/>
  <c r="I487" i="1"/>
  <c r="J487" i="1" s="1"/>
  <c r="K487" i="1" s="1"/>
  <c r="I563" i="1"/>
  <c r="J563" i="1" s="1"/>
  <c r="K563" i="1" s="1"/>
  <c r="I264" i="1"/>
  <c r="J264" i="1" s="1"/>
  <c r="K264" i="1" s="1"/>
  <c r="I147" i="1"/>
  <c r="J147" i="1" s="1"/>
  <c r="K147" i="1" s="1"/>
  <c r="I268" i="1"/>
  <c r="J268" i="1" s="1"/>
  <c r="K268" i="1" s="1"/>
  <c r="I706" i="1"/>
  <c r="J706" i="1" s="1"/>
  <c r="K706" i="1" s="1"/>
  <c r="I688" i="1"/>
  <c r="J688" i="1" s="1"/>
  <c r="K688" i="1" s="1"/>
  <c r="I743" i="1"/>
  <c r="J743" i="1" s="1"/>
  <c r="K743" i="1" s="1"/>
  <c r="I839" i="1"/>
  <c r="J839" i="1" s="1"/>
  <c r="K839" i="1" s="1"/>
  <c r="I799" i="1"/>
  <c r="J799" i="1" s="1"/>
  <c r="K799" i="1" s="1"/>
  <c r="I564" i="1"/>
  <c r="J564" i="1" s="1"/>
  <c r="K564" i="1" s="1"/>
  <c r="I565" i="1"/>
  <c r="J565" i="1" s="1"/>
  <c r="K565" i="1" s="1"/>
  <c r="I530" i="1"/>
  <c r="J530" i="1" s="1"/>
  <c r="K530" i="1" s="1"/>
  <c r="I184" i="1"/>
  <c r="J184" i="1" s="1"/>
  <c r="K184" i="1" s="1"/>
  <c r="I488" i="1"/>
  <c r="J488" i="1" s="1"/>
  <c r="K488" i="1" s="1"/>
  <c r="I656" i="1"/>
  <c r="J656" i="1" s="1"/>
  <c r="K656" i="1" s="1"/>
  <c r="I116" i="1"/>
  <c r="J116" i="1" s="1"/>
  <c r="K116" i="1" s="1"/>
  <c r="I657" i="1"/>
  <c r="J657" i="1" s="1"/>
  <c r="K657" i="1" s="1"/>
  <c r="I235" i="1"/>
  <c r="J235" i="1" s="1"/>
  <c r="K235" i="1" s="1"/>
  <c r="I309" i="1"/>
  <c r="J309" i="1" s="1"/>
  <c r="K309" i="1" s="1"/>
  <c r="I569" i="1"/>
  <c r="J569" i="1" s="1"/>
  <c r="K569" i="1" s="1"/>
  <c r="I359" i="1"/>
  <c r="J359" i="1" s="1"/>
  <c r="K359" i="1" s="1"/>
  <c r="I517" i="1"/>
  <c r="J517" i="1" s="1"/>
  <c r="K517" i="1" s="1"/>
  <c r="I485" i="1"/>
  <c r="J485" i="1" s="1"/>
  <c r="K485" i="1" s="1"/>
  <c r="I659" i="1"/>
  <c r="J659" i="1" s="1"/>
  <c r="I181" i="1"/>
  <c r="J181" i="1" s="1"/>
  <c r="K181" i="1" s="1"/>
  <c r="I183" i="1"/>
  <c r="J183" i="1" s="1"/>
  <c r="K183" i="1" s="1"/>
  <c r="I568" i="1"/>
  <c r="J568" i="1" s="1"/>
  <c r="K568" i="1" s="1"/>
  <c r="I222" i="1"/>
  <c r="J222" i="1" s="1"/>
  <c r="K222" i="1" s="1"/>
  <c r="I641" i="1"/>
  <c r="J641" i="1" s="1"/>
  <c r="K641" i="1" s="1"/>
  <c r="I100" i="1"/>
  <c r="J100" i="1" s="1"/>
  <c r="K100" i="1" s="1"/>
  <c r="I357" i="1"/>
  <c r="J357" i="1" s="1"/>
  <c r="K357" i="1" s="1"/>
  <c r="I346" i="1"/>
  <c r="J346" i="1" s="1"/>
  <c r="K346" i="1" s="1"/>
  <c r="I655" i="1"/>
  <c r="J655" i="1" s="1"/>
  <c r="K655" i="1" s="1"/>
  <c r="I67" i="1"/>
  <c r="J67" i="1" s="1"/>
  <c r="I324" i="1"/>
  <c r="J324" i="1" s="1"/>
  <c r="K324" i="1" s="1"/>
  <c r="I307" i="1"/>
  <c r="J307" i="1" s="1"/>
  <c r="K307" i="1" s="1"/>
  <c r="I151" i="1"/>
  <c r="J151" i="1" s="1"/>
  <c r="K151" i="1" s="1"/>
  <c r="I556" i="1"/>
  <c r="J556" i="1" s="1"/>
  <c r="K556" i="1" s="1"/>
  <c r="I574" i="1"/>
  <c r="J574" i="1" s="1"/>
  <c r="K574" i="1" s="1"/>
  <c r="I393" i="1"/>
  <c r="J393" i="1" s="1"/>
  <c r="K393" i="1" s="1"/>
  <c r="J911" i="1"/>
  <c r="I690" i="1"/>
  <c r="J690" i="1" s="1"/>
  <c r="K690" i="1" s="1"/>
  <c r="I747" i="1"/>
  <c r="J747" i="1" s="1"/>
  <c r="K747" i="1" s="1"/>
  <c r="I741" i="1"/>
  <c r="J741" i="1" s="1"/>
  <c r="K741" i="1" s="1"/>
  <c r="I818" i="1"/>
  <c r="J818" i="1" s="1"/>
  <c r="I795" i="1"/>
  <c r="J795" i="1" s="1"/>
  <c r="K795" i="1" s="1"/>
  <c r="I272" i="1"/>
  <c r="J272" i="1" s="1"/>
  <c r="K272" i="1" s="1"/>
  <c r="I446" i="1"/>
  <c r="J446" i="1" s="1"/>
  <c r="K446" i="1" s="1"/>
  <c r="I350" i="1"/>
  <c r="J350" i="1" s="1"/>
  <c r="K350" i="1" s="1"/>
  <c r="I404" i="1"/>
  <c r="J404" i="1" s="1"/>
  <c r="K404" i="1" s="1"/>
  <c r="I104" i="1"/>
  <c r="J104" i="1" s="1"/>
  <c r="K104" i="1" s="1"/>
  <c r="I397" i="1"/>
  <c r="J397" i="1" s="1"/>
  <c r="K397" i="1" s="1"/>
  <c r="I570" i="1"/>
  <c r="J570" i="1" s="1"/>
  <c r="K570" i="1" s="1"/>
  <c r="I475" i="1"/>
  <c r="J475" i="1" s="1"/>
  <c r="K475" i="1" s="1"/>
  <c r="I405" i="1"/>
  <c r="J405" i="1" s="1"/>
  <c r="K405" i="1" s="1"/>
  <c r="I531" i="1"/>
  <c r="J531" i="1" s="1"/>
  <c r="K531" i="1" s="1"/>
  <c r="I281" i="1"/>
  <c r="J281" i="1" s="1"/>
  <c r="K281" i="1" s="1"/>
  <c r="I199" i="1"/>
  <c r="J199" i="1" s="1"/>
  <c r="K199" i="1" s="1"/>
  <c r="I114" i="1"/>
  <c r="J114" i="1" s="1"/>
  <c r="K114" i="1" s="1"/>
  <c r="I239" i="1"/>
  <c r="J239" i="1" s="1"/>
  <c r="K239" i="1" s="1"/>
  <c r="I305" i="1"/>
  <c r="J305" i="1" s="1"/>
  <c r="K305" i="1" s="1"/>
  <c r="I61" i="1"/>
  <c r="J61" i="1" s="1"/>
  <c r="I112" i="1"/>
  <c r="J112" i="1" s="1"/>
  <c r="K112" i="1" s="1"/>
  <c r="I234" i="1"/>
  <c r="J234" i="1" s="1"/>
  <c r="K234" i="1" s="1"/>
  <c r="I62" i="1"/>
  <c r="J62" i="1" s="1"/>
  <c r="I68" i="1"/>
  <c r="J68" i="1" s="1"/>
  <c r="I180" i="1"/>
  <c r="J180" i="1" s="1"/>
  <c r="K180" i="1" s="1"/>
  <c r="I137" i="1"/>
  <c r="J137" i="1" s="1"/>
  <c r="I66" i="1"/>
  <c r="J66" i="1" s="1"/>
  <c r="I640" i="1"/>
  <c r="J640" i="1" s="1"/>
  <c r="K640" i="1" s="1"/>
  <c r="I200" i="1"/>
  <c r="J200" i="1" s="1"/>
  <c r="K200" i="1" s="1"/>
  <c r="I515" i="1"/>
  <c r="J515" i="1" s="1"/>
  <c r="K515" i="1" s="1"/>
  <c r="I178" i="1"/>
  <c r="J178" i="1" s="1"/>
  <c r="K178" i="1" s="1"/>
  <c r="I310" i="1"/>
  <c r="J310" i="1" s="1"/>
  <c r="K310" i="1" s="1"/>
  <c r="I225" i="1"/>
  <c r="J225" i="1" s="1"/>
  <c r="K225" i="1" s="1"/>
  <c r="I78" i="1"/>
  <c r="J78" i="1" s="1"/>
  <c r="I269" i="1"/>
  <c r="J269" i="1" s="1"/>
  <c r="K269" i="1" s="1"/>
  <c r="I703" i="1"/>
  <c r="J703" i="1" s="1"/>
  <c r="K703" i="1" s="1"/>
  <c r="I705" i="1"/>
  <c r="J705" i="1" s="1"/>
  <c r="K705" i="1" s="1"/>
  <c r="I736" i="1"/>
  <c r="J736" i="1" s="1"/>
  <c r="K736" i="1" s="1"/>
  <c r="I827" i="1"/>
  <c r="J827" i="1" s="1"/>
  <c r="K827" i="1" s="1"/>
  <c r="I648" i="1"/>
  <c r="J648" i="1" s="1"/>
  <c r="K648" i="1" s="1"/>
  <c r="I432" i="1"/>
  <c r="J432" i="1" s="1"/>
  <c r="K432" i="1" s="1"/>
  <c r="I191" i="1"/>
  <c r="J191" i="1" s="1"/>
  <c r="I474" i="1"/>
  <c r="J474" i="1" s="1"/>
  <c r="K474" i="1" s="1"/>
  <c r="I642" i="1"/>
  <c r="J642" i="1" s="1"/>
  <c r="K642" i="1" s="1"/>
  <c r="I315" i="1"/>
  <c r="J315" i="1" s="1"/>
  <c r="K315" i="1" s="1"/>
  <c r="I527" i="1"/>
  <c r="J527" i="1" s="1"/>
  <c r="K527" i="1" s="1"/>
  <c r="I443" i="1"/>
  <c r="J443" i="1" s="1"/>
  <c r="K443" i="1" s="1"/>
  <c r="I185" i="1"/>
  <c r="J185" i="1" s="1"/>
  <c r="K185" i="1" s="1"/>
  <c r="I601" i="1"/>
  <c r="J601" i="1" s="1"/>
  <c r="K601" i="1" s="1"/>
  <c r="I643" i="1"/>
  <c r="J643" i="1" s="1"/>
  <c r="K643" i="1" s="1"/>
  <c r="I117" i="1"/>
  <c r="J117" i="1" s="1"/>
  <c r="K117" i="1" s="1"/>
  <c r="I323" i="1"/>
  <c r="J323" i="1" s="1"/>
  <c r="K323" i="1" s="1"/>
  <c r="I157" i="1"/>
  <c r="J157" i="1" s="1"/>
  <c r="K157" i="1" s="1"/>
  <c r="I471" i="1"/>
  <c r="J471" i="1" s="1"/>
  <c r="K471" i="1" s="1"/>
  <c r="I101" i="1"/>
  <c r="J101" i="1" s="1"/>
  <c r="K101" i="1" s="1"/>
  <c r="I318" i="1"/>
  <c r="J318" i="1" s="1"/>
  <c r="K318" i="1" s="1"/>
  <c r="I386" i="1"/>
  <c r="J386" i="1" s="1"/>
  <c r="K386" i="1" s="1"/>
  <c r="I57" i="1"/>
  <c r="J57" i="1" s="1"/>
  <c r="I435" i="1"/>
  <c r="J435" i="1" s="1"/>
  <c r="K435" i="1" s="1"/>
  <c r="I635" i="1"/>
  <c r="J635" i="1" s="1"/>
  <c r="I193" i="1"/>
  <c r="J193" i="1" s="1"/>
  <c r="K193" i="1" s="1"/>
  <c r="I398" i="1"/>
  <c r="J398" i="1" s="1"/>
  <c r="K398" i="1" s="1"/>
  <c r="I567" i="1"/>
  <c r="J567" i="1" s="1"/>
  <c r="K567" i="1" s="1"/>
  <c r="I348" i="1"/>
  <c r="J348" i="1" s="1"/>
  <c r="K348" i="1" s="1"/>
  <c r="I197" i="1"/>
  <c r="J197" i="1" s="1"/>
  <c r="K197" i="1" s="1"/>
  <c r="I186" i="1"/>
  <c r="J186" i="1" s="1"/>
  <c r="K186" i="1" s="1"/>
  <c r="I103" i="1"/>
  <c r="J103" i="1" s="1"/>
  <c r="K103" i="1" s="1"/>
  <c r="I478" i="1"/>
  <c r="J478" i="1" s="1"/>
  <c r="K478" i="1" s="1"/>
  <c r="I271" i="1"/>
  <c r="J271" i="1" s="1"/>
  <c r="K271" i="1" s="1"/>
  <c r="I279" i="1"/>
  <c r="J279" i="1" s="1"/>
  <c r="K279" i="1" s="1"/>
  <c r="I699" i="1"/>
  <c r="J699" i="1" s="1"/>
  <c r="K699" i="1" s="1"/>
  <c r="I692" i="1"/>
  <c r="J692" i="1" s="1"/>
  <c r="K692" i="1" s="1"/>
  <c r="I745" i="1"/>
  <c r="J745" i="1" s="1"/>
  <c r="K745" i="1" s="1"/>
  <c r="I833" i="1"/>
  <c r="J833" i="1" s="1"/>
  <c r="K833" i="1" s="1"/>
  <c r="I843" i="1"/>
  <c r="J843" i="1" s="1"/>
  <c r="K843" i="1" s="1"/>
  <c r="I849" i="1"/>
  <c r="J849" i="1" s="1"/>
  <c r="I777" i="1"/>
  <c r="J777" i="1" s="1"/>
  <c r="K777" i="1" s="1"/>
  <c r="I610" i="1"/>
  <c r="J610" i="1" s="1"/>
  <c r="K610" i="1" s="1"/>
  <c r="I609" i="1"/>
  <c r="J609" i="1" s="1"/>
  <c r="K609" i="1" s="1"/>
  <c r="I838" i="1"/>
  <c r="J838" i="1" s="1"/>
  <c r="K838" i="1" s="1"/>
  <c r="I778" i="1"/>
  <c r="J778" i="1" s="1"/>
  <c r="K778" i="1" s="1"/>
  <c r="I793" i="1"/>
  <c r="J793" i="1" s="1"/>
  <c r="K793" i="1" s="1"/>
  <c r="I773" i="1"/>
  <c r="J773" i="1" s="1"/>
  <c r="K773" i="1" s="1"/>
  <c r="I438" i="1"/>
  <c r="J438" i="1" s="1"/>
  <c r="K438" i="1" s="1"/>
  <c r="I190" i="1"/>
  <c r="J190" i="1" s="1"/>
  <c r="I266" i="1"/>
  <c r="J266" i="1" s="1"/>
  <c r="K266" i="1" s="1"/>
  <c r="I600" i="1"/>
  <c r="J600" i="1" s="1"/>
  <c r="K600" i="1" s="1"/>
  <c r="I273" i="1"/>
  <c r="J273" i="1" s="1"/>
  <c r="K273" i="1" s="1"/>
  <c r="I144" i="1"/>
  <c r="J144" i="1" s="1"/>
  <c r="K144" i="1" s="1"/>
  <c r="I649" i="1"/>
  <c r="J649" i="1" s="1"/>
  <c r="K649" i="1" s="1"/>
  <c r="I64" i="1"/>
  <c r="J64" i="1" s="1"/>
  <c r="I558" i="1"/>
  <c r="J558" i="1" s="1"/>
  <c r="K558" i="1" s="1"/>
  <c r="I278" i="1"/>
  <c r="J278" i="1" s="1"/>
  <c r="K278" i="1" s="1"/>
  <c r="I573" i="1"/>
  <c r="J573" i="1" s="1"/>
  <c r="K573" i="1" s="1"/>
  <c r="I65" i="1"/>
  <c r="J65" i="1" s="1"/>
  <c r="I277" i="1"/>
  <c r="J277" i="1" s="1"/>
  <c r="K277" i="1" s="1"/>
  <c r="I653" i="1"/>
  <c r="J653" i="1" s="1"/>
  <c r="K653" i="1" s="1"/>
  <c r="I654" i="1"/>
  <c r="J654" i="1" s="1"/>
  <c r="K654" i="1" s="1"/>
  <c r="I320" i="1"/>
  <c r="J320" i="1" s="1"/>
  <c r="K320" i="1" s="1"/>
  <c r="I433" i="1"/>
  <c r="J433" i="1" s="1"/>
  <c r="K433" i="1" s="1"/>
  <c r="I444" i="1"/>
  <c r="J444" i="1" s="1"/>
  <c r="K444" i="1" s="1"/>
  <c r="I351" i="1"/>
  <c r="J351" i="1" s="1"/>
  <c r="K351" i="1" s="1"/>
  <c r="I387" i="1"/>
  <c r="J387" i="1" s="1"/>
  <c r="K387" i="1" s="1"/>
  <c r="I263" i="1"/>
  <c r="J263" i="1" s="1"/>
  <c r="K263" i="1" s="1"/>
  <c r="I347" i="1"/>
  <c r="J347" i="1" s="1"/>
  <c r="K347" i="1" s="1"/>
  <c r="I140" i="1"/>
  <c r="J140" i="1" s="1"/>
  <c r="K140" i="1" s="1"/>
  <c r="I470" i="1"/>
  <c r="J470" i="1" s="1"/>
  <c r="K470" i="1" s="1"/>
  <c r="I490" i="1"/>
  <c r="J490" i="1" s="1"/>
  <c r="K490" i="1" s="1"/>
  <c r="I220" i="1"/>
  <c r="J220" i="1" s="1"/>
  <c r="K220" i="1" s="1"/>
  <c r="I431" i="1"/>
  <c r="J431" i="1" s="1"/>
  <c r="K431" i="1" s="1"/>
  <c r="I392" i="1"/>
  <c r="J392" i="1" s="1"/>
  <c r="K392" i="1" s="1"/>
  <c r="I155" i="1"/>
  <c r="J155" i="1" s="1"/>
  <c r="K155" i="1" s="1"/>
  <c r="I441" i="1"/>
  <c r="J441" i="1" s="1"/>
  <c r="K441" i="1" s="1"/>
  <c r="I395" i="1"/>
  <c r="J395" i="1" s="1"/>
  <c r="K395" i="1" s="1"/>
  <c r="I636" i="1"/>
  <c r="J636" i="1" s="1"/>
  <c r="K636" i="1" s="1"/>
  <c r="I108" i="1"/>
  <c r="J108" i="1" s="1"/>
  <c r="K108" i="1" s="1"/>
  <c r="I231" i="1"/>
  <c r="J231" i="1" s="1"/>
  <c r="K231" i="1" s="1"/>
  <c r="I313" i="1"/>
  <c r="J313" i="1" s="1"/>
  <c r="K313" i="1" s="1"/>
  <c r="I426" i="1"/>
  <c r="J426" i="1" s="1"/>
  <c r="K426" i="1" s="1"/>
  <c r="I595" i="1"/>
  <c r="J595" i="1" s="1"/>
  <c r="I237" i="1"/>
  <c r="J237" i="1" s="1"/>
  <c r="K237" i="1" s="1"/>
  <c r="I566" i="1"/>
  <c r="J566" i="1" s="1"/>
  <c r="K566" i="1" s="1"/>
  <c r="I260" i="1"/>
  <c r="J260" i="1" s="1"/>
  <c r="K260" i="1" s="1"/>
  <c r="I399" i="1"/>
  <c r="J399" i="1" s="1"/>
  <c r="K399" i="1" s="1"/>
  <c r="I107" i="1"/>
  <c r="J107" i="1" s="1"/>
  <c r="K107" i="1" s="1"/>
  <c r="I683" i="1"/>
  <c r="J683" i="1" s="1"/>
  <c r="K683" i="1" s="1"/>
  <c r="I689" i="1"/>
  <c r="J689" i="1" s="1"/>
  <c r="K689" i="1" s="1"/>
  <c r="I746" i="1"/>
  <c r="J746" i="1" s="1"/>
  <c r="K746" i="1" s="1"/>
  <c r="I748" i="1"/>
  <c r="J748" i="1" s="1"/>
  <c r="K748" i="1" s="1"/>
  <c r="I830" i="1"/>
  <c r="J830" i="1" s="1"/>
  <c r="K830" i="1" s="1"/>
  <c r="I840" i="1"/>
  <c r="J840" i="1" s="1"/>
  <c r="K840" i="1" s="1"/>
  <c r="I846" i="1"/>
  <c r="J846" i="1" s="1"/>
  <c r="I798" i="1"/>
  <c r="J798" i="1" s="1"/>
  <c r="K798" i="1" s="1"/>
  <c r="I607" i="1"/>
  <c r="J607" i="1" s="1"/>
  <c r="K607" i="1" s="1"/>
  <c r="I603" i="1"/>
  <c r="J603" i="1" s="1"/>
  <c r="K603" i="1" s="1"/>
  <c r="I685" i="1"/>
  <c r="J685" i="1" s="1"/>
  <c r="K685" i="1" s="1"/>
  <c r="I751" i="1"/>
  <c r="J751" i="1" s="1"/>
  <c r="K751" i="1" s="1"/>
  <c r="I749" i="1"/>
  <c r="J749" i="1" s="1"/>
  <c r="K749" i="1" s="1"/>
  <c r="I737" i="1"/>
  <c r="J737" i="1" s="1"/>
  <c r="K737" i="1" s="1"/>
  <c r="I823" i="1"/>
  <c r="J823" i="1" s="1"/>
  <c r="K823" i="1" s="1"/>
  <c r="I819" i="1"/>
  <c r="J819" i="1" s="1"/>
  <c r="K819" i="1" s="1"/>
  <c r="I844" i="1"/>
  <c r="J844" i="1" s="1"/>
  <c r="K844" i="1" s="1"/>
  <c r="I797" i="1"/>
  <c r="J797" i="1" s="1"/>
  <c r="K797" i="1" s="1"/>
  <c r="I796" i="1"/>
  <c r="J796" i="1" s="1"/>
  <c r="K796" i="1" s="1"/>
  <c r="I787" i="1"/>
  <c r="J787" i="1" s="1"/>
  <c r="K787" i="1" s="1"/>
  <c r="I606" i="1"/>
  <c r="J606" i="1" s="1"/>
  <c r="K606" i="1" s="1"/>
  <c r="I605" i="1"/>
  <c r="J605" i="1" s="1"/>
  <c r="K605" i="1" s="1"/>
  <c r="I820" i="1"/>
  <c r="J820" i="1" s="1"/>
  <c r="K820" i="1" s="1"/>
  <c r="I776" i="1"/>
  <c r="J776" i="1" s="1"/>
  <c r="K776" i="1" s="1"/>
  <c r="I788" i="1"/>
  <c r="J788" i="1" s="1"/>
  <c r="K788" i="1" s="1"/>
  <c r="I791" i="1"/>
  <c r="J791" i="1" s="1"/>
  <c r="K791" i="1" s="1"/>
  <c r="I789" i="1"/>
  <c r="J789" i="1" s="1"/>
  <c r="K789" i="1" s="1"/>
  <c r="I772" i="1"/>
  <c r="J772" i="1" s="1"/>
  <c r="I775" i="1"/>
  <c r="J775" i="1" s="1"/>
  <c r="K775" i="1" s="1"/>
  <c r="I850" i="1"/>
  <c r="I40" i="1" s="1"/>
  <c r="I851" i="1"/>
  <c r="J851" i="1" s="1"/>
  <c r="I836" i="1"/>
  <c r="J836" i="1" s="1"/>
  <c r="K836" i="1" s="1"/>
  <c r="I825" i="1"/>
  <c r="J825" i="1" s="1"/>
  <c r="K825" i="1" s="1"/>
  <c r="I831" i="1"/>
  <c r="J831" i="1" s="1"/>
  <c r="K831" i="1" s="1"/>
  <c r="I834" i="1"/>
  <c r="J834" i="1" s="1"/>
  <c r="K834" i="1" s="1"/>
  <c r="I822" i="1"/>
  <c r="J822" i="1" s="1"/>
  <c r="K822" i="1" s="1"/>
  <c r="I832" i="1"/>
  <c r="J832" i="1" s="1"/>
  <c r="K832" i="1" s="1"/>
  <c r="I842" i="1"/>
  <c r="J842" i="1" s="1"/>
  <c r="K842" i="1" s="1"/>
  <c r="I753" i="1"/>
  <c r="J753" i="1" s="1"/>
  <c r="K753" i="1" s="1"/>
  <c r="I739" i="1"/>
  <c r="J739" i="1" s="1"/>
  <c r="K739" i="1" s="1"/>
  <c r="I734" i="1"/>
  <c r="J734" i="1" s="1"/>
  <c r="K734" i="1" s="1"/>
  <c r="I752" i="1"/>
  <c r="J752" i="1" s="1"/>
  <c r="K752" i="1" s="1"/>
  <c r="I750" i="1"/>
  <c r="J750" i="1" s="1"/>
  <c r="K750" i="1" s="1"/>
  <c r="I735" i="1"/>
  <c r="J735" i="1" s="1"/>
  <c r="K735" i="1" s="1"/>
  <c r="I729" i="1"/>
  <c r="J729" i="1" s="1"/>
  <c r="K729" i="1" s="1"/>
  <c r="I684" i="1"/>
  <c r="J684" i="1" s="1"/>
  <c r="K684" i="1" s="1"/>
  <c r="I700" i="1"/>
  <c r="J700" i="1" s="1"/>
  <c r="K700" i="1" s="1"/>
  <c r="I693" i="1"/>
  <c r="J693" i="1" s="1"/>
  <c r="K693" i="1" s="1"/>
  <c r="I686" i="1"/>
  <c r="J686" i="1" s="1"/>
  <c r="K686" i="1" s="1"/>
  <c r="I702" i="1"/>
  <c r="J702" i="1" s="1"/>
  <c r="K702" i="1" s="1"/>
  <c r="I691" i="1"/>
  <c r="J691" i="1" s="1"/>
  <c r="K691" i="1" s="1"/>
  <c r="I681" i="1"/>
  <c r="J681" i="1" s="1"/>
  <c r="K681" i="1" s="1"/>
  <c r="I406" i="1"/>
  <c r="J406" i="1" s="1"/>
  <c r="K406" i="1" s="1"/>
  <c r="I445" i="1"/>
  <c r="J445" i="1" s="1"/>
  <c r="K445" i="1" s="1"/>
  <c r="I275" i="1"/>
  <c r="J275" i="1" s="1"/>
  <c r="K275" i="1" s="1"/>
  <c r="I149" i="1"/>
  <c r="J149" i="1" s="1"/>
  <c r="K149" i="1" s="1"/>
  <c r="I389" i="1"/>
  <c r="J389" i="1" s="1"/>
  <c r="K389" i="1" s="1"/>
  <c r="I312" i="1"/>
  <c r="J312" i="1" s="1"/>
  <c r="K312" i="1" s="1"/>
  <c r="I106" i="1"/>
  <c r="J106" i="1" s="1"/>
  <c r="K106" i="1" s="1"/>
  <c r="I403" i="1"/>
  <c r="J403" i="1" s="1"/>
  <c r="K403" i="1" s="1"/>
  <c r="I525" i="1"/>
  <c r="J525" i="1" s="1"/>
  <c r="K525" i="1" s="1"/>
  <c r="I233" i="1"/>
  <c r="J233" i="1" s="1"/>
  <c r="K233" i="1" s="1"/>
  <c r="I229" i="1"/>
  <c r="J229" i="1" s="1"/>
  <c r="K229" i="1" s="1"/>
  <c r="I511" i="1"/>
  <c r="J511" i="1" s="1"/>
  <c r="I311" i="1"/>
  <c r="J311" i="1" s="1"/>
  <c r="K311" i="1" s="1"/>
  <c r="I361" i="1"/>
  <c r="J361" i="1" s="1"/>
  <c r="K361" i="1" s="1"/>
  <c r="I316" i="1"/>
  <c r="J316" i="1" s="1"/>
  <c r="K316" i="1" s="1"/>
  <c r="I440" i="1"/>
  <c r="J440" i="1" s="1"/>
  <c r="K440" i="1" s="1"/>
  <c r="I434" i="1"/>
  <c r="J434" i="1" s="1"/>
  <c r="K434" i="1" s="1"/>
  <c r="I512" i="1"/>
  <c r="J512" i="1" s="1"/>
  <c r="K512" i="1" s="1"/>
  <c r="I71" i="1"/>
  <c r="I109" i="1"/>
  <c r="J109" i="1" s="1"/>
  <c r="K109" i="1" s="1"/>
  <c r="I510" i="1"/>
  <c r="J510" i="1" s="1"/>
  <c r="K510" i="1" s="1"/>
  <c r="I270" i="1"/>
  <c r="J270" i="1" s="1"/>
  <c r="K270" i="1" s="1"/>
  <c r="I483" i="1"/>
  <c r="J483" i="1" s="1"/>
  <c r="K483" i="1" s="1"/>
  <c r="I477" i="1"/>
  <c r="J477" i="1" s="1"/>
  <c r="K477" i="1" s="1"/>
  <c r="I344" i="1"/>
  <c r="J344" i="1" s="1"/>
  <c r="K344" i="1" s="1"/>
  <c r="I521" i="1"/>
  <c r="J521" i="1" s="1"/>
  <c r="K521" i="1" s="1"/>
  <c r="I98" i="1"/>
  <c r="J98" i="1" s="1"/>
  <c r="K98" i="1" s="1"/>
  <c r="I562" i="1"/>
  <c r="J562" i="1" s="1"/>
  <c r="K562" i="1" s="1"/>
  <c r="I651" i="1"/>
  <c r="J651" i="1" s="1"/>
  <c r="K651" i="1" s="1"/>
  <c r="I557" i="1"/>
  <c r="J557" i="1" s="1"/>
  <c r="K557" i="1" s="1"/>
  <c r="I650" i="1"/>
  <c r="J650" i="1" s="1"/>
  <c r="K650" i="1" s="1"/>
  <c r="I428" i="1"/>
  <c r="J428" i="1" s="1"/>
  <c r="K428" i="1" s="1"/>
  <c r="I118" i="1"/>
  <c r="J118" i="1" s="1"/>
  <c r="K118" i="1" s="1"/>
  <c r="I436" i="1"/>
  <c r="J436" i="1" s="1"/>
  <c r="K436" i="1" s="1"/>
  <c r="I652" i="1"/>
  <c r="J652" i="1" s="1"/>
  <c r="K652" i="1" s="1"/>
  <c r="I179" i="1"/>
  <c r="J179" i="1" s="1"/>
  <c r="K179" i="1" s="1"/>
  <c r="I240" i="1"/>
  <c r="J240" i="1" s="1"/>
  <c r="K240" i="1" s="1"/>
  <c r="I228" i="1"/>
  <c r="J228" i="1" s="1"/>
  <c r="K228" i="1" s="1"/>
  <c r="I224" i="1"/>
  <c r="J224" i="1" s="1"/>
  <c r="K224" i="1" s="1"/>
  <c r="I355" i="1"/>
  <c r="J355" i="1" s="1"/>
  <c r="K355" i="1" s="1"/>
  <c r="I148" i="1"/>
  <c r="J148" i="1" s="1"/>
  <c r="K148" i="1" s="1"/>
  <c r="I97" i="1"/>
  <c r="J97" i="1" s="1"/>
  <c r="I150" i="1"/>
  <c r="J150" i="1" s="1"/>
  <c r="K150" i="1" s="1"/>
  <c r="I553" i="1"/>
  <c r="J553" i="1" s="1"/>
  <c r="I187" i="1"/>
  <c r="J187" i="1" s="1"/>
  <c r="K187" i="1" s="1"/>
  <c r="I142" i="1"/>
  <c r="J142" i="1" s="1"/>
  <c r="K142" i="1" s="1"/>
  <c r="I230" i="1"/>
  <c r="J230" i="1" s="1"/>
  <c r="K230" i="1" s="1"/>
  <c r="I358" i="1"/>
  <c r="J358" i="1" s="1"/>
  <c r="K358" i="1" s="1"/>
  <c r="I72" i="1"/>
  <c r="J72" i="1" s="1"/>
  <c r="I343" i="1"/>
  <c r="J343" i="1" s="1"/>
  <c r="I469" i="1"/>
  <c r="J469" i="1" s="1"/>
  <c r="I468" i="1"/>
  <c r="J468" i="1" s="1"/>
  <c r="K468" i="1" s="1"/>
  <c r="I604" i="1"/>
  <c r="J604" i="1" s="1"/>
  <c r="K604" i="1" s="1"/>
  <c r="I774" i="1"/>
  <c r="J774" i="1" s="1"/>
  <c r="K774" i="1" s="1"/>
  <c r="I783" i="1"/>
  <c r="J783" i="1" s="1"/>
  <c r="K783" i="1" s="1"/>
  <c r="I781" i="1"/>
  <c r="J781" i="1" s="1"/>
  <c r="K781" i="1" s="1"/>
  <c r="I782" i="1"/>
  <c r="J782" i="1" s="1"/>
  <c r="K782" i="1" s="1"/>
  <c r="I779" i="1"/>
  <c r="J779" i="1" s="1"/>
  <c r="K779" i="1" s="1"/>
  <c r="I785" i="1"/>
  <c r="J785" i="1" s="1"/>
  <c r="K785" i="1" s="1"/>
  <c r="I847" i="1"/>
  <c r="J847" i="1" s="1"/>
  <c r="I835" i="1"/>
  <c r="J835" i="1" s="1"/>
  <c r="K835" i="1" s="1"/>
  <c r="I829" i="1"/>
  <c r="J829" i="1" s="1"/>
  <c r="K829" i="1" s="1"/>
  <c r="I837" i="1"/>
  <c r="J837" i="1" s="1"/>
  <c r="K837" i="1" s="1"/>
  <c r="I845" i="1"/>
  <c r="J845" i="1" s="1"/>
  <c r="K845" i="1" s="1"/>
  <c r="I852" i="1"/>
  <c r="I42" i="1" s="1"/>
  <c r="I707" i="1"/>
  <c r="I730" i="1"/>
  <c r="J730" i="1" s="1"/>
  <c r="K730" i="1" s="1"/>
  <c r="I744" i="1"/>
  <c r="J744" i="1" s="1"/>
  <c r="K744" i="1" s="1"/>
  <c r="I727" i="1"/>
  <c r="J727" i="1" s="1"/>
  <c r="K727" i="1" s="1"/>
  <c r="I732" i="1"/>
  <c r="J732" i="1" s="1"/>
  <c r="K732" i="1" s="1"/>
  <c r="I728" i="1"/>
  <c r="J728" i="1" s="1"/>
  <c r="K728" i="1" s="1"/>
  <c r="I696" i="1"/>
  <c r="J696" i="1" s="1"/>
  <c r="K696" i="1" s="1"/>
  <c r="I697" i="1"/>
  <c r="J697" i="1" s="1"/>
  <c r="K697" i="1" s="1"/>
  <c r="I694" i="1"/>
  <c r="J694" i="1" s="1"/>
  <c r="K694" i="1" s="1"/>
  <c r="I687" i="1"/>
  <c r="J687" i="1" s="1"/>
  <c r="K687" i="1" s="1"/>
  <c r="I680" i="1"/>
  <c r="J680" i="1" s="1"/>
  <c r="I509" i="1"/>
  <c r="J509" i="1" s="1"/>
  <c r="K509" i="1" s="1"/>
  <c r="I571" i="1"/>
  <c r="J571" i="1" s="1"/>
  <c r="K571" i="1" s="1"/>
  <c r="I437" i="1"/>
  <c r="J437" i="1" s="1"/>
  <c r="K437" i="1" s="1"/>
  <c r="I317" i="1"/>
  <c r="J317" i="1" s="1"/>
  <c r="K317" i="1" s="1"/>
  <c r="I518" i="1"/>
  <c r="J518" i="1" s="1"/>
  <c r="K518" i="1" s="1"/>
  <c r="I532" i="1"/>
  <c r="J532" i="1" s="1"/>
  <c r="K532" i="1" s="1"/>
  <c r="I598" i="1"/>
  <c r="J598" i="1" s="1"/>
  <c r="K598" i="1" s="1"/>
  <c r="I354" i="1"/>
  <c r="J354" i="1" s="1"/>
  <c r="K354" i="1" s="1"/>
  <c r="I552" i="1"/>
  <c r="J552" i="1" s="1"/>
  <c r="K552" i="1" s="1"/>
  <c r="I599" i="1"/>
  <c r="J599" i="1" s="1"/>
  <c r="K599" i="1" s="1"/>
  <c r="I262" i="1"/>
  <c r="J262" i="1" s="1"/>
  <c r="K262" i="1" s="1"/>
  <c r="I192" i="1"/>
  <c r="J192" i="1" s="1"/>
  <c r="K192" i="1" s="1"/>
  <c r="I143" i="1"/>
  <c r="J143" i="1" s="1"/>
  <c r="K143" i="1" s="1"/>
  <c r="I616" i="1"/>
  <c r="J616" i="1" s="1"/>
  <c r="K616" i="1" s="1"/>
  <c r="I261" i="1"/>
  <c r="J261" i="1" s="1"/>
  <c r="K261" i="1" s="1"/>
  <c r="I593" i="1"/>
  <c r="J593" i="1" s="1"/>
  <c r="K593" i="1" s="1"/>
  <c r="I529" i="1"/>
  <c r="J529" i="1" s="1"/>
  <c r="K529" i="1" s="1"/>
  <c r="I352" i="1"/>
  <c r="J352" i="1" s="1"/>
  <c r="K352" i="1" s="1"/>
  <c r="I524" i="1"/>
  <c r="J524" i="1" s="1"/>
  <c r="K524" i="1" s="1"/>
  <c r="I102" i="1"/>
  <c r="J102" i="1" s="1"/>
  <c r="K102" i="1" s="1"/>
  <c r="I561" i="1"/>
  <c r="J561" i="1" s="1"/>
  <c r="K561" i="1" s="1"/>
  <c r="I661" i="1"/>
  <c r="I551" i="1"/>
  <c r="J551" i="1" s="1"/>
  <c r="K551" i="1" s="1"/>
  <c r="I638" i="1"/>
  <c r="J638" i="1" s="1"/>
  <c r="K638" i="1" s="1"/>
  <c r="I467" i="1"/>
  <c r="J467" i="1" s="1"/>
  <c r="K467" i="1" s="1"/>
  <c r="I660" i="1"/>
  <c r="J660" i="1" s="1"/>
  <c r="I259" i="1"/>
  <c r="J259" i="1" s="1"/>
  <c r="I353" i="1"/>
  <c r="J353" i="1" s="1"/>
  <c r="K353" i="1" s="1"/>
  <c r="I647" i="1"/>
  <c r="J647" i="1" s="1"/>
  <c r="K647" i="1" s="1"/>
  <c r="I482" i="1"/>
  <c r="J482" i="1" s="1"/>
  <c r="K482" i="1" s="1"/>
  <c r="I138" i="1"/>
  <c r="J138" i="1" s="1"/>
  <c r="K138" i="1" s="1"/>
  <c r="I321" i="1"/>
  <c r="J321" i="1" s="1"/>
  <c r="K321" i="1" s="1"/>
  <c r="I644" i="1"/>
  <c r="J644" i="1" s="1"/>
  <c r="K644" i="1" s="1"/>
  <c r="I383" i="1"/>
  <c r="J383" i="1" s="1"/>
  <c r="K383" i="1" s="1"/>
  <c r="I349" i="1"/>
  <c r="J349" i="1" s="1"/>
  <c r="K349" i="1" s="1"/>
  <c r="I425" i="1"/>
  <c r="J425" i="1" s="1"/>
  <c r="K425" i="1" s="1"/>
  <c r="I304" i="1"/>
  <c r="J304" i="1" s="1"/>
  <c r="K304" i="1" s="1"/>
  <c r="I194" i="1"/>
  <c r="J194" i="1" s="1"/>
  <c r="K194" i="1" s="1"/>
  <c r="I152" i="1"/>
  <c r="J152" i="1" s="1"/>
  <c r="K152" i="1" s="1"/>
  <c r="I384" i="1"/>
  <c r="J384" i="1" s="1"/>
  <c r="K384" i="1" s="1"/>
  <c r="I276" i="1"/>
  <c r="J276" i="1" s="1"/>
  <c r="K276" i="1" s="1"/>
  <c r="I429" i="1"/>
  <c r="J429" i="1" s="1"/>
  <c r="K429" i="1" s="1"/>
  <c r="I303" i="1"/>
  <c r="J303" i="1" s="1"/>
  <c r="K303" i="1" s="1"/>
  <c r="I60" i="1"/>
  <c r="J60" i="1" s="1"/>
  <c r="I59" i="1"/>
  <c r="I223" i="1"/>
  <c r="J223" i="1" s="1"/>
  <c r="K223" i="1" s="1"/>
  <c r="I153" i="1"/>
  <c r="J153" i="1" s="1"/>
  <c r="K153" i="1" s="1"/>
  <c r="I401" i="1"/>
  <c r="J401" i="1" s="1"/>
  <c r="K401" i="1" s="1"/>
  <c r="I195" i="1"/>
  <c r="J195" i="1" s="1"/>
  <c r="K195" i="1" s="1"/>
  <c r="I113" i="1"/>
  <c r="J113" i="1" s="1"/>
  <c r="K113" i="1" s="1"/>
  <c r="I267" i="1"/>
  <c r="J267" i="1" s="1"/>
  <c r="K267" i="1" s="1"/>
  <c r="I77" i="1"/>
  <c r="J77" i="1" s="1"/>
  <c r="I489" i="1"/>
  <c r="J489" i="1" s="1"/>
  <c r="K489" i="1" s="1"/>
  <c r="I196" i="1"/>
  <c r="J196" i="1" s="1"/>
  <c r="K196" i="1" s="1"/>
  <c r="I402" i="1"/>
  <c r="J402" i="1" s="1"/>
  <c r="K402" i="1" s="1"/>
  <c r="I154" i="1"/>
  <c r="J154" i="1" s="1"/>
  <c r="K154" i="1" s="1"/>
  <c r="I319" i="1"/>
  <c r="J319" i="1" s="1"/>
  <c r="K319" i="1" s="1"/>
  <c r="I236" i="1"/>
  <c r="J236" i="1" s="1"/>
  <c r="K236" i="1" s="1"/>
  <c r="I528" i="1"/>
  <c r="J528" i="1" s="1"/>
  <c r="K528" i="1" s="1"/>
  <c r="I559" i="1"/>
  <c r="J559" i="1" s="1"/>
  <c r="K559" i="1" s="1"/>
  <c r="I390" i="1"/>
  <c r="J390" i="1" s="1"/>
  <c r="K390" i="1" s="1"/>
  <c r="I362" i="1"/>
  <c r="J362" i="1" s="1"/>
  <c r="K362" i="1" s="1"/>
  <c r="I516" i="1"/>
  <c r="J516" i="1" s="1"/>
  <c r="K516" i="1" s="1"/>
  <c r="I481" i="1"/>
  <c r="J481" i="1" s="1"/>
  <c r="K481" i="1" s="1"/>
  <c r="I76" i="1"/>
  <c r="J76" i="1" s="1"/>
  <c r="I523" i="1"/>
  <c r="J523" i="1" s="1"/>
  <c r="K523" i="1" s="1"/>
  <c r="I198" i="1"/>
  <c r="J198" i="1" s="1"/>
  <c r="K198" i="1" s="1"/>
  <c r="I238" i="1"/>
  <c r="J238" i="1" s="1"/>
  <c r="K238" i="1" s="1"/>
  <c r="I572" i="1"/>
  <c r="J572" i="1" s="1"/>
  <c r="K572" i="1" s="1"/>
  <c r="I226" i="1"/>
  <c r="J226" i="1" s="1"/>
  <c r="K226" i="1" s="1"/>
  <c r="I314" i="1"/>
  <c r="J314" i="1" s="1"/>
  <c r="K314" i="1" s="1"/>
  <c r="I480" i="1"/>
  <c r="J480" i="1" s="1"/>
  <c r="K480" i="1" s="1"/>
  <c r="I608" i="1"/>
  <c r="J608" i="1" s="1"/>
  <c r="K608" i="1" s="1"/>
  <c r="I780" i="1"/>
  <c r="J780" i="1" s="1"/>
  <c r="K780" i="1" s="1"/>
  <c r="I786" i="1"/>
  <c r="J786" i="1" s="1"/>
  <c r="K786" i="1" s="1"/>
  <c r="I784" i="1"/>
  <c r="J784" i="1" s="1"/>
  <c r="K784" i="1" s="1"/>
  <c r="I794" i="1"/>
  <c r="J794" i="1" s="1"/>
  <c r="K794" i="1" s="1"/>
  <c r="I790" i="1"/>
  <c r="J790" i="1" s="1"/>
  <c r="K790" i="1" s="1"/>
  <c r="I792" i="1"/>
  <c r="J792" i="1" s="1"/>
  <c r="K792" i="1" s="1"/>
  <c r="I848" i="1"/>
  <c r="I38" i="1" s="1"/>
  <c r="I828" i="1"/>
  <c r="J828" i="1" s="1"/>
  <c r="K828" i="1" s="1"/>
  <c r="I841" i="1"/>
  <c r="J841" i="1" s="1"/>
  <c r="K841" i="1" s="1"/>
  <c r="I821" i="1"/>
  <c r="J821" i="1" s="1"/>
  <c r="K821" i="1" s="1"/>
  <c r="I824" i="1"/>
  <c r="J824" i="1" s="1"/>
  <c r="K824" i="1" s="1"/>
  <c r="I826" i="1"/>
  <c r="J826" i="1" s="1"/>
  <c r="K826" i="1" s="1"/>
  <c r="I731" i="1"/>
  <c r="J731" i="1" s="1"/>
  <c r="K731" i="1" s="1"/>
  <c r="I742" i="1"/>
  <c r="J742" i="1" s="1"/>
  <c r="K742" i="1" s="1"/>
  <c r="I733" i="1"/>
  <c r="J733" i="1" s="1"/>
  <c r="K733" i="1" s="1"/>
  <c r="I740" i="1"/>
  <c r="J740" i="1" s="1"/>
  <c r="K740" i="1" s="1"/>
  <c r="I738" i="1"/>
  <c r="J738" i="1" s="1"/>
  <c r="K738" i="1" s="1"/>
  <c r="I726" i="1"/>
  <c r="J726" i="1" s="1"/>
  <c r="I704" i="1"/>
  <c r="J704" i="1" s="1"/>
  <c r="K704" i="1" s="1"/>
  <c r="I701" i="1"/>
  <c r="J701" i="1" s="1"/>
  <c r="K701" i="1" s="1"/>
  <c r="I698" i="1"/>
  <c r="J698" i="1" s="1"/>
  <c r="K698" i="1" s="1"/>
  <c r="I695" i="1"/>
  <c r="J695" i="1" s="1"/>
  <c r="K695" i="1" s="1"/>
  <c r="I682" i="1"/>
  <c r="J682" i="1" s="1"/>
  <c r="K682" i="1" s="1"/>
  <c r="I158" i="1"/>
  <c r="J158" i="1" s="1"/>
  <c r="K158" i="1" s="1"/>
  <c r="I520" i="1"/>
  <c r="J520" i="1" s="1"/>
  <c r="K520" i="1" s="1"/>
  <c r="I189" i="1"/>
  <c r="J189" i="1" s="1"/>
  <c r="K189" i="1" s="1"/>
  <c r="I274" i="1"/>
  <c r="J274" i="1" s="1"/>
  <c r="K274" i="1" s="1"/>
  <c r="I63" i="1"/>
  <c r="J63" i="1" s="1"/>
  <c r="I306" i="1"/>
  <c r="J306" i="1" s="1"/>
  <c r="K306" i="1" s="1"/>
  <c r="I596" i="1"/>
  <c r="J596" i="1" s="1"/>
  <c r="K596" i="1" s="1"/>
  <c r="I560" i="1"/>
  <c r="J560" i="1" s="1"/>
  <c r="K560" i="1" s="1"/>
  <c r="I115" i="1"/>
  <c r="J115" i="1" s="1"/>
  <c r="K115" i="1" s="1"/>
  <c r="I514" i="1"/>
  <c r="J514" i="1" s="1"/>
  <c r="K514" i="1" s="1"/>
  <c r="I265" i="1"/>
  <c r="J265" i="1" s="1"/>
  <c r="K265" i="1" s="1"/>
  <c r="I394" i="1"/>
  <c r="J394" i="1" s="1"/>
  <c r="K394" i="1" s="1"/>
  <c r="I430" i="1"/>
  <c r="J430" i="1" s="1"/>
  <c r="K430" i="1" s="1"/>
  <c r="I69" i="1"/>
  <c r="J69" i="1" s="1"/>
  <c r="I111" i="1"/>
  <c r="J111" i="1" s="1"/>
  <c r="K111" i="1" s="1"/>
  <c r="I594" i="1"/>
  <c r="J594" i="1" s="1"/>
  <c r="K594" i="1" s="1"/>
  <c r="I356" i="1"/>
  <c r="J356" i="1" s="1"/>
  <c r="K356" i="1" s="1"/>
  <c r="I473" i="1"/>
  <c r="J473" i="1" s="1"/>
  <c r="K473" i="1" s="1"/>
  <c r="I110" i="1"/>
  <c r="J110" i="1" s="1"/>
  <c r="K110" i="1" s="1"/>
  <c r="I448" i="1"/>
  <c r="J448" i="1" s="1"/>
  <c r="K448" i="1" s="1"/>
  <c r="I646" i="1"/>
  <c r="J646" i="1" s="1"/>
  <c r="K646" i="1" s="1"/>
  <c r="I645" i="1"/>
  <c r="J645" i="1" s="1"/>
  <c r="K645" i="1" s="1"/>
  <c r="I388" i="1"/>
  <c r="J388" i="1" s="1"/>
  <c r="K388" i="1" s="1"/>
  <c r="I70" i="1"/>
  <c r="J70" i="1" s="1"/>
  <c r="I364" i="1"/>
  <c r="J364" i="1" s="1"/>
  <c r="K364" i="1" s="1"/>
  <c r="I188" i="1"/>
  <c r="J188" i="1" s="1"/>
  <c r="K188" i="1" s="1"/>
  <c r="I345" i="1"/>
  <c r="J345" i="1" s="1"/>
  <c r="K345" i="1" s="1"/>
  <c r="I182" i="1"/>
  <c r="J182" i="1" s="1"/>
  <c r="K182" i="1" s="1"/>
  <c r="I472" i="1"/>
  <c r="J472" i="1" s="1"/>
  <c r="K472" i="1" s="1"/>
  <c r="I99" i="1"/>
  <c r="J99" i="1" s="1"/>
  <c r="K99" i="1" s="1"/>
  <c r="I58" i="1"/>
  <c r="J58" i="1" s="1"/>
  <c r="I146" i="1"/>
  <c r="J146" i="1" s="1"/>
  <c r="K146" i="1" s="1"/>
  <c r="I554" i="1"/>
  <c r="J554" i="1" s="1"/>
  <c r="K554" i="1" s="1"/>
  <c r="I427" i="1"/>
  <c r="J427" i="1" s="1"/>
  <c r="I232" i="1"/>
  <c r="J232" i="1" s="1"/>
  <c r="K232" i="1" s="1"/>
  <c r="I526" i="1"/>
  <c r="J526" i="1" s="1"/>
  <c r="K526" i="1" s="1"/>
  <c r="I385" i="1"/>
  <c r="J385" i="1" s="1"/>
  <c r="I637" i="1"/>
  <c r="J637" i="1" s="1"/>
  <c r="K637" i="1" s="1"/>
  <c r="I177" i="1"/>
  <c r="J177" i="1" s="1"/>
  <c r="I400" i="1"/>
  <c r="J400" i="1" s="1"/>
  <c r="K400" i="1" s="1"/>
  <c r="I221" i="1"/>
  <c r="J221" i="1" s="1"/>
  <c r="K221" i="1" s="1"/>
  <c r="I513" i="1"/>
  <c r="J513" i="1" s="1"/>
  <c r="K513" i="1" s="1"/>
  <c r="I555" i="1"/>
  <c r="J555" i="1" s="1"/>
  <c r="K555" i="1" s="1"/>
  <c r="I639" i="1"/>
  <c r="J639" i="1" s="1"/>
  <c r="K639" i="1" s="1"/>
  <c r="I141" i="1"/>
  <c r="J141" i="1" s="1"/>
  <c r="K141" i="1" s="1"/>
  <c r="I597" i="1"/>
  <c r="J597" i="1" s="1"/>
  <c r="K597" i="1" s="1"/>
  <c r="I74" i="1"/>
  <c r="J74" i="1" s="1"/>
  <c r="I486" i="1"/>
  <c r="J486" i="1" s="1"/>
  <c r="K486" i="1" s="1"/>
  <c r="J85" i="9"/>
  <c r="L85" i="9" s="1"/>
  <c r="N85" i="9" s="1"/>
  <c r="I39" i="1" l="1"/>
  <c r="I36" i="1"/>
  <c r="I37" i="1"/>
  <c r="I32" i="1"/>
  <c r="I34" i="1"/>
  <c r="I35" i="1"/>
  <c r="J14" i="1"/>
  <c r="I29" i="1"/>
  <c r="I10" i="1"/>
  <c r="I533" i="1"/>
  <c r="F537" i="1" s="1"/>
  <c r="G537" i="1" s="1"/>
  <c r="G538" i="1" s="1"/>
  <c r="J59" i="1"/>
  <c r="J10" i="1" s="1"/>
  <c r="J850" i="1"/>
  <c r="J40" i="1" s="1"/>
  <c r="J848" i="1"/>
  <c r="J38" i="1" s="1"/>
  <c r="J852" i="1"/>
  <c r="K852" i="1" s="1"/>
  <c r="K42" i="1" s="1"/>
  <c r="I449" i="1"/>
  <c r="F453" i="1" s="1"/>
  <c r="G453" i="1" s="1"/>
  <c r="G454" i="1" s="1"/>
  <c r="I79" i="1"/>
  <c r="F83" i="1" s="1"/>
  <c r="I241" i="1"/>
  <c r="F245" i="1" s="1"/>
  <c r="H246" i="1" s="1"/>
  <c r="I119" i="1"/>
  <c r="F123" i="1" s="1"/>
  <c r="G123" i="1" s="1"/>
  <c r="G124" i="1" s="1"/>
  <c r="I491" i="1"/>
  <c r="F495" i="1" s="1"/>
  <c r="G495" i="1" s="1"/>
  <c r="G496" i="1" s="1"/>
  <c r="I24" i="1"/>
  <c r="J11" i="1"/>
  <c r="J26" i="1"/>
  <c r="I41" i="1"/>
  <c r="I21" i="1"/>
  <c r="J20" i="1"/>
  <c r="I159" i="1"/>
  <c r="F163" i="1" s="1"/>
  <c r="H164" i="1" s="1"/>
  <c r="I15" i="1"/>
  <c r="J33" i="1"/>
  <c r="I662" i="1"/>
  <c r="F666" i="1" s="1"/>
  <c r="H667" i="1" s="1"/>
  <c r="I201" i="1"/>
  <c r="F205" i="1" s="1"/>
  <c r="G205" i="1" s="1"/>
  <c r="G206" i="1" s="1"/>
  <c r="J32" i="1"/>
  <c r="I853" i="1"/>
  <c r="F857" i="1" s="1"/>
  <c r="G857" i="1" s="1"/>
  <c r="G858" i="1" s="1"/>
  <c r="I800" i="1"/>
  <c r="F804" i="1" s="1"/>
  <c r="G804" i="1" s="1"/>
  <c r="G805" i="1" s="1"/>
  <c r="J71" i="1"/>
  <c r="J24" i="1" s="1"/>
  <c r="J25" i="1"/>
  <c r="I12" i="1"/>
  <c r="I26" i="1"/>
  <c r="J28" i="1"/>
  <c r="I18" i="1"/>
  <c r="I31" i="1"/>
  <c r="J31" i="1"/>
  <c r="I283" i="1"/>
  <c r="F287" i="1" s="1"/>
  <c r="G287" i="1" s="1"/>
  <c r="G288" i="1" s="1"/>
  <c r="I325" i="1"/>
  <c r="F329" i="1" s="1"/>
  <c r="G329" i="1" s="1"/>
  <c r="G330" i="1" s="1"/>
  <c r="J12" i="1"/>
  <c r="J661" i="1"/>
  <c r="J34" i="1" s="1"/>
  <c r="J19" i="1"/>
  <c r="J16" i="1"/>
  <c r="J17" i="1"/>
  <c r="J9" i="1"/>
  <c r="I407" i="1"/>
  <c r="F411" i="1" s="1"/>
  <c r="G411" i="1" s="1"/>
  <c r="G412" i="1" s="1"/>
  <c r="J27" i="1"/>
  <c r="J29" i="1"/>
  <c r="I575" i="1"/>
  <c r="F579" i="1" s="1"/>
  <c r="G579" i="1" s="1"/>
  <c r="G580" i="1" s="1"/>
  <c r="J707" i="1"/>
  <c r="J35" i="1" s="1"/>
  <c r="I8" i="1"/>
  <c r="I13" i="1"/>
  <c r="I16" i="1"/>
  <c r="I20" i="1"/>
  <c r="I28" i="1"/>
  <c r="J18" i="1"/>
  <c r="J15" i="1"/>
  <c r="I365" i="1"/>
  <c r="F369" i="1" s="1"/>
  <c r="G369" i="1" s="1"/>
  <c r="G370" i="1" s="1"/>
  <c r="I754" i="1"/>
  <c r="F758" i="1" s="1"/>
  <c r="H759" i="1" s="1"/>
  <c r="I14" i="1"/>
  <c r="I19" i="1"/>
  <c r="I23" i="1"/>
  <c r="I25" i="1"/>
  <c r="I33" i="1"/>
  <c r="I617" i="1"/>
  <c r="F621" i="1" s="1"/>
  <c r="H622" i="1" s="1"/>
  <c r="J22" i="1"/>
  <c r="J23" i="1"/>
  <c r="J13" i="1"/>
  <c r="J21" i="1"/>
  <c r="J30" i="1"/>
  <c r="I708" i="1"/>
  <c r="F712" i="1" s="1"/>
  <c r="G712" i="1" s="1"/>
  <c r="G713" i="1" s="1"/>
  <c r="I9" i="1"/>
  <c r="I11" i="1"/>
  <c r="I17" i="1"/>
  <c r="I22" i="1"/>
  <c r="I27" i="1"/>
  <c r="I30" i="1"/>
  <c r="H288" i="1"/>
  <c r="H496" i="1"/>
  <c r="H858" i="1"/>
  <c r="J8" i="1"/>
  <c r="J800" i="1"/>
  <c r="K772" i="1"/>
  <c r="K851" i="1"/>
  <c r="K41" i="1" s="1"/>
  <c r="J41" i="1"/>
  <c r="K846" i="1"/>
  <c r="K36" i="1" s="1"/>
  <c r="J36" i="1"/>
  <c r="K849" i="1"/>
  <c r="K39" i="1" s="1"/>
  <c r="J39" i="1"/>
  <c r="K847" i="1"/>
  <c r="K37" i="1" s="1"/>
  <c r="J37" i="1"/>
  <c r="J853" i="1"/>
  <c r="K818" i="1"/>
  <c r="J89" i="9"/>
  <c r="L89" i="9" s="1"/>
  <c r="N89" i="9" s="1"/>
  <c r="J88" i="9"/>
  <c r="L88" i="9" s="1"/>
  <c r="N88" i="9" s="1"/>
  <c r="J87" i="9"/>
  <c r="L87" i="9" s="1"/>
  <c r="N87" i="9" s="1"/>
  <c r="J86" i="9"/>
  <c r="L86" i="9" s="1"/>
  <c r="N86" i="9" s="1"/>
  <c r="J754" i="1"/>
  <c r="K726" i="1"/>
  <c r="J708" i="1"/>
  <c r="K680" i="1"/>
  <c r="J283" i="1"/>
  <c r="K259" i="1"/>
  <c r="K67" i="1"/>
  <c r="K18" i="1" s="1"/>
  <c r="K61" i="1"/>
  <c r="K12" i="1" s="1"/>
  <c r="K635" i="1"/>
  <c r="K66" i="1"/>
  <c r="K17" i="1" s="1"/>
  <c r="K58" i="1"/>
  <c r="K9" i="1" s="1"/>
  <c r="K74" i="1"/>
  <c r="K27" i="1" s="1"/>
  <c r="K73" i="1"/>
  <c r="K26" i="1" s="1"/>
  <c r="J241" i="1"/>
  <c r="K219" i="1"/>
  <c r="K57" i="1"/>
  <c r="J533" i="1"/>
  <c r="K511" i="1"/>
  <c r="K70" i="1"/>
  <c r="K23" i="1" s="1"/>
  <c r="K190" i="1"/>
  <c r="K21" i="1" s="1"/>
  <c r="J159" i="1"/>
  <c r="K137" i="1"/>
  <c r="J449" i="1"/>
  <c r="K427" i="1"/>
  <c r="K75" i="1"/>
  <c r="K28" i="1" s="1"/>
  <c r="K69" i="1"/>
  <c r="K20" i="1" s="1"/>
  <c r="J575" i="1"/>
  <c r="K553" i="1"/>
  <c r="J365" i="1"/>
  <c r="K343" i="1"/>
  <c r="K659" i="1"/>
  <c r="K32" i="1" s="1"/>
  <c r="K78" i="1"/>
  <c r="K31" i="1" s="1"/>
  <c r="J325" i="1"/>
  <c r="K301" i="1"/>
  <c r="K68" i="1"/>
  <c r="K19" i="1" s="1"/>
  <c r="K62" i="1"/>
  <c r="K13" i="1" s="1"/>
  <c r="K60" i="1"/>
  <c r="K11" i="1" s="1"/>
  <c r="K65" i="1"/>
  <c r="K16" i="1" s="1"/>
  <c r="K77" i="1"/>
  <c r="K30" i="1" s="1"/>
  <c r="J119" i="1"/>
  <c r="K97" i="1"/>
  <c r="J617" i="1"/>
  <c r="K595" i="1"/>
  <c r="K191" i="1"/>
  <c r="K22" i="1" s="1"/>
  <c r="K63" i="1"/>
  <c r="K14" i="1" s="1"/>
  <c r="K660" i="1"/>
  <c r="K33" i="1" s="1"/>
  <c r="J407" i="1"/>
  <c r="K385" i="1"/>
  <c r="J201" i="1"/>
  <c r="K177" i="1"/>
  <c r="K64" i="1"/>
  <c r="K15" i="1" s="1"/>
  <c r="K76" i="1"/>
  <c r="K29" i="1" s="1"/>
  <c r="K72" i="1"/>
  <c r="K25" i="1" s="1"/>
  <c r="J491" i="1"/>
  <c r="K469" i="1"/>
  <c r="K850" i="1" l="1"/>
  <c r="K40" i="1" s="1"/>
  <c r="H454" i="1"/>
  <c r="G245" i="1"/>
  <c r="G246" i="1" s="1"/>
  <c r="H124" i="1"/>
  <c r="K661" i="1"/>
  <c r="K34" i="1" s="1"/>
  <c r="K848" i="1"/>
  <c r="K38" i="1" s="1"/>
  <c r="G163" i="1"/>
  <c r="G164" i="1" s="1"/>
  <c r="H370" i="1"/>
  <c r="J42" i="1"/>
  <c r="J43" i="1" s="1"/>
  <c r="H538" i="1"/>
  <c r="H206" i="1"/>
  <c r="G666" i="1"/>
  <c r="G667" i="1" s="1"/>
  <c r="H412" i="1"/>
  <c r="K707" i="1"/>
  <c r="K35" i="1" s="1"/>
  <c r="K71" i="1"/>
  <c r="K24" i="1" s="1"/>
  <c r="J79" i="1"/>
  <c r="K59" i="1"/>
  <c r="K10" i="1" s="1"/>
  <c r="G621" i="1"/>
  <c r="G622" i="1" s="1"/>
  <c r="J662" i="1"/>
  <c r="H805" i="1"/>
  <c r="H580" i="1"/>
  <c r="I43" i="1"/>
  <c r="I867" i="1"/>
  <c r="D3" i="8" s="1"/>
  <c r="G758" i="1"/>
  <c r="G759" i="1" s="1"/>
  <c r="H713" i="1"/>
  <c r="H330" i="1"/>
  <c r="F863" i="1"/>
  <c r="H84" i="1"/>
  <c r="G83" i="1"/>
  <c r="G84" i="1" s="1"/>
  <c r="K8" i="1"/>
  <c r="K800" i="1"/>
  <c r="K853" i="1"/>
  <c r="N95" i="9"/>
  <c r="L95" i="9"/>
  <c r="K754" i="1"/>
  <c r="K708" i="1"/>
  <c r="K407" i="1"/>
  <c r="K241" i="1"/>
  <c r="K617" i="1"/>
  <c r="K365" i="1"/>
  <c r="K449" i="1"/>
  <c r="K491" i="1"/>
  <c r="K201" i="1"/>
  <c r="K283" i="1"/>
  <c r="B23" i="5" s="1"/>
  <c r="K119" i="1"/>
  <c r="K325" i="1"/>
  <c r="K575" i="1"/>
  <c r="K159" i="1"/>
  <c r="K533" i="1"/>
  <c r="K662" i="1" l="1"/>
  <c r="J867" i="1"/>
  <c r="D7" i="8" s="1"/>
  <c r="E9" i="8" s="1"/>
  <c r="K79" i="1"/>
  <c r="B26" i="6" s="1"/>
  <c r="K43" i="1"/>
  <c r="G863" i="1"/>
  <c r="G864" i="1" s="1"/>
  <c r="H864" i="1"/>
  <c r="K870" i="1"/>
  <c r="L97" i="9"/>
  <c r="K869" i="1" l="1"/>
  <c r="K867" i="1"/>
  <c r="C26" i="6"/>
  <c r="C23" i="5"/>
  <c r="B24" i="5" s="1"/>
  <c r="K871" i="1" l="1"/>
  <c r="C24" i="5"/>
  <c r="B25" i="5" s="1"/>
  <c r="B27" i="6"/>
  <c r="C25" i="5" l="1"/>
  <c r="B26" i="5" s="1"/>
  <c r="C27" i="6"/>
  <c r="C26" i="5" l="1"/>
  <c r="B27" i="5" s="1"/>
  <c r="B28" i="6"/>
  <c r="C28" i="6" l="1"/>
  <c r="B29" i="6" s="1"/>
  <c r="C27" i="5"/>
  <c r="B28" i="5" s="1"/>
  <c r="C28" i="5" l="1"/>
  <c r="B29" i="5" s="1"/>
  <c r="C29" i="6"/>
  <c r="B30" i="6" s="1"/>
  <c r="C30" i="6" l="1"/>
  <c r="B31" i="6" s="1"/>
  <c r="C29" i="5"/>
  <c r="B30" i="5" s="1"/>
  <c r="C30" i="5" s="1"/>
  <c r="C31" i="5" s="1"/>
  <c r="B5" i="5" s="1"/>
  <c r="J10" i="5" l="1"/>
  <c r="J7" i="5"/>
  <c r="J11" i="5"/>
  <c r="J8" i="5"/>
  <c r="J12" i="5"/>
  <c r="J9" i="5"/>
  <c r="J13" i="5"/>
  <c r="J6" i="5"/>
  <c r="J14" i="5"/>
  <c r="C31" i="6"/>
  <c r="B32" i="6" s="1"/>
  <c r="L573" i="1" l="1"/>
  <c r="L569" i="1"/>
  <c r="L565" i="1"/>
  <c r="L561" i="1"/>
  <c r="L557" i="1"/>
  <c r="L553" i="1"/>
  <c r="L570" i="1"/>
  <c r="L558" i="1"/>
  <c r="L572" i="1"/>
  <c r="L568" i="1"/>
  <c r="L564" i="1"/>
  <c r="L560" i="1"/>
  <c r="L556" i="1"/>
  <c r="L552" i="1"/>
  <c r="L566" i="1"/>
  <c r="L554" i="1"/>
  <c r="L571" i="1"/>
  <c r="L567" i="1"/>
  <c r="L563" i="1"/>
  <c r="L559" i="1"/>
  <c r="L555" i="1"/>
  <c r="L551" i="1"/>
  <c r="L574" i="1"/>
  <c r="L562" i="1"/>
  <c r="L819" i="1"/>
  <c r="L823" i="1"/>
  <c r="L827" i="1"/>
  <c r="L831" i="1"/>
  <c r="L835" i="1"/>
  <c r="L839" i="1"/>
  <c r="L843" i="1"/>
  <c r="L847" i="1"/>
  <c r="L851" i="1"/>
  <c r="L822" i="1"/>
  <c r="L838" i="1"/>
  <c r="L850" i="1"/>
  <c r="L820" i="1"/>
  <c r="L824" i="1"/>
  <c r="L828" i="1"/>
  <c r="L832" i="1"/>
  <c r="L836" i="1"/>
  <c r="L840" i="1"/>
  <c r="L844" i="1"/>
  <c r="L848" i="1"/>
  <c r="L852" i="1"/>
  <c r="L842" i="1"/>
  <c r="L821" i="1"/>
  <c r="L825" i="1"/>
  <c r="L829" i="1"/>
  <c r="L833" i="1"/>
  <c r="L837" i="1"/>
  <c r="L841" i="1"/>
  <c r="L845" i="1"/>
  <c r="L849" i="1"/>
  <c r="L818" i="1"/>
  <c r="L826" i="1"/>
  <c r="L830" i="1"/>
  <c r="L834" i="1"/>
  <c r="L846" i="1"/>
  <c r="L595" i="1"/>
  <c r="L599" i="1"/>
  <c r="L603" i="1"/>
  <c r="L607" i="1"/>
  <c r="L611" i="1"/>
  <c r="L615" i="1"/>
  <c r="L598" i="1"/>
  <c r="L610" i="1"/>
  <c r="L596" i="1"/>
  <c r="L600" i="1"/>
  <c r="L604" i="1"/>
  <c r="L608" i="1"/>
  <c r="L612" i="1"/>
  <c r="L616" i="1"/>
  <c r="L602" i="1"/>
  <c r="L614" i="1"/>
  <c r="L597" i="1"/>
  <c r="L601" i="1"/>
  <c r="L605" i="1"/>
  <c r="L609" i="1"/>
  <c r="L613" i="1"/>
  <c r="L593" i="1"/>
  <c r="L594" i="1"/>
  <c r="L606" i="1"/>
  <c r="L511" i="1"/>
  <c r="L515" i="1"/>
  <c r="L519" i="1"/>
  <c r="L523" i="1"/>
  <c r="L527" i="1"/>
  <c r="L531" i="1"/>
  <c r="L518" i="1"/>
  <c r="L512" i="1"/>
  <c r="L516" i="1"/>
  <c r="L520" i="1"/>
  <c r="L524" i="1"/>
  <c r="L528" i="1"/>
  <c r="L532" i="1"/>
  <c r="L514" i="1"/>
  <c r="L526" i="1"/>
  <c r="L530" i="1"/>
  <c r="L513" i="1"/>
  <c r="L517" i="1"/>
  <c r="L521" i="1"/>
  <c r="L525" i="1"/>
  <c r="L529" i="1"/>
  <c r="L509" i="1"/>
  <c r="L510" i="1"/>
  <c r="L522" i="1"/>
  <c r="L728" i="1"/>
  <c r="L732" i="1"/>
  <c r="L736" i="1"/>
  <c r="L740" i="1"/>
  <c r="L744" i="1"/>
  <c r="L748" i="1"/>
  <c r="L752" i="1"/>
  <c r="L731" i="1"/>
  <c r="L735" i="1"/>
  <c r="L747" i="1"/>
  <c r="L729" i="1"/>
  <c r="L733" i="1"/>
  <c r="L737" i="1"/>
  <c r="L741" i="1"/>
  <c r="L745" i="1"/>
  <c r="L749" i="1"/>
  <c r="L753" i="1"/>
  <c r="L727" i="1"/>
  <c r="L739" i="1"/>
  <c r="L751" i="1"/>
  <c r="L730" i="1"/>
  <c r="L734" i="1"/>
  <c r="L738" i="1"/>
  <c r="L742" i="1"/>
  <c r="L746" i="1"/>
  <c r="L750" i="1"/>
  <c r="L726" i="1"/>
  <c r="L743" i="1"/>
  <c r="L774" i="1"/>
  <c r="L778" i="1"/>
  <c r="L782" i="1"/>
  <c r="L786" i="1"/>
  <c r="L790" i="1"/>
  <c r="L794" i="1"/>
  <c r="L798" i="1"/>
  <c r="L773" i="1"/>
  <c r="L793" i="1"/>
  <c r="L775" i="1"/>
  <c r="L779" i="1"/>
  <c r="L783" i="1"/>
  <c r="L787" i="1"/>
  <c r="L791" i="1"/>
  <c r="L795" i="1"/>
  <c r="L799" i="1"/>
  <c r="L777" i="1"/>
  <c r="L789" i="1"/>
  <c r="L776" i="1"/>
  <c r="L780" i="1"/>
  <c r="L784" i="1"/>
  <c r="L788" i="1"/>
  <c r="L792" i="1"/>
  <c r="L796" i="1"/>
  <c r="L772" i="1"/>
  <c r="L781" i="1"/>
  <c r="L785" i="1"/>
  <c r="L797" i="1"/>
  <c r="L682" i="1"/>
  <c r="M682" i="1" s="1"/>
  <c r="L686" i="1"/>
  <c r="M686" i="1" s="1"/>
  <c r="L690" i="1"/>
  <c r="M690" i="1" s="1"/>
  <c r="L694" i="1"/>
  <c r="M694" i="1" s="1"/>
  <c r="L698" i="1"/>
  <c r="M698" i="1" s="1"/>
  <c r="L702" i="1"/>
  <c r="M702" i="1" s="1"/>
  <c r="L706" i="1"/>
  <c r="M706" i="1" s="1"/>
  <c r="L685" i="1"/>
  <c r="M685" i="1" s="1"/>
  <c r="L701" i="1"/>
  <c r="M701" i="1" s="1"/>
  <c r="L683" i="1"/>
  <c r="M683" i="1" s="1"/>
  <c r="L687" i="1"/>
  <c r="M687" i="1" s="1"/>
  <c r="L691" i="1"/>
  <c r="M691" i="1" s="1"/>
  <c r="L695" i="1"/>
  <c r="M695" i="1" s="1"/>
  <c r="L699" i="1"/>
  <c r="M699" i="1" s="1"/>
  <c r="L703" i="1"/>
  <c r="M703" i="1" s="1"/>
  <c r="L707" i="1"/>
  <c r="L689" i="1"/>
  <c r="M689" i="1" s="1"/>
  <c r="L693" i="1"/>
  <c r="M693" i="1" s="1"/>
  <c r="L705" i="1"/>
  <c r="M705" i="1" s="1"/>
  <c r="L684" i="1"/>
  <c r="M684" i="1" s="1"/>
  <c r="L688" i="1"/>
  <c r="M688" i="1" s="1"/>
  <c r="L692" i="1"/>
  <c r="M692" i="1" s="1"/>
  <c r="L696" i="1"/>
  <c r="M696" i="1" s="1"/>
  <c r="L700" i="1"/>
  <c r="M700" i="1" s="1"/>
  <c r="L704" i="1"/>
  <c r="M704" i="1" s="1"/>
  <c r="L680" i="1"/>
  <c r="L681" i="1"/>
  <c r="M681" i="1" s="1"/>
  <c r="L697" i="1"/>
  <c r="M697" i="1" s="1"/>
  <c r="L263" i="1"/>
  <c r="L267" i="1"/>
  <c r="L271" i="1"/>
  <c r="L275" i="1"/>
  <c r="L279" i="1"/>
  <c r="L259" i="1"/>
  <c r="L265" i="1"/>
  <c r="L269" i="1"/>
  <c r="L273" i="1"/>
  <c r="L281" i="1"/>
  <c r="L266" i="1"/>
  <c r="L270" i="1"/>
  <c r="L278" i="1"/>
  <c r="L260" i="1"/>
  <c r="L264" i="1"/>
  <c r="L268" i="1"/>
  <c r="L272" i="1"/>
  <c r="L276" i="1"/>
  <c r="L280" i="1"/>
  <c r="L261" i="1"/>
  <c r="L277" i="1"/>
  <c r="L262" i="1"/>
  <c r="L274" i="1"/>
  <c r="L282" i="1"/>
  <c r="C32" i="6"/>
  <c r="B33" i="6" s="1"/>
  <c r="C33" i="6" s="1"/>
  <c r="C34" i="6" s="1"/>
  <c r="B5" i="6" s="1"/>
  <c r="J16" i="6" s="1"/>
  <c r="J15" i="5"/>
  <c r="L708" i="1" l="1"/>
  <c r="M707" i="1"/>
  <c r="M680" i="1"/>
  <c r="M708" i="1" s="1"/>
  <c r="J15" i="6"/>
  <c r="J13" i="6"/>
  <c r="J14" i="6"/>
  <c r="J12" i="6"/>
  <c r="J11" i="6"/>
  <c r="J8" i="6"/>
  <c r="J9" i="6"/>
  <c r="J5" i="6"/>
  <c r="J7" i="6"/>
  <c r="J10" i="6"/>
  <c r="J6" i="6"/>
  <c r="L385" i="1" l="1"/>
  <c r="L389" i="1"/>
  <c r="M389" i="1" s="1"/>
  <c r="L393" i="1"/>
  <c r="M393" i="1" s="1"/>
  <c r="L397" i="1"/>
  <c r="M397" i="1" s="1"/>
  <c r="L401" i="1"/>
  <c r="M401" i="1" s="1"/>
  <c r="L405" i="1"/>
  <c r="M405" i="1" s="1"/>
  <c r="L388" i="1"/>
  <c r="M388" i="1" s="1"/>
  <c r="L400" i="1"/>
  <c r="M400" i="1" s="1"/>
  <c r="L386" i="1"/>
  <c r="M386" i="1" s="1"/>
  <c r="L390" i="1"/>
  <c r="M390" i="1" s="1"/>
  <c r="L394" i="1"/>
  <c r="M394" i="1" s="1"/>
  <c r="L398" i="1"/>
  <c r="M398" i="1" s="1"/>
  <c r="L402" i="1"/>
  <c r="M402" i="1" s="1"/>
  <c r="L406" i="1"/>
  <c r="M406" i="1" s="1"/>
  <c r="L384" i="1"/>
  <c r="M384" i="1" s="1"/>
  <c r="L392" i="1"/>
  <c r="M392" i="1" s="1"/>
  <c r="L404" i="1"/>
  <c r="M404" i="1" s="1"/>
  <c r="L387" i="1"/>
  <c r="M387" i="1" s="1"/>
  <c r="L391" i="1"/>
  <c r="M391" i="1" s="1"/>
  <c r="L395" i="1"/>
  <c r="M395" i="1" s="1"/>
  <c r="L399" i="1"/>
  <c r="M399" i="1" s="1"/>
  <c r="L403" i="1"/>
  <c r="M403" i="1" s="1"/>
  <c r="L383" i="1"/>
  <c r="M383" i="1" s="1"/>
  <c r="L396" i="1"/>
  <c r="M396" i="1" s="1"/>
  <c r="L115" i="1"/>
  <c r="M115" i="1" s="1"/>
  <c r="L111" i="1"/>
  <c r="M111" i="1" s="1"/>
  <c r="L107" i="1"/>
  <c r="M107" i="1" s="1"/>
  <c r="L103" i="1"/>
  <c r="M103" i="1" s="1"/>
  <c r="L99" i="1"/>
  <c r="M99" i="1" s="1"/>
  <c r="L118" i="1"/>
  <c r="M118" i="1" s="1"/>
  <c r="L114" i="1"/>
  <c r="M114" i="1" s="1"/>
  <c r="L110" i="1"/>
  <c r="M110" i="1" s="1"/>
  <c r="L106" i="1"/>
  <c r="M106" i="1" s="1"/>
  <c r="L102" i="1"/>
  <c r="M102" i="1" s="1"/>
  <c r="L98" i="1"/>
  <c r="M98" i="1" s="1"/>
  <c r="L117" i="1"/>
  <c r="M117" i="1" s="1"/>
  <c r="L113" i="1"/>
  <c r="M113" i="1" s="1"/>
  <c r="L109" i="1"/>
  <c r="M109" i="1" s="1"/>
  <c r="L105" i="1"/>
  <c r="M105" i="1" s="1"/>
  <c r="L101" i="1"/>
  <c r="M101" i="1" s="1"/>
  <c r="L97" i="1"/>
  <c r="L108" i="1"/>
  <c r="M108" i="1" s="1"/>
  <c r="L112" i="1"/>
  <c r="M112" i="1" s="1"/>
  <c r="L104" i="1"/>
  <c r="M104" i="1" s="1"/>
  <c r="L116" i="1"/>
  <c r="M116" i="1" s="1"/>
  <c r="L100" i="1"/>
  <c r="M100" i="1" s="1"/>
  <c r="L469" i="1"/>
  <c r="L473" i="1"/>
  <c r="M473" i="1" s="1"/>
  <c r="L477" i="1"/>
  <c r="M477" i="1" s="1"/>
  <c r="L481" i="1"/>
  <c r="M481" i="1" s="1"/>
  <c r="L485" i="1"/>
  <c r="M485" i="1" s="1"/>
  <c r="L489" i="1"/>
  <c r="M489" i="1" s="1"/>
  <c r="L472" i="1"/>
  <c r="M472" i="1" s="1"/>
  <c r="L484" i="1"/>
  <c r="M484" i="1" s="1"/>
  <c r="L488" i="1"/>
  <c r="M488" i="1" s="1"/>
  <c r="L470" i="1"/>
  <c r="M470" i="1" s="1"/>
  <c r="L474" i="1"/>
  <c r="M474" i="1" s="1"/>
  <c r="L478" i="1"/>
  <c r="M478" i="1" s="1"/>
  <c r="L482" i="1"/>
  <c r="M482" i="1" s="1"/>
  <c r="L486" i="1"/>
  <c r="M486" i="1" s="1"/>
  <c r="L490" i="1"/>
  <c r="M490" i="1" s="1"/>
  <c r="L468" i="1"/>
  <c r="M468" i="1" s="1"/>
  <c r="L480" i="1"/>
  <c r="M480" i="1" s="1"/>
  <c r="L471" i="1"/>
  <c r="M471" i="1" s="1"/>
  <c r="L475" i="1"/>
  <c r="M475" i="1" s="1"/>
  <c r="L479" i="1"/>
  <c r="M479" i="1" s="1"/>
  <c r="L483" i="1"/>
  <c r="M483" i="1" s="1"/>
  <c r="L487" i="1"/>
  <c r="M487" i="1" s="1"/>
  <c r="L467" i="1"/>
  <c r="M467" i="1" s="1"/>
  <c r="L476" i="1"/>
  <c r="M476" i="1" s="1"/>
  <c r="L157" i="1"/>
  <c r="M157" i="1" s="1"/>
  <c r="L153" i="1"/>
  <c r="M153" i="1" s="1"/>
  <c r="L149" i="1"/>
  <c r="M149" i="1" s="1"/>
  <c r="L145" i="1"/>
  <c r="M145" i="1" s="1"/>
  <c r="L141" i="1"/>
  <c r="M141" i="1" s="1"/>
  <c r="L137" i="1"/>
  <c r="L158" i="1"/>
  <c r="M158" i="1" s="1"/>
  <c r="L154" i="1"/>
  <c r="M154" i="1" s="1"/>
  <c r="L156" i="1"/>
  <c r="M156" i="1" s="1"/>
  <c r="L152" i="1"/>
  <c r="M152" i="1" s="1"/>
  <c r="L148" i="1"/>
  <c r="M148" i="1" s="1"/>
  <c r="L144" i="1"/>
  <c r="M144" i="1" s="1"/>
  <c r="L140" i="1"/>
  <c r="M140" i="1" s="1"/>
  <c r="L146" i="1"/>
  <c r="M146" i="1" s="1"/>
  <c r="L155" i="1"/>
  <c r="M155" i="1" s="1"/>
  <c r="L151" i="1"/>
  <c r="M151" i="1" s="1"/>
  <c r="L147" i="1"/>
  <c r="M147" i="1" s="1"/>
  <c r="L143" i="1"/>
  <c r="M143" i="1" s="1"/>
  <c r="L139" i="1"/>
  <c r="M139" i="1" s="1"/>
  <c r="L150" i="1"/>
  <c r="M150" i="1" s="1"/>
  <c r="L142" i="1"/>
  <c r="M142" i="1" s="1"/>
  <c r="L138" i="1"/>
  <c r="M138" i="1" s="1"/>
  <c r="L363" i="1"/>
  <c r="M363" i="1" s="1"/>
  <c r="L359" i="1"/>
  <c r="M359" i="1" s="1"/>
  <c r="L355" i="1"/>
  <c r="M355" i="1" s="1"/>
  <c r="L351" i="1"/>
  <c r="M351" i="1" s="1"/>
  <c r="L347" i="1"/>
  <c r="M347" i="1" s="1"/>
  <c r="L343" i="1"/>
  <c r="L364" i="1"/>
  <c r="M364" i="1" s="1"/>
  <c r="L356" i="1"/>
  <c r="M356" i="1" s="1"/>
  <c r="L362" i="1"/>
  <c r="M362" i="1" s="1"/>
  <c r="L358" i="1"/>
  <c r="M358" i="1" s="1"/>
  <c r="L354" i="1"/>
  <c r="M354" i="1" s="1"/>
  <c r="L350" i="1"/>
  <c r="M350" i="1" s="1"/>
  <c r="L346" i="1"/>
  <c r="M346" i="1" s="1"/>
  <c r="L352" i="1"/>
  <c r="M352" i="1" s="1"/>
  <c r="L348" i="1"/>
  <c r="M348" i="1" s="1"/>
  <c r="L361" i="1"/>
  <c r="M361" i="1" s="1"/>
  <c r="L357" i="1"/>
  <c r="M357" i="1" s="1"/>
  <c r="L353" i="1"/>
  <c r="M353" i="1" s="1"/>
  <c r="L349" i="1"/>
  <c r="M349" i="1" s="1"/>
  <c r="L345" i="1"/>
  <c r="M345" i="1" s="1"/>
  <c r="L360" i="1"/>
  <c r="M360" i="1" s="1"/>
  <c r="L344" i="1"/>
  <c r="M344" i="1" s="1"/>
  <c r="L636" i="1"/>
  <c r="M636" i="1" s="1"/>
  <c r="L640" i="1"/>
  <c r="M640" i="1" s="1"/>
  <c r="L644" i="1"/>
  <c r="M644" i="1" s="1"/>
  <c r="L648" i="1"/>
  <c r="M648" i="1" s="1"/>
  <c r="L652" i="1"/>
  <c r="M652" i="1" s="1"/>
  <c r="L656" i="1"/>
  <c r="M656" i="1" s="1"/>
  <c r="L660" i="1"/>
  <c r="L647" i="1"/>
  <c r="M647" i="1" s="1"/>
  <c r="L651" i="1"/>
  <c r="M651" i="1" s="1"/>
  <c r="L659" i="1"/>
  <c r="L637" i="1"/>
  <c r="M637" i="1" s="1"/>
  <c r="L641" i="1"/>
  <c r="M641" i="1" s="1"/>
  <c r="L645" i="1"/>
  <c r="M645" i="1" s="1"/>
  <c r="L649" i="1"/>
  <c r="M649" i="1" s="1"/>
  <c r="L653" i="1"/>
  <c r="M653" i="1" s="1"/>
  <c r="L657" i="1"/>
  <c r="M657" i="1" s="1"/>
  <c r="L661" i="1"/>
  <c r="L643" i="1"/>
  <c r="M643" i="1" s="1"/>
  <c r="L655" i="1"/>
  <c r="M655" i="1" s="1"/>
  <c r="L638" i="1"/>
  <c r="M638" i="1" s="1"/>
  <c r="L642" i="1"/>
  <c r="M642" i="1" s="1"/>
  <c r="L646" i="1"/>
  <c r="M646" i="1" s="1"/>
  <c r="L650" i="1"/>
  <c r="M650" i="1" s="1"/>
  <c r="L654" i="1"/>
  <c r="M654" i="1" s="1"/>
  <c r="L658" i="1"/>
  <c r="M658" i="1" s="1"/>
  <c r="L635" i="1"/>
  <c r="L639" i="1"/>
  <c r="M639" i="1" s="1"/>
  <c r="L77" i="1"/>
  <c r="L73" i="1"/>
  <c r="L69" i="1"/>
  <c r="L65" i="1"/>
  <c r="L61" i="1"/>
  <c r="L57" i="1"/>
  <c r="L76" i="1"/>
  <c r="L72" i="1"/>
  <c r="L68" i="1"/>
  <c r="L64" i="1"/>
  <c r="L60" i="1"/>
  <c r="L75" i="1"/>
  <c r="L71" i="1"/>
  <c r="L67" i="1"/>
  <c r="L63" i="1"/>
  <c r="L59" i="1"/>
  <c r="L74" i="1"/>
  <c r="L58" i="1"/>
  <c r="L70" i="1"/>
  <c r="L66" i="1"/>
  <c r="L62" i="1"/>
  <c r="L78" i="1"/>
  <c r="L237" i="1"/>
  <c r="M237" i="1" s="1"/>
  <c r="L233" i="1"/>
  <c r="M233" i="1" s="1"/>
  <c r="L229" i="1"/>
  <c r="M229" i="1" s="1"/>
  <c r="L225" i="1"/>
  <c r="M225" i="1" s="1"/>
  <c r="L221" i="1"/>
  <c r="M221" i="1" s="1"/>
  <c r="L230" i="1"/>
  <c r="M230" i="1" s="1"/>
  <c r="L240" i="1"/>
  <c r="M240" i="1" s="1"/>
  <c r="L236" i="1"/>
  <c r="M236" i="1" s="1"/>
  <c r="L232" i="1"/>
  <c r="M232" i="1" s="1"/>
  <c r="L228" i="1"/>
  <c r="M228" i="1" s="1"/>
  <c r="L224" i="1"/>
  <c r="M224" i="1" s="1"/>
  <c r="L220" i="1"/>
  <c r="M220" i="1" s="1"/>
  <c r="L238" i="1"/>
  <c r="M238" i="1" s="1"/>
  <c r="L222" i="1"/>
  <c r="M222" i="1" s="1"/>
  <c r="L239" i="1"/>
  <c r="M239" i="1" s="1"/>
  <c r="L235" i="1"/>
  <c r="M235" i="1" s="1"/>
  <c r="L231" i="1"/>
  <c r="M231" i="1" s="1"/>
  <c r="L227" i="1"/>
  <c r="M227" i="1" s="1"/>
  <c r="L223" i="1"/>
  <c r="M223" i="1" s="1"/>
  <c r="L219" i="1"/>
  <c r="L234" i="1"/>
  <c r="M234" i="1" s="1"/>
  <c r="L226" i="1"/>
  <c r="M226" i="1" s="1"/>
  <c r="L321" i="1"/>
  <c r="M321" i="1" s="1"/>
  <c r="L317" i="1"/>
  <c r="M317" i="1" s="1"/>
  <c r="L313" i="1"/>
  <c r="M313" i="1" s="1"/>
  <c r="L309" i="1"/>
  <c r="M309" i="1" s="1"/>
  <c r="L305" i="1"/>
  <c r="M305" i="1" s="1"/>
  <c r="L301" i="1"/>
  <c r="L322" i="1"/>
  <c r="M322" i="1" s="1"/>
  <c r="L310" i="1"/>
  <c r="M310" i="1" s="1"/>
  <c r="L302" i="1"/>
  <c r="M302" i="1" s="1"/>
  <c r="L324" i="1"/>
  <c r="M324" i="1" s="1"/>
  <c r="L320" i="1"/>
  <c r="M320" i="1" s="1"/>
  <c r="L316" i="1"/>
  <c r="M316" i="1" s="1"/>
  <c r="L312" i="1"/>
  <c r="M312" i="1" s="1"/>
  <c r="L308" i="1"/>
  <c r="M308" i="1" s="1"/>
  <c r="L304" i="1"/>
  <c r="M304" i="1" s="1"/>
  <c r="L318" i="1"/>
  <c r="M318" i="1" s="1"/>
  <c r="L323" i="1"/>
  <c r="M323" i="1" s="1"/>
  <c r="L319" i="1"/>
  <c r="M319" i="1" s="1"/>
  <c r="L315" i="1"/>
  <c r="M315" i="1" s="1"/>
  <c r="L311" i="1"/>
  <c r="M311" i="1" s="1"/>
  <c r="L307" i="1"/>
  <c r="M307" i="1" s="1"/>
  <c r="L303" i="1"/>
  <c r="M303" i="1" s="1"/>
  <c r="L314" i="1"/>
  <c r="M314" i="1" s="1"/>
  <c r="L306" i="1"/>
  <c r="M306" i="1" s="1"/>
  <c r="L199" i="1"/>
  <c r="M199" i="1" s="1"/>
  <c r="L195" i="1"/>
  <c r="M195" i="1" s="1"/>
  <c r="L191" i="1"/>
  <c r="L187" i="1"/>
  <c r="M187" i="1" s="1"/>
  <c r="L183" i="1"/>
  <c r="M183" i="1" s="1"/>
  <c r="L179" i="1"/>
  <c r="M179" i="1" s="1"/>
  <c r="L200" i="1"/>
  <c r="M200" i="1" s="1"/>
  <c r="L188" i="1"/>
  <c r="M188" i="1" s="1"/>
  <c r="L198" i="1"/>
  <c r="M198" i="1" s="1"/>
  <c r="L194" i="1"/>
  <c r="M194" i="1" s="1"/>
  <c r="L190" i="1"/>
  <c r="L186" i="1"/>
  <c r="M186" i="1" s="1"/>
  <c r="L182" i="1"/>
  <c r="M182" i="1" s="1"/>
  <c r="L178" i="1"/>
  <c r="M178" i="1" s="1"/>
  <c r="L192" i="1"/>
  <c r="M192" i="1" s="1"/>
  <c r="L180" i="1"/>
  <c r="M180" i="1" s="1"/>
  <c r="L197" i="1"/>
  <c r="M197" i="1" s="1"/>
  <c r="L193" i="1"/>
  <c r="M193" i="1" s="1"/>
  <c r="L189" i="1"/>
  <c r="M189" i="1" s="1"/>
  <c r="L185" i="1"/>
  <c r="M185" i="1" s="1"/>
  <c r="L181" i="1"/>
  <c r="M181" i="1" s="1"/>
  <c r="L177" i="1"/>
  <c r="L196" i="1"/>
  <c r="M196" i="1" s="1"/>
  <c r="L184" i="1"/>
  <c r="M184" i="1" s="1"/>
  <c r="L427" i="1"/>
  <c r="L431" i="1"/>
  <c r="M431" i="1" s="1"/>
  <c r="L435" i="1"/>
  <c r="M435" i="1" s="1"/>
  <c r="L439" i="1"/>
  <c r="M439" i="1" s="1"/>
  <c r="L443" i="1"/>
  <c r="M443" i="1" s="1"/>
  <c r="L447" i="1"/>
  <c r="M447" i="1" s="1"/>
  <c r="L426" i="1"/>
  <c r="M426" i="1" s="1"/>
  <c r="L438" i="1"/>
  <c r="M438" i="1" s="1"/>
  <c r="L428" i="1"/>
  <c r="M428" i="1" s="1"/>
  <c r="L432" i="1"/>
  <c r="M432" i="1" s="1"/>
  <c r="L436" i="1"/>
  <c r="M436" i="1" s="1"/>
  <c r="L440" i="1"/>
  <c r="M440" i="1" s="1"/>
  <c r="L444" i="1"/>
  <c r="M444" i="1" s="1"/>
  <c r="L448" i="1"/>
  <c r="M448" i="1" s="1"/>
  <c r="L430" i="1"/>
  <c r="M430" i="1" s="1"/>
  <c r="L442" i="1"/>
  <c r="M442" i="1" s="1"/>
  <c r="L429" i="1"/>
  <c r="M429" i="1" s="1"/>
  <c r="L433" i="1"/>
  <c r="M433" i="1" s="1"/>
  <c r="L437" i="1"/>
  <c r="M437" i="1" s="1"/>
  <c r="L441" i="1"/>
  <c r="M441" i="1" s="1"/>
  <c r="L445" i="1"/>
  <c r="M445" i="1" s="1"/>
  <c r="L425" i="1"/>
  <c r="M425" i="1" s="1"/>
  <c r="L434" i="1"/>
  <c r="M434" i="1" s="1"/>
  <c r="L446" i="1"/>
  <c r="M446" i="1" s="1"/>
  <c r="M820" i="1"/>
  <c r="M774" i="1"/>
  <c r="M799" i="1"/>
  <c r="M792" i="1"/>
  <c r="M788" i="1"/>
  <c r="M785" i="1"/>
  <c r="M783" i="1"/>
  <c r="M781" i="1"/>
  <c r="M779" i="1"/>
  <c r="M777" i="1"/>
  <c r="M775" i="1"/>
  <c r="M773" i="1"/>
  <c r="M798" i="1"/>
  <c r="M797" i="1"/>
  <c r="M796" i="1"/>
  <c r="M795" i="1"/>
  <c r="M794" i="1"/>
  <c r="M793" i="1"/>
  <c r="M791" i="1"/>
  <c r="M790" i="1"/>
  <c r="M789" i="1"/>
  <c r="M787" i="1"/>
  <c r="M786" i="1"/>
  <c r="M784" i="1"/>
  <c r="M782" i="1"/>
  <c r="M780" i="1"/>
  <c r="M778" i="1"/>
  <c r="M776" i="1"/>
  <c r="M845" i="1"/>
  <c r="M837" i="1"/>
  <c r="M829" i="1"/>
  <c r="M818" i="1"/>
  <c r="M840" i="1"/>
  <c r="M839" i="1"/>
  <c r="M838" i="1"/>
  <c r="M832" i="1"/>
  <c r="M831" i="1"/>
  <c r="M830" i="1"/>
  <c r="M823" i="1"/>
  <c r="M822" i="1"/>
  <c r="M819" i="1"/>
  <c r="M841" i="1"/>
  <c r="M833" i="1"/>
  <c r="M825" i="1"/>
  <c r="M824" i="1"/>
  <c r="M844" i="1"/>
  <c r="M843" i="1"/>
  <c r="M842" i="1"/>
  <c r="M836" i="1"/>
  <c r="M835" i="1"/>
  <c r="M834" i="1"/>
  <c r="M828" i="1"/>
  <c r="M827" i="1"/>
  <c r="M826" i="1"/>
  <c r="M263" i="1"/>
  <c r="M267" i="1"/>
  <c r="M271" i="1"/>
  <c r="M275" i="1"/>
  <c r="M279" i="1"/>
  <c r="M265" i="1"/>
  <c r="M273" i="1"/>
  <c r="M281" i="1"/>
  <c r="M260" i="1"/>
  <c r="M264" i="1"/>
  <c r="M268" i="1"/>
  <c r="M272" i="1"/>
  <c r="M276" i="1"/>
  <c r="M280" i="1"/>
  <c r="M261" i="1"/>
  <c r="M269" i="1"/>
  <c r="M277" i="1"/>
  <c r="M274" i="1"/>
  <c r="M262" i="1"/>
  <c r="M278" i="1"/>
  <c r="M266" i="1"/>
  <c r="M282" i="1"/>
  <c r="M270" i="1"/>
  <c r="M728" i="1"/>
  <c r="M732" i="1"/>
  <c r="M736" i="1"/>
  <c r="M740" i="1"/>
  <c r="M744" i="1"/>
  <c r="M748" i="1"/>
  <c r="M752" i="1"/>
  <c r="M730" i="1"/>
  <c r="M738" i="1"/>
  <c r="M742" i="1"/>
  <c r="M750" i="1"/>
  <c r="M731" i="1"/>
  <c r="M739" i="1"/>
  <c r="M729" i="1"/>
  <c r="M733" i="1"/>
  <c r="M737" i="1"/>
  <c r="M741" i="1"/>
  <c r="M745" i="1"/>
  <c r="M749" i="1"/>
  <c r="M734" i="1"/>
  <c r="M746" i="1"/>
  <c r="M727" i="1"/>
  <c r="M735" i="1"/>
  <c r="M751" i="1"/>
  <c r="M743" i="1"/>
  <c r="M747" i="1"/>
  <c r="M510" i="1"/>
  <c r="M514" i="1"/>
  <c r="M518" i="1"/>
  <c r="M522" i="1"/>
  <c r="M526" i="1"/>
  <c r="M530" i="1"/>
  <c r="M515" i="1"/>
  <c r="M519" i="1"/>
  <c r="M523" i="1"/>
  <c r="M527" i="1"/>
  <c r="M531" i="1"/>
  <c r="M512" i="1"/>
  <c r="M516" i="1"/>
  <c r="M520" i="1"/>
  <c r="M524" i="1"/>
  <c r="M528" i="1"/>
  <c r="M532" i="1"/>
  <c r="M513" i="1"/>
  <c r="M517" i="1"/>
  <c r="M521" i="1"/>
  <c r="M525" i="1"/>
  <c r="M529" i="1"/>
  <c r="M509" i="1"/>
  <c r="M555" i="1"/>
  <c r="M559" i="1"/>
  <c r="M563" i="1"/>
  <c r="M567" i="1"/>
  <c r="M571" i="1"/>
  <c r="M551" i="1"/>
  <c r="M552" i="1"/>
  <c r="M556" i="1"/>
  <c r="M560" i="1"/>
  <c r="M564" i="1"/>
  <c r="M568" i="1"/>
  <c r="M572" i="1"/>
  <c r="M557" i="1"/>
  <c r="M561" i="1"/>
  <c r="M565" i="1"/>
  <c r="M569" i="1"/>
  <c r="M573" i="1"/>
  <c r="M554" i="1"/>
  <c r="M558" i="1"/>
  <c r="M562" i="1"/>
  <c r="M566" i="1"/>
  <c r="M570" i="1"/>
  <c r="M574" i="1"/>
  <c r="M596" i="1"/>
  <c r="M600" i="1"/>
  <c r="M604" i="1"/>
  <c r="M608" i="1"/>
  <c r="M612" i="1"/>
  <c r="M616" i="1"/>
  <c r="M593" i="1"/>
  <c r="M597" i="1"/>
  <c r="M601" i="1"/>
  <c r="M605" i="1"/>
  <c r="M609" i="1"/>
  <c r="M613" i="1"/>
  <c r="M598" i="1"/>
  <c r="M602" i="1"/>
  <c r="M606" i="1"/>
  <c r="M610" i="1"/>
  <c r="M614" i="1"/>
  <c r="M599" i="1"/>
  <c r="M603" i="1"/>
  <c r="M607" i="1"/>
  <c r="M611" i="1"/>
  <c r="M615" i="1"/>
  <c r="M594" i="1"/>
  <c r="J18" i="6"/>
  <c r="L35" i="1" l="1"/>
  <c r="L32" i="1"/>
  <c r="L33" i="1"/>
  <c r="L34" i="1"/>
  <c r="L29" i="1"/>
  <c r="L24" i="1"/>
  <c r="L23" i="1"/>
  <c r="L30" i="1"/>
  <c r="L28" i="1"/>
  <c r="L26" i="1"/>
  <c r="L25" i="1"/>
  <c r="L31" i="1"/>
  <c r="L27" i="1"/>
  <c r="L21" i="1"/>
  <c r="L22" i="1"/>
  <c r="L20" i="1"/>
  <c r="L19" i="1"/>
  <c r="L17" i="1"/>
  <c r="L18" i="1"/>
  <c r="L15" i="1"/>
  <c r="L16" i="1"/>
  <c r="L11" i="1"/>
  <c r="L10" i="1"/>
  <c r="L12" i="1"/>
  <c r="L13" i="1"/>
  <c r="L14" i="1"/>
  <c r="L9" i="1"/>
  <c r="L8" i="1"/>
  <c r="L800" i="1"/>
  <c r="M772" i="1"/>
  <c r="M800" i="1" s="1"/>
  <c r="M849" i="1"/>
  <c r="M39" i="1" s="1"/>
  <c r="L39" i="1"/>
  <c r="M852" i="1"/>
  <c r="M42" i="1" s="1"/>
  <c r="L42" i="1"/>
  <c r="M847" i="1"/>
  <c r="M37" i="1" s="1"/>
  <c r="L37" i="1"/>
  <c r="M851" i="1"/>
  <c r="M41" i="1" s="1"/>
  <c r="L41" i="1"/>
  <c r="M846" i="1"/>
  <c r="M36" i="1" s="1"/>
  <c r="L36" i="1"/>
  <c r="M848" i="1"/>
  <c r="M38" i="1" s="1"/>
  <c r="L38" i="1"/>
  <c r="M850" i="1"/>
  <c r="M40" i="1" s="1"/>
  <c r="L40" i="1"/>
  <c r="L853" i="1"/>
  <c r="M821" i="1"/>
  <c r="M853" i="1" s="1"/>
  <c r="M753" i="1"/>
  <c r="M35" i="1" s="1"/>
  <c r="L754" i="1"/>
  <c r="M726" i="1"/>
  <c r="M754" i="1" s="1"/>
  <c r="M635" i="1"/>
  <c r="L662" i="1"/>
  <c r="M301" i="1"/>
  <c r="M325" i="1" s="1"/>
  <c r="L325" i="1"/>
  <c r="M659" i="1"/>
  <c r="M32" i="1" s="1"/>
  <c r="M660" i="1"/>
  <c r="M33" i="1" s="1"/>
  <c r="M661" i="1"/>
  <c r="M34" i="1" s="1"/>
  <c r="L533" i="1"/>
  <c r="M511" i="1"/>
  <c r="M533" i="1" s="1"/>
  <c r="L407" i="1"/>
  <c r="M385" i="1"/>
  <c r="M407" i="1" s="1"/>
  <c r="L119" i="1"/>
  <c r="M97" i="1"/>
  <c r="M119" i="1" s="1"/>
  <c r="M58" i="1"/>
  <c r="M9" i="1" s="1"/>
  <c r="M77" i="1"/>
  <c r="M30" i="1" s="1"/>
  <c r="M62" i="1"/>
  <c r="M13" i="1" s="1"/>
  <c r="M63" i="1"/>
  <c r="M14" i="1" s="1"/>
  <c r="M71" i="1"/>
  <c r="M24" i="1" s="1"/>
  <c r="M61" i="1"/>
  <c r="M12" i="1" s="1"/>
  <c r="L617" i="1"/>
  <c r="M595" i="1"/>
  <c r="M617" i="1" s="1"/>
  <c r="L159" i="1"/>
  <c r="M137" i="1"/>
  <c r="M159" i="1" s="1"/>
  <c r="L491" i="1"/>
  <c r="M469" i="1"/>
  <c r="M491" i="1" s="1"/>
  <c r="M190" i="1"/>
  <c r="M21" i="1" s="1"/>
  <c r="L365" i="1"/>
  <c r="M343" i="1"/>
  <c r="M365" i="1" s="1"/>
  <c r="M66" i="1"/>
  <c r="M17" i="1" s="1"/>
  <c r="M76" i="1"/>
  <c r="M29" i="1" s="1"/>
  <c r="M64" i="1"/>
  <c r="M15" i="1" s="1"/>
  <c r="M65" i="1"/>
  <c r="M16" i="1" s="1"/>
  <c r="M73" i="1"/>
  <c r="M26" i="1" s="1"/>
  <c r="M60" i="1"/>
  <c r="M70" i="1"/>
  <c r="M23" i="1" s="1"/>
  <c r="L79" i="1"/>
  <c r="M57" i="1"/>
  <c r="M68" i="1"/>
  <c r="M19" i="1" s="1"/>
  <c r="M67" i="1"/>
  <c r="M18" i="1" s="1"/>
  <c r="M78" i="1"/>
  <c r="M31" i="1" s="1"/>
  <c r="L575" i="1"/>
  <c r="M553" i="1"/>
  <c r="M575" i="1" s="1"/>
  <c r="M191" i="1"/>
  <c r="M22" i="1" s="1"/>
  <c r="L201" i="1"/>
  <c r="M177" i="1"/>
  <c r="L283" i="1"/>
  <c r="M259" i="1"/>
  <c r="M283" i="1" s="1"/>
  <c r="L241" i="1"/>
  <c r="M219" i="1"/>
  <c r="M241" i="1" s="1"/>
  <c r="L449" i="1"/>
  <c r="M427" i="1"/>
  <c r="M449" i="1" s="1"/>
  <c r="M59" i="1"/>
  <c r="M75" i="1"/>
  <c r="M28" i="1" s="1"/>
  <c r="M74" i="1"/>
  <c r="M27" i="1" s="1"/>
  <c r="M72" i="1"/>
  <c r="M25" i="1" s="1"/>
  <c r="M69" i="1"/>
  <c r="M20" i="1" s="1"/>
  <c r="L43" i="1" l="1"/>
  <c r="L870" i="1"/>
  <c r="L869" i="1"/>
  <c r="L867" i="1"/>
  <c r="M10" i="1"/>
  <c r="M11" i="1"/>
  <c r="M8" i="1"/>
  <c r="M662" i="1"/>
  <c r="M201" i="1"/>
  <c r="M79" i="1"/>
  <c r="M43" i="1" l="1"/>
  <c r="M867" i="1"/>
  <c r="L871" i="1"/>
</calcChain>
</file>

<file path=xl/comments1.xml><?xml version="1.0" encoding="utf-8"?>
<comments xmlns="http://schemas.openxmlformats.org/spreadsheetml/2006/main">
  <authors>
    <author>Thomas Kramer</author>
  </authors>
  <commentList>
    <comment ref="E10" authorId="0">
      <text>
        <r>
          <rPr>
            <b/>
            <sz val="8"/>
            <color indexed="81"/>
            <rFont val="Tahoma"/>
            <family val="2"/>
          </rPr>
          <t>Thomas Kramer:</t>
        </r>
        <r>
          <rPr>
            <sz val="8"/>
            <color indexed="81"/>
            <rFont val="Tahoma"/>
            <family val="2"/>
          </rPr>
          <t xml:space="preserve">
Formally CIN</t>
        </r>
      </text>
    </comment>
    <comment ref="E11" authorId="0">
      <text>
        <r>
          <rPr>
            <b/>
            <sz val="8"/>
            <color indexed="81"/>
            <rFont val="Tahoma"/>
            <family val="2"/>
          </rPr>
          <t>Thomas Kramer:</t>
        </r>
        <r>
          <rPr>
            <sz val="8"/>
            <color indexed="81"/>
            <rFont val="Tahoma"/>
            <family val="2"/>
          </rPr>
          <t xml:space="preserve">
added for 2012. CIN was split into two</t>
        </r>
      </text>
    </comment>
    <comment ref="B57" authorId="0">
      <text>
        <r>
          <rPr>
            <b/>
            <sz val="8"/>
            <color indexed="81"/>
            <rFont val="Tahoma"/>
            <family val="2"/>
          </rPr>
          <t>Thomas Kramer:</t>
        </r>
        <r>
          <rPr>
            <sz val="8"/>
            <color indexed="81"/>
            <rFont val="Tahoma"/>
            <family val="2"/>
          </rPr>
          <t xml:space="preserve">
Zone ATSI</t>
        </r>
      </text>
    </comment>
    <comment ref="B59" authorId="0">
      <text>
        <r>
          <rPr>
            <b/>
            <sz val="8"/>
            <color indexed="81"/>
            <rFont val="Tahoma"/>
            <family val="2"/>
          </rPr>
          <t>Thomas Kramer:</t>
        </r>
        <r>
          <rPr>
            <sz val="8"/>
            <color indexed="81"/>
            <rFont val="Tahoma"/>
            <family val="2"/>
          </rPr>
          <t xml:space="preserve">
Formally CIN</t>
        </r>
      </text>
    </comment>
    <comment ref="B60" authorId="0">
      <text>
        <r>
          <rPr>
            <b/>
            <sz val="8"/>
            <color indexed="81"/>
            <rFont val="Tahoma"/>
            <family val="2"/>
          </rPr>
          <t>Thomas Kramer:</t>
        </r>
        <r>
          <rPr>
            <sz val="8"/>
            <color indexed="81"/>
            <rFont val="Tahoma"/>
            <family val="2"/>
          </rPr>
          <t xml:space="preserve">
added for 2012. CIN was split into two</t>
        </r>
      </text>
    </comment>
    <comment ref="B61" authorId="0">
      <text>
        <r>
          <rPr>
            <b/>
            <sz val="8"/>
            <color indexed="81"/>
            <rFont val="Tahoma"/>
            <family val="2"/>
          </rPr>
          <t>Thomas Kramer:</t>
        </r>
        <r>
          <rPr>
            <sz val="8"/>
            <color indexed="81"/>
            <rFont val="Tahoma"/>
            <family val="2"/>
          </rPr>
          <t xml:space="preserve">
Zone SIGE</t>
        </r>
      </text>
    </comment>
    <comment ref="A97" authorId="0">
      <text>
        <r>
          <rPr>
            <b/>
            <sz val="8"/>
            <color indexed="81"/>
            <rFont val="Tahoma"/>
            <family val="2"/>
          </rPr>
          <t>Thomas Kramer:</t>
        </r>
        <r>
          <rPr>
            <sz val="8"/>
            <color indexed="81"/>
            <rFont val="Tahoma"/>
            <family val="2"/>
          </rPr>
          <t xml:space="preserve">
Zone ATSI</t>
        </r>
      </text>
    </comment>
    <comment ref="A99" authorId="0">
      <text>
        <r>
          <rPr>
            <b/>
            <sz val="8"/>
            <color indexed="81"/>
            <rFont val="Tahoma"/>
            <family val="2"/>
          </rPr>
          <t>Thomas Kramer:</t>
        </r>
        <r>
          <rPr>
            <sz val="8"/>
            <color indexed="81"/>
            <rFont val="Tahoma"/>
            <family val="2"/>
          </rPr>
          <t xml:space="preserve">
Formally CIN</t>
        </r>
      </text>
    </comment>
    <comment ref="B99" authorId="0">
      <text>
        <r>
          <rPr>
            <b/>
            <sz val="8"/>
            <color indexed="81"/>
            <rFont val="Tahoma"/>
            <family val="2"/>
          </rPr>
          <t>Thomas Kramer:</t>
        </r>
        <r>
          <rPr>
            <sz val="8"/>
            <color indexed="81"/>
            <rFont val="Tahoma"/>
            <family val="2"/>
          </rPr>
          <t xml:space="preserve">
Formally CIN</t>
        </r>
      </text>
    </comment>
    <comment ref="A100" authorId="0">
      <text>
        <r>
          <rPr>
            <b/>
            <sz val="8"/>
            <color indexed="81"/>
            <rFont val="Tahoma"/>
            <family val="2"/>
          </rPr>
          <t>Thomas Kramer:</t>
        </r>
        <r>
          <rPr>
            <sz val="8"/>
            <color indexed="81"/>
            <rFont val="Tahoma"/>
            <family val="2"/>
          </rPr>
          <t xml:space="preserve">
added for 2012. CIN was split into two</t>
        </r>
      </text>
    </comment>
    <comment ref="B100" authorId="0">
      <text>
        <r>
          <rPr>
            <b/>
            <sz val="8"/>
            <color indexed="81"/>
            <rFont val="Tahoma"/>
            <family val="2"/>
          </rPr>
          <t>Thomas Kramer:</t>
        </r>
        <r>
          <rPr>
            <sz val="8"/>
            <color indexed="81"/>
            <rFont val="Tahoma"/>
            <family val="2"/>
          </rPr>
          <t xml:space="preserve">
added for 2012. CIN was split into two</t>
        </r>
      </text>
    </comment>
    <comment ref="A101" authorId="0">
      <text>
        <r>
          <rPr>
            <b/>
            <sz val="8"/>
            <color indexed="81"/>
            <rFont val="Tahoma"/>
            <family val="2"/>
          </rPr>
          <t>Thomas Kramer:</t>
        </r>
        <r>
          <rPr>
            <sz val="8"/>
            <color indexed="81"/>
            <rFont val="Tahoma"/>
            <family val="2"/>
          </rPr>
          <t xml:space="preserve">
Zone SIGE</t>
        </r>
      </text>
    </comment>
    <comment ref="A137" authorId="0">
      <text>
        <r>
          <rPr>
            <b/>
            <sz val="8"/>
            <color indexed="81"/>
            <rFont val="Tahoma"/>
            <family val="2"/>
          </rPr>
          <t>Thomas Kramer:</t>
        </r>
        <r>
          <rPr>
            <sz val="8"/>
            <color indexed="81"/>
            <rFont val="Tahoma"/>
            <family val="2"/>
          </rPr>
          <t xml:space="preserve">
Zone ATSI</t>
        </r>
      </text>
    </comment>
    <comment ref="A139" authorId="0">
      <text>
        <r>
          <rPr>
            <b/>
            <sz val="8"/>
            <color indexed="81"/>
            <rFont val="Tahoma"/>
            <family val="2"/>
          </rPr>
          <t>Thomas Kramer:</t>
        </r>
        <r>
          <rPr>
            <sz val="8"/>
            <color indexed="81"/>
            <rFont val="Tahoma"/>
            <family val="2"/>
          </rPr>
          <t xml:space="preserve">
Formally CIN</t>
        </r>
      </text>
    </comment>
    <comment ref="B139" authorId="0">
      <text>
        <r>
          <rPr>
            <b/>
            <sz val="8"/>
            <color indexed="81"/>
            <rFont val="Tahoma"/>
            <family val="2"/>
          </rPr>
          <t>Thomas Kramer:</t>
        </r>
        <r>
          <rPr>
            <sz val="8"/>
            <color indexed="81"/>
            <rFont val="Tahoma"/>
            <family val="2"/>
          </rPr>
          <t xml:space="preserve">
Formally CIN</t>
        </r>
      </text>
    </comment>
    <comment ref="A140" authorId="0">
      <text>
        <r>
          <rPr>
            <b/>
            <sz val="8"/>
            <color indexed="81"/>
            <rFont val="Tahoma"/>
            <family val="2"/>
          </rPr>
          <t>Thomas Kramer:</t>
        </r>
        <r>
          <rPr>
            <sz val="8"/>
            <color indexed="81"/>
            <rFont val="Tahoma"/>
            <family val="2"/>
          </rPr>
          <t xml:space="preserve">
added for 2012. CIN was split into two</t>
        </r>
      </text>
    </comment>
    <comment ref="B140" authorId="0">
      <text>
        <r>
          <rPr>
            <b/>
            <sz val="8"/>
            <color indexed="81"/>
            <rFont val="Tahoma"/>
            <family val="2"/>
          </rPr>
          <t>Thomas Kramer:</t>
        </r>
        <r>
          <rPr>
            <sz val="8"/>
            <color indexed="81"/>
            <rFont val="Tahoma"/>
            <family val="2"/>
          </rPr>
          <t xml:space="preserve">
added for 2012. CIN was split into two</t>
        </r>
      </text>
    </comment>
    <comment ref="A141" authorId="0">
      <text>
        <r>
          <rPr>
            <b/>
            <sz val="8"/>
            <color indexed="81"/>
            <rFont val="Tahoma"/>
            <family val="2"/>
          </rPr>
          <t>Thomas Kramer:</t>
        </r>
        <r>
          <rPr>
            <sz val="8"/>
            <color indexed="81"/>
            <rFont val="Tahoma"/>
            <family val="2"/>
          </rPr>
          <t xml:space="preserve">
Zone SIGE</t>
        </r>
      </text>
    </comment>
    <comment ref="A177" authorId="0">
      <text>
        <r>
          <rPr>
            <b/>
            <sz val="8"/>
            <color indexed="81"/>
            <rFont val="Tahoma"/>
            <family val="2"/>
          </rPr>
          <t>Thomas Kramer:</t>
        </r>
        <r>
          <rPr>
            <sz val="8"/>
            <color indexed="81"/>
            <rFont val="Tahoma"/>
            <family val="2"/>
          </rPr>
          <t xml:space="preserve">
Zone ATSI</t>
        </r>
      </text>
    </comment>
    <comment ref="A179" authorId="0">
      <text>
        <r>
          <rPr>
            <b/>
            <sz val="8"/>
            <color indexed="81"/>
            <rFont val="Tahoma"/>
            <family val="2"/>
          </rPr>
          <t>Thomas Kramer:</t>
        </r>
        <r>
          <rPr>
            <sz val="8"/>
            <color indexed="81"/>
            <rFont val="Tahoma"/>
            <family val="2"/>
          </rPr>
          <t xml:space="preserve">
Formally CIN</t>
        </r>
      </text>
    </comment>
    <comment ref="B179" authorId="0">
      <text>
        <r>
          <rPr>
            <b/>
            <sz val="8"/>
            <color indexed="81"/>
            <rFont val="Tahoma"/>
            <family val="2"/>
          </rPr>
          <t>Thomas Kramer:</t>
        </r>
        <r>
          <rPr>
            <sz val="8"/>
            <color indexed="81"/>
            <rFont val="Tahoma"/>
            <family val="2"/>
          </rPr>
          <t xml:space="preserve">
Formally CIN</t>
        </r>
      </text>
    </comment>
    <comment ref="A180" authorId="0">
      <text>
        <r>
          <rPr>
            <b/>
            <sz val="8"/>
            <color indexed="81"/>
            <rFont val="Tahoma"/>
            <family val="2"/>
          </rPr>
          <t>Thomas Kramer:</t>
        </r>
        <r>
          <rPr>
            <sz val="8"/>
            <color indexed="81"/>
            <rFont val="Tahoma"/>
            <family val="2"/>
          </rPr>
          <t xml:space="preserve">
added for 2012. CIN was split into two</t>
        </r>
      </text>
    </comment>
    <comment ref="B180" authorId="0">
      <text>
        <r>
          <rPr>
            <b/>
            <sz val="8"/>
            <color indexed="81"/>
            <rFont val="Tahoma"/>
            <family val="2"/>
          </rPr>
          <t>Thomas Kramer:</t>
        </r>
        <r>
          <rPr>
            <sz val="8"/>
            <color indexed="81"/>
            <rFont val="Tahoma"/>
            <family val="2"/>
          </rPr>
          <t xml:space="preserve">
added for 2012. CIN was split into two</t>
        </r>
      </text>
    </comment>
    <comment ref="A181" authorId="0">
      <text>
        <r>
          <rPr>
            <b/>
            <sz val="8"/>
            <color indexed="81"/>
            <rFont val="Tahoma"/>
            <family val="2"/>
          </rPr>
          <t>Thomas Kramer:</t>
        </r>
        <r>
          <rPr>
            <sz val="8"/>
            <color indexed="81"/>
            <rFont val="Tahoma"/>
            <family val="2"/>
          </rPr>
          <t xml:space="preserve">
Zone SIGE</t>
        </r>
      </text>
    </comment>
    <comment ref="A219" authorId="0">
      <text>
        <r>
          <rPr>
            <b/>
            <sz val="8"/>
            <color indexed="81"/>
            <rFont val="Tahoma"/>
            <family val="2"/>
          </rPr>
          <t>Thomas Kramer:</t>
        </r>
        <r>
          <rPr>
            <sz val="8"/>
            <color indexed="81"/>
            <rFont val="Tahoma"/>
            <family val="2"/>
          </rPr>
          <t xml:space="preserve">
Zone ATSI</t>
        </r>
      </text>
    </comment>
    <comment ref="A221" authorId="0">
      <text>
        <r>
          <rPr>
            <b/>
            <sz val="8"/>
            <color indexed="81"/>
            <rFont val="Tahoma"/>
            <family val="2"/>
          </rPr>
          <t>Thomas Kramer:</t>
        </r>
        <r>
          <rPr>
            <sz val="8"/>
            <color indexed="81"/>
            <rFont val="Tahoma"/>
            <family val="2"/>
          </rPr>
          <t xml:space="preserve">
Formally CIN</t>
        </r>
      </text>
    </comment>
    <comment ref="B221" authorId="0">
      <text>
        <r>
          <rPr>
            <b/>
            <sz val="8"/>
            <color indexed="81"/>
            <rFont val="Tahoma"/>
            <family val="2"/>
          </rPr>
          <t>Thomas Kramer:</t>
        </r>
        <r>
          <rPr>
            <sz val="8"/>
            <color indexed="81"/>
            <rFont val="Tahoma"/>
            <family val="2"/>
          </rPr>
          <t xml:space="preserve">
Formally CIN</t>
        </r>
      </text>
    </comment>
    <comment ref="A222" authorId="0">
      <text>
        <r>
          <rPr>
            <b/>
            <sz val="8"/>
            <color indexed="81"/>
            <rFont val="Tahoma"/>
            <family val="2"/>
          </rPr>
          <t>Thomas Kramer:</t>
        </r>
        <r>
          <rPr>
            <sz val="8"/>
            <color indexed="81"/>
            <rFont val="Tahoma"/>
            <family val="2"/>
          </rPr>
          <t xml:space="preserve">
added for 2012. CIN was split into two</t>
        </r>
      </text>
    </comment>
    <comment ref="B222" authorId="0">
      <text>
        <r>
          <rPr>
            <b/>
            <sz val="8"/>
            <color indexed="81"/>
            <rFont val="Tahoma"/>
            <family val="2"/>
          </rPr>
          <t>Thomas Kramer:</t>
        </r>
        <r>
          <rPr>
            <sz val="8"/>
            <color indexed="81"/>
            <rFont val="Tahoma"/>
            <family val="2"/>
          </rPr>
          <t xml:space="preserve">
added for 2012. CIN was split into two</t>
        </r>
      </text>
    </comment>
    <comment ref="A223" authorId="0">
      <text>
        <r>
          <rPr>
            <b/>
            <sz val="8"/>
            <color indexed="81"/>
            <rFont val="Tahoma"/>
            <family val="2"/>
          </rPr>
          <t>Thomas Kramer:</t>
        </r>
        <r>
          <rPr>
            <sz val="8"/>
            <color indexed="81"/>
            <rFont val="Tahoma"/>
            <family val="2"/>
          </rPr>
          <t xml:space="preserve">
Zone SIGE</t>
        </r>
      </text>
    </comment>
    <comment ref="E257" authorId="0">
      <text>
        <r>
          <rPr>
            <b/>
            <sz val="8"/>
            <color indexed="81"/>
            <rFont val="Tahoma"/>
            <family val="2"/>
          </rPr>
          <t>Thomas Kramer:</t>
        </r>
        <r>
          <rPr>
            <sz val="8"/>
            <color indexed="81"/>
            <rFont val="Tahoma"/>
            <family val="2"/>
          </rPr>
          <t xml:space="preserve">
updated per MISO review comment</t>
        </r>
      </text>
    </comment>
    <comment ref="A259" authorId="0">
      <text>
        <r>
          <rPr>
            <b/>
            <sz val="8"/>
            <color indexed="81"/>
            <rFont val="Tahoma"/>
            <family val="2"/>
          </rPr>
          <t>Thomas Kramer:</t>
        </r>
        <r>
          <rPr>
            <sz val="8"/>
            <color indexed="81"/>
            <rFont val="Tahoma"/>
            <family val="2"/>
          </rPr>
          <t xml:space="preserve">
Zone ATSI</t>
        </r>
      </text>
    </comment>
    <comment ref="A261" authorId="0">
      <text>
        <r>
          <rPr>
            <b/>
            <sz val="8"/>
            <color indexed="81"/>
            <rFont val="Tahoma"/>
            <family val="2"/>
          </rPr>
          <t>Thomas Kramer:</t>
        </r>
        <r>
          <rPr>
            <sz val="8"/>
            <color indexed="81"/>
            <rFont val="Tahoma"/>
            <family val="2"/>
          </rPr>
          <t xml:space="preserve">
Formally CIN</t>
        </r>
      </text>
    </comment>
    <comment ref="B261" authorId="0">
      <text>
        <r>
          <rPr>
            <b/>
            <sz val="8"/>
            <color indexed="81"/>
            <rFont val="Tahoma"/>
            <family val="2"/>
          </rPr>
          <t>Thomas Kramer:</t>
        </r>
        <r>
          <rPr>
            <sz val="8"/>
            <color indexed="81"/>
            <rFont val="Tahoma"/>
            <family val="2"/>
          </rPr>
          <t xml:space="preserve">
Formally CIN</t>
        </r>
      </text>
    </comment>
    <comment ref="A262" authorId="0">
      <text>
        <r>
          <rPr>
            <b/>
            <sz val="8"/>
            <color indexed="81"/>
            <rFont val="Tahoma"/>
            <family val="2"/>
          </rPr>
          <t>Thomas Kramer:</t>
        </r>
        <r>
          <rPr>
            <sz val="8"/>
            <color indexed="81"/>
            <rFont val="Tahoma"/>
            <family val="2"/>
          </rPr>
          <t xml:space="preserve">
added for 2012. CIN was split into two</t>
        </r>
      </text>
    </comment>
    <comment ref="B262" authorId="0">
      <text>
        <r>
          <rPr>
            <b/>
            <sz val="8"/>
            <color indexed="81"/>
            <rFont val="Tahoma"/>
            <family val="2"/>
          </rPr>
          <t>Thomas Kramer:</t>
        </r>
        <r>
          <rPr>
            <sz val="8"/>
            <color indexed="81"/>
            <rFont val="Tahoma"/>
            <family val="2"/>
          </rPr>
          <t xml:space="preserve">
added for 2012. CIN was split into two</t>
        </r>
      </text>
    </comment>
    <comment ref="A263" authorId="0">
      <text>
        <r>
          <rPr>
            <b/>
            <sz val="8"/>
            <color indexed="81"/>
            <rFont val="Tahoma"/>
            <family val="2"/>
          </rPr>
          <t>Thomas Kramer:</t>
        </r>
        <r>
          <rPr>
            <sz val="8"/>
            <color indexed="81"/>
            <rFont val="Tahoma"/>
            <family val="2"/>
          </rPr>
          <t xml:space="preserve">
Zone SIGE</t>
        </r>
      </text>
    </comment>
    <comment ref="A301" authorId="0">
      <text>
        <r>
          <rPr>
            <b/>
            <sz val="8"/>
            <color indexed="81"/>
            <rFont val="Tahoma"/>
            <family val="2"/>
          </rPr>
          <t>Thomas Kramer:</t>
        </r>
        <r>
          <rPr>
            <sz val="8"/>
            <color indexed="81"/>
            <rFont val="Tahoma"/>
            <family val="2"/>
          </rPr>
          <t xml:space="preserve">
Zone ATSI</t>
        </r>
      </text>
    </comment>
    <comment ref="A303" authorId="0">
      <text>
        <r>
          <rPr>
            <b/>
            <sz val="8"/>
            <color indexed="81"/>
            <rFont val="Tahoma"/>
            <family val="2"/>
          </rPr>
          <t>Thomas Kramer:</t>
        </r>
        <r>
          <rPr>
            <sz val="8"/>
            <color indexed="81"/>
            <rFont val="Tahoma"/>
            <family val="2"/>
          </rPr>
          <t xml:space="preserve">
Formally CIN</t>
        </r>
      </text>
    </comment>
    <comment ref="B303" authorId="0">
      <text>
        <r>
          <rPr>
            <b/>
            <sz val="8"/>
            <color indexed="81"/>
            <rFont val="Tahoma"/>
            <family val="2"/>
          </rPr>
          <t>Thomas Kramer:</t>
        </r>
        <r>
          <rPr>
            <sz val="8"/>
            <color indexed="81"/>
            <rFont val="Tahoma"/>
            <family val="2"/>
          </rPr>
          <t xml:space="preserve">
Formally CIN</t>
        </r>
      </text>
    </comment>
    <comment ref="A304" authorId="0">
      <text>
        <r>
          <rPr>
            <b/>
            <sz val="8"/>
            <color indexed="81"/>
            <rFont val="Tahoma"/>
            <family val="2"/>
          </rPr>
          <t>Thomas Kramer:</t>
        </r>
        <r>
          <rPr>
            <sz val="8"/>
            <color indexed="81"/>
            <rFont val="Tahoma"/>
            <family val="2"/>
          </rPr>
          <t xml:space="preserve">
added for 2012. CIN was split into two</t>
        </r>
      </text>
    </comment>
    <comment ref="B304" authorId="0">
      <text>
        <r>
          <rPr>
            <b/>
            <sz val="8"/>
            <color indexed="81"/>
            <rFont val="Tahoma"/>
            <family val="2"/>
          </rPr>
          <t>Thomas Kramer:</t>
        </r>
        <r>
          <rPr>
            <sz val="8"/>
            <color indexed="81"/>
            <rFont val="Tahoma"/>
            <family val="2"/>
          </rPr>
          <t xml:space="preserve">
added for 2012. CIN was split into two</t>
        </r>
      </text>
    </comment>
    <comment ref="A305" authorId="0">
      <text>
        <r>
          <rPr>
            <b/>
            <sz val="8"/>
            <color indexed="81"/>
            <rFont val="Tahoma"/>
            <family val="2"/>
          </rPr>
          <t>Thomas Kramer:</t>
        </r>
        <r>
          <rPr>
            <sz val="8"/>
            <color indexed="81"/>
            <rFont val="Tahoma"/>
            <family val="2"/>
          </rPr>
          <t xml:space="preserve">
Zone SIGE</t>
        </r>
      </text>
    </comment>
    <comment ref="A343" authorId="0">
      <text>
        <r>
          <rPr>
            <b/>
            <sz val="8"/>
            <color indexed="81"/>
            <rFont val="Tahoma"/>
            <family val="2"/>
          </rPr>
          <t>Thomas Kramer:</t>
        </r>
        <r>
          <rPr>
            <sz val="8"/>
            <color indexed="81"/>
            <rFont val="Tahoma"/>
            <family val="2"/>
          </rPr>
          <t xml:space="preserve">
Zone ATSI</t>
        </r>
      </text>
    </comment>
    <comment ref="A345" authorId="0">
      <text>
        <r>
          <rPr>
            <b/>
            <sz val="8"/>
            <color indexed="81"/>
            <rFont val="Tahoma"/>
            <family val="2"/>
          </rPr>
          <t>Thomas Kramer:</t>
        </r>
        <r>
          <rPr>
            <sz val="8"/>
            <color indexed="81"/>
            <rFont val="Tahoma"/>
            <family val="2"/>
          </rPr>
          <t xml:space="preserve">
Formally CIN</t>
        </r>
      </text>
    </comment>
    <comment ref="B345" authorId="0">
      <text>
        <r>
          <rPr>
            <b/>
            <sz val="8"/>
            <color indexed="81"/>
            <rFont val="Tahoma"/>
            <family val="2"/>
          </rPr>
          <t>Thomas Kramer:</t>
        </r>
        <r>
          <rPr>
            <sz val="8"/>
            <color indexed="81"/>
            <rFont val="Tahoma"/>
            <family val="2"/>
          </rPr>
          <t xml:space="preserve">
Formally CIN</t>
        </r>
      </text>
    </comment>
    <comment ref="A346" authorId="0">
      <text>
        <r>
          <rPr>
            <b/>
            <sz val="8"/>
            <color indexed="81"/>
            <rFont val="Tahoma"/>
            <family val="2"/>
          </rPr>
          <t>Thomas Kramer:</t>
        </r>
        <r>
          <rPr>
            <sz val="8"/>
            <color indexed="81"/>
            <rFont val="Tahoma"/>
            <family val="2"/>
          </rPr>
          <t xml:space="preserve">
added for 2012. CIN was split into two</t>
        </r>
      </text>
    </comment>
    <comment ref="B346" authorId="0">
      <text>
        <r>
          <rPr>
            <b/>
            <sz val="8"/>
            <color indexed="81"/>
            <rFont val="Tahoma"/>
            <family val="2"/>
          </rPr>
          <t>Thomas Kramer:</t>
        </r>
        <r>
          <rPr>
            <sz val="8"/>
            <color indexed="81"/>
            <rFont val="Tahoma"/>
            <family val="2"/>
          </rPr>
          <t xml:space="preserve">
added for 2012. CIN was split into two</t>
        </r>
      </text>
    </comment>
    <comment ref="A347" authorId="0">
      <text>
        <r>
          <rPr>
            <b/>
            <sz val="8"/>
            <color indexed="81"/>
            <rFont val="Tahoma"/>
            <family val="2"/>
          </rPr>
          <t>Thomas Kramer:</t>
        </r>
        <r>
          <rPr>
            <sz val="8"/>
            <color indexed="81"/>
            <rFont val="Tahoma"/>
            <family val="2"/>
          </rPr>
          <t xml:space="preserve">
Zone SIGE</t>
        </r>
      </text>
    </comment>
    <comment ref="A383" authorId="0">
      <text>
        <r>
          <rPr>
            <b/>
            <sz val="8"/>
            <color indexed="81"/>
            <rFont val="Tahoma"/>
            <family val="2"/>
          </rPr>
          <t>Thomas Kramer:</t>
        </r>
        <r>
          <rPr>
            <sz val="8"/>
            <color indexed="81"/>
            <rFont val="Tahoma"/>
            <family val="2"/>
          </rPr>
          <t xml:space="preserve">
Zone ATSI</t>
        </r>
      </text>
    </comment>
    <comment ref="A385" authorId="0">
      <text>
        <r>
          <rPr>
            <b/>
            <sz val="8"/>
            <color indexed="81"/>
            <rFont val="Tahoma"/>
            <family val="2"/>
          </rPr>
          <t>Thomas Kramer:</t>
        </r>
        <r>
          <rPr>
            <sz val="8"/>
            <color indexed="81"/>
            <rFont val="Tahoma"/>
            <family val="2"/>
          </rPr>
          <t xml:space="preserve">
Formally CIN</t>
        </r>
      </text>
    </comment>
    <comment ref="B385" authorId="0">
      <text>
        <r>
          <rPr>
            <b/>
            <sz val="8"/>
            <color indexed="81"/>
            <rFont val="Tahoma"/>
            <family val="2"/>
          </rPr>
          <t>Thomas Kramer:</t>
        </r>
        <r>
          <rPr>
            <sz val="8"/>
            <color indexed="81"/>
            <rFont val="Tahoma"/>
            <family val="2"/>
          </rPr>
          <t xml:space="preserve">
Formally CIN</t>
        </r>
      </text>
    </comment>
    <comment ref="A386" authorId="0">
      <text>
        <r>
          <rPr>
            <b/>
            <sz val="8"/>
            <color indexed="81"/>
            <rFont val="Tahoma"/>
            <family val="2"/>
          </rPr>
          <t>Thomas Kramer:</t>
        </r>
        <r>
          <rPr>
            <sz val="8"/>
            <color indexed="81"/>
            <rFont val="Tahoma"/>
            <family val="2"/>
          </rPr>
          <t xml:space="preserve">
added for 2012. CIN was split into two</t>
        </r>
      </text>
    </comment>
    <comment ref="B386" authorId="0">
      <text>
        <r>
          <rPr>
            <b/>
            <sz val="8"/>
            <color indexed="81"/>
            <rFont val="Tahoma"/>
            <family val="2"/>
          </rPr>
          <t>Thomas Kramer:</t>
        </r>
        <r>
          <rPr>
            <sz val="8"/>
            <color indexed="81"/>
            <rFont val="Tahoma"/>
            <family val="2"/>
          </rPr>
          <t xml:space="preserve">
added for 2012. CIN was split into two</t>
        </r>
      </text>
    </comment>
    <comment ref="A387" authorId="0">
      <text>
        <r>
          <rPr>
            <b/>
            <sz val="8"/>
            <color indexed="81"/>
            <rFont val="Tahoma"/>
            <family val="2"/>
          </rPr>
          <t>Thomas Kramer:</t>
        </r>
        <r>
          <rPr>
            <sz val="8"/>
            <color indexed="81"/>
            <rFont val="Tahoma"/>
            <family val="2"/>
          </rPr>
          <t xml:space="preserve">
Zone SIGE</t>
        </r>
      </text>
    </comment>
    <comment ref="A425" authorId="0">
      <text>
        <r>
          <rPr>
            <b/>
            <sz val="8"/>
            <color indexed="81"/>
            <rFont val="Tahoma"/>
            <family val="2"/>
          </rPr>
          <t>Thomas Kramer:</t>
        </r>
        <r>
          <rPr>
            <sz val="8"/>
            <color indexed="81"/>
            <rFont val="Tahoma"/>
            <family val="2"/>
          </rPr>
          <t xml:space="preserve">
Zone ATSI</t>
        </r>
      </text>
    </comment>
    <comment ref="A427" authorId="0">
      <text>
        <r>
          <rPr>
            <b/>
            <sz val="8"/>
            <color indexed="81"/>
            <rFont val="Tahoma"/>
            <family val="2"/>
          </rPr>
          <t>Thomas Kramer:</t>
        </r>
        <r>
          <rPr>
            <sz val="8"/>
            <color indexed="81"/>
            <rFont val="Tahoma"/>
            <family val="2"/>
          </rPr>
          <t xml:space="preserve">
Formally CIN</t>
        </r>
      </text>
    </comment>
    <comment ref="B427" authorId="0">
      <text>
        <r>
          <rPr>
            <b/>
            <sz val="8"/>
            <color indexed="81"/>
            <rFont val="Tahoma"/>
            <family val="2"/>
          </rPr>
          <t>Thomas Kramer:</t>
        </r>
        <r>
          <rPr>
            <sz val="8"/>
            <color indexed="81"/>
            <rFont val="Tahoma"/>
            <family val="2"/>
          </rPr>
          <t xml:space="preserve">
Formally CIN</t>
        </r>
      </text>
    </comment>
    <comment ref="A428" authorId="0">
      <text>
        <r>
          <rPr>
            <b/>
            <sz val="8"/>
            <color indexed="81"/>
            <rFont val="Tahoma"/>
            <family val="2"/>
          </rPr>
          <t>Thomas Kramer:</t>
        </r>
        <r>
          <rPr>
            <sz val="8"/>
            <color indexed="81"/>
            <rFont val="Tahoma"/>
            <family val="2"/>
          </rPr>
          <t xml:space="preserve">
added for 2012. CIN was split into two</t>
        </r>
      </text>
    </comment>
    <comment ref="B428" authorId="0">
      <text>
        <r>
          <rPr>
            <b/>
            <sz val="8"/>
            <color indexed="81"/>
            <rFont val="Tahoma"/>
            <family val="2"/>
          </rPr>
          <t>Thomas Kramer:</t>
        </r>
        <r>
          <rPr>
            <sz val="8"/>
            <color indexed="81"/>
            <rFont val="Tahoma"/>
            <family val="2"/>
          </rPr>
          <t xml:space="preserve">
added for 2012. CIN was split into two</t>
        </r>
      </text>
    </comment>
    <comment ref="A429" authorId="0">
      <text>
        <r>
          <rPr>
            <b/>
            <sz val="8"/>
            <color indexed="81"/>
            <rFont val="Tahoma"/>
            <family val="2"/>
          </rPr>
          <t>Thomas Kramer:</t>
        </r>
        <r>
          <rPr>
            <sz val="8"/>
            <color indexed="81"/>
            <rFont val="Tahoma"/>
            <family val="2"/>
          </rPr>
          <t xml:space="preserve">
Zone SIGE</t>
        </r>
      </text>
    </comment>
    <comment ref="A467" authorId="0">
      <text>
        <r>
          <rPr>
            <b/>
            <sz val="8"/>
            <color indexed="81"/>
            <rFont val="Tahoma"/>
            <family val="2"/>
          </rPr>
          <t>Thomas Kramer:</t>
        </r>
        <r>
          <rPr>
            <sz val="8"/>
            <color indexed="81"/>
            <rFont val="Tahoma"/>
            <family val="2"/>
          </rPr>
          <t xml:space="preserve">
Zone ATSI</t>
        </r>
      </text>
    </comment>
    <comment ref="A469" authorId="0">
      <text>
        <r>
          <rPr>
            <b/>
            <sz val="8"/>
            <color indexed="81"/>
            <rFont val="Tahoma"/>
            <family val="2"/>
          </rPr>
          <t>Thomas Kramer:</t>
        </r>
        <r>
          <rPr>
            <sz val="8"/>
            <color indexed="81"/>
            <rFont val="Tahoma"/>
            <family val="2"/>
          </rPr>
          <t xml:space="preserve">
Formally CIN</t>
        </r>
      </text>
    </comment>
    <comment ref="B469" authorId="0">
      <text>
        <r>
          <rPr>
            <b/>
            <sz val="8"/>
            <color indexed="81"/>
            <rFont val="Tahoma"/>
            <family val="2"/>
          </rPr>
          <t>Thomas Kramer:</t>
        </r>
        <r>
          <rPr>
            <sz val="8"/>
            <color indexed="81"/>
            <rFont val="Tahoma"/>
            <family val="2"/>
          </rPr>
          <t xml:space="preserve">
Formally CIN</t>
        </r>
      </text>
    </comment>
    <comment ref="A470" authorId="0">
      <text>
        <r>
          <rPr>
            <b/>
            <sz val="8"/>
            <color indexed="81"/>
            <rFont val="Tahoma"/>
            <family val="2"/>
          </rPr>
          <t>Thomas Kramer:</t>
        </r>
        <r>
          <rPr>
            <sz val="8"/>
            <color indexed="81"/>
            <rFont val="Tahoma"/>
            <family val="2"/>
          </rPr>
          <t xml:space="preserve">
added for 2012. CIN was split into two</t>
        </r>
      </text>
    </comment>
    <comment ref="B470" authorId="0">
      <text>
        <r>
          <rPr>
            <b/>
            <sz val="8"/>
            <color indexed="81"/>
            <rFont val="Tahoma"/>
            <family val="2"/>
          </rPr>
          <t>Thomas Kramer:</t>
        </r>
        <r>
          <rPr>
            <sz val="8"/>
            <color indexed="81"/>
            <rFont val="Tahoma"/>
            <family val="2"/>
          </rPr>
          <t xml:space="preserve">
added for 2012. CIN was split into two</t>
        </r>
      </text>
    </comment>
    <comment ref="A471" authorId="0">
      <text>
        <r>
          <rPr>
            <b/>
            <sz val="8"/>
            <color indexed="81"/>
            <rFont val="Tahoma"/>
            <family val="2"/>
          </rPr>
          <t>Thomas Kramer:</t>
        </r>
        <r>
          <rPr>
            <sz val="8"/>
            <color indexed="81"/>
            <rFont val="Tahoma"/>
            <family val="2"/>
          </rPr>
          <t xml:space="preserve">
Zone SIGE</t>
        </r>
      </text>
    </comment>
    <comment ref="A509" authorId="0">
      <text>
        <r>
          <rPr>
            <b/>
            <sz val="8"/>
            <color indexed="81"/>
            <rFont val="Tahoma"/>
            <family val="2"/>
          </rPr>
          <t>Thomas Kramer:</t>
        </r>
        <r>
          <rPr>
            <sz val="8"/>
            <color indexed="81"/>
            <rFont val="Tahoma"/>
            <family val="2"/>
          </rPr>
          <t xml:space="preserve">
Zone ATSI</t>
        </r>
      </text>
    </comment>
    <comment ref="A511" authorId="0">
      <text>
        <r>
          <rPr>
            <b/>
            <sz val="8"/>
            <color indexed="81"/>
            <rFont val="Tahoma"/>
            <family val="2"/>
          </rPr>
          <t>Thomas Kramer:</t>
        </r>
        <r>
          <rPr>
            <sz val="8"/>
            <color indexed="81"/>
            <rFont val="Tahoma"/>
            <family val="2"/>
          </rPr>
          <t xml:space="preserve">
Formally CIN</t>
        </r>
      </text>
    </comment>
    <comment ref="B511" authorId="0">
      <text>
        <r>
          <rPr>
            <b/>
            <sz val="8"/>
            <color indexed="81"/>
            <rFont val="Tahoma"/>
            <family val="2"/>
          </rPr>
          <t>Thomas Kramer:</t>
        </r>
        <r>
          <rPr>
            <sz val="8"/>
            <color indexed="81"/>
            <rFont val="Tahoma"/>
            <family val="2"/>
          </rPr>
          <t xml:space="preserve">
Formally CIN</t>
        </r>
      </text>
    </comment>
    <comment ref="A512" authorId="0">
      <text>
        <r>
          <rPr>
            <b/>
            <sz val="8"/>
            <color indexed="81"/>
            <rFont val="Tahoma"/>
            <family val="2"/>
          </rPr>
          <t>Thomas Kramer:</t>
        </r>
        <r>
          <rPr>
            <sz val="8"/>
            <color indexed="81"/>
            <rFont val="Tahoma"/>
            <family val="2"/>
          </rPr>
          <t xml:space="preserve">
added for 2012. CIN was split into two</t>
        </r>
      </text>
    </comment>
    <comment ref="B512" authorId="0">
      <text>
        <r>
          <rPr>
            <b/>
            <sz val="8"/>
            <color indexed="81"/>
            <rFont val="Tahoma"/>
            <family val="2"/>
          </rPr>
          <t>Thomas Kramer:</t>
        </r>
        <r>
          <rPr>
            <sz val="8"/>
            <color indexed="81"/>
            <rFont val="Tahoma"/>
            <family val="2"/>
          </rPr>
          <t xml:space="preserve">
added for 2012. CIN was split into two</t>
        </r>
      </text>
    </comment>
    <comment ref="A513" authorId="0">
      <text>
        <r>
          <rPr>
            <b/>
            <sz val="8"/>
            <color indexed="81"/>
            <rFont val="Tahoma"/>
            <family val="2"/>
          </rPr>
          <t>Thomas Kramer:</t>
        </r>
        <r>
          <rPr>
            <sz val="8"/>
            <color indexed="81"/>
            <rFont val="Tahoma"/>
            <family val="2"/>
          </rPr>
          <t xml:space="preserve">
Zone SIGE</t>
        </r>
      </text>
    </comment>
    <comment ref="A551" authorId="0">
      <text>
        <r>
          <rPr>
            <b/>
            <sz val="8"/>
            <color indexed="81"/>
            <rFont val="Tahoma"/>
            <family val="2"/>
          </rPr>
          <t>Thomas Kramer:</t>
        </r>
        <r>
          <rPr>
            <sz val="8"/>
            <color indexed="81"/>
            <rFont val="Tahoma"/>
            <family val="2"/>
          </rPr>
          <t xml:space="preserve">
Zone ATSI</t>
        </r>
      </text>
    </comment>
    <comment ref="A553" authorId="0">
      <text>
        <r>
          <rPr>
            <b/>
            <sz val="8"/>
            <color indexed="81"/>
            <rFont val="Tahoma"/>
            <family val="2"/>
          </rPr>
          <t>Thomas Kramer:</t>
        </r>
        <r>
          <rPr>
            <sz val="8"/>
            <color indexed="81"/>
            <rFont val="Tahoma"/>
            <family val="2"/>
          </rPr>
          <t xml:space="preserve">
Formally CIN</t>
        </r>
      </text>
    </comment>
    <comment ref="B553" authorId="0">
      <text>
        <r>
          <rPr>
            <b/>
            <sz val="8"/>
            <color indexed="81"/>
            <rFont val="Tahoma"/>
            <family val="2"/>
          </rPr>
          <t>Thomas Kramer:</t>
        </r>
        <r>
          <rPr>
            <sz val="8"/>
            <color indexed="81"/>
            <rFont val="Tahoma"/>
            <family val="2"/>
          </rPr>
          <t xml:space="preserve">
Formally CIN</t>
        </r>
      </text>
    </comment>
    <comment ref="A554" authorId="0">
      <text>
        <r>
          <rPr>
            <b/>
            <sz val="8"/>
            <color indexed="81"/>
            <rFont val="Tahoma"/>
            <family val="2"/>
          </rPr>
          <t>Thomas Kramer:</t>
        </r>
        <r>
          <rPr>
            <sz val="8"/>
            <color indexed="81"/>
            <rFont val="Tahoma"/>
            <family val="2"/>
          </rPr>
          <t xml:space="preserve">
added for 2012. CIN was split into two</t>
        </r>
      </text>
    </comment>
    <comment ref="B554" authorId="0">
      <text>
        <r>
          <rPr>
            <b/>
            <sz val="8"/>
            <color indexed="81"/>
            <rFont val="Tahoma"/>
            <family val="2"/>
          </rPr>
          <t>Thomas Kramer:</t>
        </r>
        <r>
          <rPr>
            <sz val="8"/>
            <color indexed="81"/>
            <rFont val="Tahoma"/>
            <family val="2"/>
          </rPr>
          <t xml:space="preserve">
added for 2012. CIN was split into two</t>
        </r>
      </text>
    </comment>
    <comment ref="A555" authorId="0">
      <text>
        <r>
          <rPr>
            <b/>
            <sz val="8"/>
            <color indexed="81"/>
            <rFont val="Tahoma"/>
            <family val="2"/>
          </rPr>
          <t>Thomas Kramer:</t>
        </r>
        <r>
          <rPr>
            <sz val="8"/>
            <color indexed="81"/>
            <rFont val="Tahoma"/>
            <family val="2"/>
          </rPr>
          <t xml:space="preserve">
Zone SIGE</t>
        </r>
      </text>
    </comment>
    <comment ref="A593" authorId="0">
      <text>
        <r>
          <rPr>
            <b/>
            <sz val="8"/>
            <color indexed="81"/>
            <rFont val="Tahoma"/>
            <family val="2"/>
          </rPr>
          <t>Thomas Kramer:</t>
        </r>
        <r>
          <rPr>
            <sz val="8"/>
            <color indexed="81"/>
            <rFont val="Tahoma"/>
            <family val="2"/>
          </rPr>
          <t xml:space="preserve">
Zone ATSI</t>
        </r>
      </text>
    </comment>
    <comment ref="A595" authorId="0">
      <text>
        <r>
          <rPr>
            <b/>
            <sz val="8"/>
            <color indexed="81"/>
            <rFont val="Tahoma"/>
            <family val="2"/>
          </rPr>
          <t>Thomas Kramer:</t>
        </r>
        <r>
          <rPr>
            <sz val="8"/>
            <color indexed="81"/>
            <rFont val="Tahoma"/>
            <family val="2"/>
          </rPr>
          <t xml:space="preserve">
Formally CIN</t>
        </r>
      </text>
    </comment>
    <comment ref="B595" authorId="0">
      <text>
        <r>
          <rPr>
            <b/>
            <sz val="8"/>
            <color indexed="81"/>
            <rFont val="Tahoma"/>
            <family val="2"/>
          </rPr>
          <t>Thomas Kramer:</t>
        </r>
        <r>
          <rPr>
            <sz val="8"/>
            <color indexed="81"/>
            <rFont val="Tahoma"/>
            <family val="2"/>
          </rPr>
          <t xml:space="preserve">
Formally CIN</t>
        </r>
      </text>
    </comment>
    <comment ref="A596" authorId="0">
      <text>
        <r>
          <rPr>
            <b/>
            <sz val="8"/>
            <color indexed="81"/>
            <rFont val="Tahoma"/>
            <family val="2"/>
          </rPr>
          <t>Thomas Kramer:</t>
        </r>
        <r>
          <rPr>
            <sz val="8"/>
            <color indexed="81"/>
            <rFont val="Tahoma"/>
            <family val="2"/>
          </rPr>
          <t xml:space="preserve">
added for 2012. CIN was split into two</t>
        </r>
      </text>
    </comment>
    <comment ref="B596" authorId="0">
      <text>
        <r>
          <rPr>
            <b/>
            <sz val="8"/>
            <color indexed="81"/>
            <rFont val="Tahoma"/>
            <family val="2"/>
          </rPr>
          <t>Thomas Kramer:</t>
        </r>
        <r>
          <rPr>
            <sz val="8"/>
            <color indexed="81"/>
            <rFont val="Tahoma"/>
            <family val="2"/>
          </rPr>
          <t xml:space="preserve">
added for 2012. CIN was split into two</t>
        </r>
      </text>
    </comment>
    <comment ref="A597" authorId="0">
      <text>
        <r>
          <rPr>
            <b/>
            <sz val="8"/>
            <color indexed="81"/>
            <rFont val="Tahoma"/>
            <family val="2"/>
          </rPr>
          <t>Thomas Kramer:</t>
        </r>
        <r>
          <rPr>
            <sz val="8"/>
            <color indexed="81"/>
            <rFont val="Tahoma"/>
            <family val="2"/>
          </rPr>
          <t xml:space="preserve">
Zone SIGE</t>
        </r>
      </text>
    </comment>
    <comment ref="A635" authorId="0">
      <text>
        <r>
          <rPr>
            <b/>
            <sz val="8"/>
            <color indexed="81"/>
            <rFont val="Tahoma"/>
            <family val="2"/>
          </rPr>
          <t>Thomas Kramer:</t>
        </r>
        <r>
          <rPr>
            <sz val="8"/>
            <color indexed="81"/>
            <rFont val="Tahoma"/>
            <family val="2"/>
          </rPr>
          <t xml:space="preserve">
Zone ATSI</t>
        </r>
      </text>
    </comment>
    <comment ref="A637" authorId="0">
      <text>
        <r>
          <rPr>
            <b/>
            <sz val="8"/>
            <color indexed="81"/>
            <rFont val="Tahoma"/>
            <family val="2"/>
          </rPr>
          <t>Thomas Kramer:</t>
        </r>
        <r>
          <rPr>
            <sz val="8"/>
            <color indexed="81"/>
            <rFont val="Tahoma"/>
            <family val="2"/>
          </rPr>
          <t xml:space="preserve">
Formally CIN</t>
        </r>
      </text>
    </comment>
    <comment ref="B637" authorId="0">
      <text>
        <r>
          <rPr>
            <b/>
            <sz val="8"/>
            <color indexed="81"/>
            <rFont val="Tahoma"/>
            <family val="2"/>
          </rPr>
          <t>Thomas Kramer:</t>
        </r>
        <r>
          <rPr>
            <sz val="8"/>
            <color indexed="81"/>
            <rFont val="Tahoma"/>
            <family val="2"/>
          </rPr>
          <t xml:space="preserve">
Formally CIN</t>
        </r>
      </text>
    </comment>
    <comment ref="A638" authorId="0">
      <text>
        <r>
          <rPr>
            <b/>
            <sz val="8"/>
            <color indexed="81"/>
            <rFont val="Tahoma"/>
            <family val="2"/>
          </rPr>
          <t>Thomas Kramer:</t>
        </r>
        <r>
          <rPr>
            <sz val="8"/>
            <color indexed="81"/>
            <rFont val="Tahoma"/>
            <family val="2"/>
          </rPr>
          <t xml:space="preserve">
added for 2012. CIN was split into two</t>
        </r>
      </text>
    </comment>
    <comment ref="B638" authorId="0">
      <text>
        <r>
          <rPr>
            <b/>
            <sz val="8"/>
            <color indexed="81"/>
            <rFont val="Tahoma"/>
            <family val="2"/>
          </rPr>
          <t>Thomas Kramer:</t>
        </r>
        <r>
          <rPr>
            <sz val="8"/>
            <color indexed="81"/>
            <rFont val="Tahoma"/>
            <family val="2"/>
          </rPr>
          <t xml:space="preserve">
added for 2012. CIN was split into two</t>
        </r>
      </text>
    </comment>
    <comment ref="A639" authorId="0">
      <text>
        <r>
          <rPr>
            <b/>
            <sz val="8"/>
            <color indexed="81"/>
            <rFont val="Tahoma"/>
            <family val="2"/>
          </rPr>
          <t>Thomas Kramer:</t>
        </r>
        <r>
          <rPr>
            <sz val="8"/>
            <color indexed="81"/>
            <rFont val="Tahoma"/>
            <family val="2"/>
          </rPr>
          <t xml:space="preserve">
Zone SIGE</t>
        </r>
      </text>
    </comment>
    <comment ref="A680" authorId="0">
      <text>
        <r>
          <rPr>
            <b/>
            <sz val="8"/>
            <color indexed="81"/>
            <rFont val="Tahoma"/>
            <family val="2"/>
          </rPr>
          <t>Thomas Kramer:</t>
        </r>
        <r>
          <rPr>
            <sz val="8"/>
            <color indexed="81"/>
            <rFont val="Tahoma"/>
            <family val="2"/>
          </rPr>
          <t xml:space="preserve">
Zone ATSI</t>
        </r>
      </text>
    </comment>
    <comment ref="A682" authorId="0">
      <text>
        <r>
          <rPr>
            <b/>
            <sz val="8"/>
            <color indexed="81"/>
            <rFont val="Tahoma"/>
            <family val="2"/>
          </rPr>
          <t>Thomas Kramer:</t>
        </r>
        <r>
          <rPr>
            <sz val="8"/>
            <color indexed="81"/>
            <rFont val="Tahoma"/>
            <family val="2"/>
          </rPr>
          <t xml:space="preserve">
Formally CIN</t>
        </r>
      </text>
    </comment>
    <comment ref="B682" authorId="0">
      <text>
        <r>
          <rPr>
            <b/>
            <sz val="8"/>
            <color indexed="81"/>
            <rFont val="Tahoma"/>
            <family val="2"/>
          </rPr>
          <t>Thomas Kramer:</t>
        </r>
        <r>
          <rPr>
            <sz val="8"/>
            <color indexed="81"/>
            <rFont val="Tahoma"/>
            <family val="2"/>
          </rPr>
          <t xml:space="preserve">
Formally CIN</t>
        </r>
      </text>
    </comment>
    <comment ref="A683" authorId="0">
      <text>
        <r>
          <rPr>
            <b/>
            <sz val="8"/>
            <color indexed="81"/>
            <rFont val="Tahoma"/>
            <family val="2"/>
          </rPr>
          <t>Thomas Kramer:</t>
        </r>
        <r>
          <rPr>
            <sz val="8"/>
            <color indexed="81"/>
            <rFont val="Tahoma"/>
            <family val="2"/>
          </rPr>
          <t xml:space="preserve">
added for 2012. CIN was split into two</t>
        </r>
      </text>
    </comment>
    <comment ref="B683" authorId="0">
      <text>
        <r>
          <rPr>
            <b/>
            <sz val="8"/>
            <color indexed="81"/>
            <rFont val="Tahoma"/>
            <family val="2"/>
          </rPr>
          <t>Thomas Kramer:</t>
        </r>
        <r>
          <rPr>
            <sz val="8"/>
            <color indexed="81"/>
            <rFont val="Tahoma"/>
            <family val="2"/>
          </rPr>
          <t xml:space="preserve">
added for 2012. CIN was split into two</t>
        </r>
      </text>
    </comment>
    <comment ref="A684" authorId="0">
      <text>
        <r>
          <rPr>
            <b/>
            <sz val="8"/>
            <color indexed="81"/>
            <rFont val="Tahoma"/>
            <family val="2"/>
          </rPr>
          <t>Thomas Kramer:</t>
        </r>
        <r>
          <rPr>
            <sz val="8"/>
            <color indexed="81"/>
            <rFont val="Tahoma"/>
            <family val="2"/>
          </rPr>
          <t xml:space="preserve">
Zone SIGE</t>
        </r>
      </text>
    </comment>
    <comment ref="A726" authorId="0">
      <text>
        <r>
          <rPr>
            <b/>
            <sz val="8"/>
            <color indexed="81"/>
            <rFont val="Tahoma"/>
            <family val="2"/>
          </rPr>
          <t>Thomas Kramer:</t>
        </r>
        <r>
          <rPr>
            <sz val="8"/>
            <color indexed="81"/>
            <rFont val="Tahoma"/>
            <family val="2"/>
          </rPr>
          <t xml:space="preserve">
Zone ATSI</t>
        </r>
      </text>
    </comment>
    <comment ref="A728" authorId="0">
      <text>
        <r>
          <rPr>
            <b/>
            <sz val="8"/>
            <color indexed="81"/>
            <rFont val="Tahoma"/>
            <family val="2"/>
          </rPr>
          <t>Thomas Kramer:</t>
        </r>
        <r>
          <rPr>
            <sz val="8"/>
            <color indexed="81"/>
            <rFont val="Tahoma"/>
            <family val="2"/>
          </rPr>
          <t xml:space="preserve">
Formally CIN</t>
        </r>
      </text>
    </comment>
    <comment ref="B728" authorId="0">
      <text>
        <r>
          <rPr>
            <b/>
            <sz val="8"/>
            <color indexed="81"/>
            <rFont val="Tahoma"/>
            <family val="2"/>
          </rPr>
          <t>Thomas Kramer:</t>
        </r>
        <r>
          <rPr>
            <sz val="8"/>
            <color indexed="81"/>
            <rFont val="Tahoma"/>
            <family val="2"/>
          </rPr>
          <t xml:space="preserve">
Formally CIN</t>
        </r>
      </text>
    </comment>
    <comment ref="A729" authorId="0">
      <text>
        <r>
          <rPr>
            <b/>
            <sz val="8"/>
            <color indexed="81"/>
            <rFont val="Tahoma"/>
            <family val="2"/>
          </rPr>
          <t>Thomas Kramer:</t>
        </r>
        <r>
          <rPr>
            <sz val="8"/>
            <color indexed="81"/>
            <rFont val="Tahoma"/>
            <family val="2"/>
          </rPr>
          <t xml:space="preserve">
added for 2012. CIN was split into two</t>
        </r>
      </text>
    </comment>
    <comment ref="B729" authorId="0">
      <text>
        <r>
          <rPr>
            <b/>
            <sz val="8"/>
            <color indexed="81"/>
            <rFont val="Tahoma"/>
            <family val="2"/>
          </rPr>
          <t>Thomas Kramer:</t>
        </r>
        <r>
          <rPr>
            <sz val="8"/>
            <color indexed="81"/>
            <rFont val="Tahoma"/>
            <family val="2"/>
          </rPr>
          <t xml:space="preserve">
added for 2012. CIN was split into two</t>
        </r>
      </text>
    </comment>
    <comment ref="A730" authorId="0">
      <text>
        <r>
          <rPr>
            <b/>
            <sz val="8"/>
            <color indexed="81"/>
            <rFont val="Tahoma"/>
            <family val="2"/>
          </rPr>
          <t>Thomas Kramer:</t>
        </r>
        <r>
          <rPr>
            <sz val="8"/>
            <color indexed="81"/>
            <rFont val="Tahoma"/>
            <family val="2"/>
          </rPr>
          <t xml:space="preserve">
Zone SIGE</t>
        </r>
      </text>
    </comment>
    <comment ref="A772" authorId="0">
      <text>
        <r>
          <rPr>
            <b/>
            <sz val="8"/>
            <color indexed="81"/>
            <rFont val="Tahoma"/>
            <family val="2"/>
          </rPr>
          <t>Thomas Kramer:</t>
        </r>
        <r>
          <rPr>
            <sz val="8"/>
            <color indexed="81"/>
            <rFont val="Tahoma"/>
            <family val="2"/>
          </rPr>
          <t xml:space="preserve">
Zone ATSI</t>
        </r>
      </text>
    </comment>
    <comment ref="A774" authorId="0">
      <text>
        <r>
          <rPr>
            <b/>
            <sz val="8"/>
            <color indexed="81"/>
            <rFont val="Tahoma"/>
            <family val="2"/>
          </rPr>
          <t>Thomas Kramer:</t>
        </r>
        <r>
          <rPr>
            <sz val="8"/>
            <color indexed="81"/>
            <rFont val="Tahoma"/>
            <family val="2"/>
          </rPr>
          <t xml:space="preserve">
added for 2012. CIN was split into two</t>
        </r>
      </text>
    </comment>
    <comment ref="B774" authorId="0">
      <text>
        <r>
          <rPr>
            <b/>
            <sz val="8"/>
            <color indexed="81"/>
            <rFont val="Tahoma"/>
            <family val="2"/>
          </rPr>
          <t>Thomas Kramer:</t>
        </r>
        <r>
          <rPr>
            <sz val="8"/>
            <color indexed="81"/>
            <rFont val="Tahoma"/>
            <family val="2"/>
          </rPr>
          <t xml:space="preserve">
Formally CIN</t>
        </r>
      </text>
    </comment>
    <comment ref="A775" authorId="0">
      <text>
        <r>
          <rPr>
            <b/>
            <sz val="8"/>
            <color indexed="81"/>
            <rFont val="Tahoma"/>
            <family val="2"/>
          </rPr>
          <t>Thomas Kramer:</t>
        </r>
        <r>
          <rPr>
            <sz val="8"/>
            <color indexed="81"/>
            <rFont val="Tahoma"/>
            <family val="2"/>
          </rPr>
          <t xml:space="preserve">
added for 2012. CIN was split into two</t>
        </r>
      </text>
    </comment>
    <comment ref="B775" authorId="0">
      <text>
        <r>
          <rPr>
            <b/>
            <sz val="8"/>
            <color indexed="81"/>
            <rFont val="Tahoma"/>
            <family val="2"/>
          </rPr>
          <t>Thomas Kramer:</t>
        </r>
        <r>
          <rPr>
            <sz val="8"/>
            <color indexed="81"/>
            <rFont val="Tahoma"/>
            <family val="2"/>
          </rPr>
          <t xml:space="preserve">
added for 2012. CIN was split into two</t>
        </r>
      </text>
    </comment>
    <comment ref="A776" authorId="0">
      <text>
        <r>
          <rPr>
            <b/>
            <sz val="8"/>
            <color indexed="81"/>
            <rFont val="Tahoma"/>
            <family val="2"/>
          </rPr>
          <t>Thomas Kramer:</t>
        </r>
        <r>
          <rPr>
            <sz val="8"/>
            <color indexed="81"/>
            <rFont val="Tahoma"/>
            <family val="2"/>
          </rPr>
          <t xml:space="preserve">
Zone SIGE</t>
        </r>
      </text>
    </comment>
    <comment ref="A818" authorId="0">
      <text>
        <r>
          <rPr>
            <b/>
            <sz val="8"/>
            <color indexed="81"/>
            <rFont val="Tahoma"/>
            <family val="2"/>
          </rPr>
          <t>Thomas Kramer:</t>
        </r>
        <r>
          <rPr>
            <sz val="8"/>
            <color indexed="81"/>
            <rFont val="Tahoma"/>
            <family val="2"/>
          </rPr>
          <t xml:space="preserve">
Zone ATSI</t>
        </r>
      </text>
    </comment>
    <comment ref="A820" authorId="0">
      <text>
        <r>
          <rPr>
            <b/>
            <sz val="8"/>
            <color indexed="81"/>
            <rFont val="Tahoma"/>
            <family val="2"/>
          </rPr>
          <t>Thomas Kramer:</t>
        </r>
        <r>
          <rPr>
            <sz val="8"/>
            <color indexed="81"/>
            <rFont val="Tahoma"/>
            <family val="2"/>
          </rPr>
          <t xml:space="preserve">
Formally CIN</t>
        </r>
      </text>
    </comment>
    <comment ref="B820" authorId="0">
      <text>
        <r>
          <rPr>
            <b/>
            <sz val="8"/>
            <color indexed="81"/>
            <rFont val="Tahoma"/>
            <family val="2"/>
          </rPr>
          <t>Thomas Kramer:</t>
        </r>
        <r>
          <rPr>
            <sz val="8"/>
            <color indexed="81"/>
            <rFont val="Tahoma"/>
            <family val="2"/>
          </rPr>
          <t xml:space="preserve">
Formally CIN</t>
        </r>
      </text>
    </comment>
    <comment ref="A821" authorId="0">
      <text>
        <r>
          <rPr>
            <b/>
            <sz val="8"/>
            <color indexed="81"/>
            <rFont val="Tahoma"/>
            <family val="2"/>
          </rPr>
          <t>Thomas Kramer:</t>
        </r>
        <r>
          <rPr>
            <sz val="8"/>
            <color indexed="81"/>
            <rFont val="Tahoma"/>
            <family val="2"/>
          </rPr>
          <t xml:space="preserve">
Formally CIN</t>
        </r>
      </text>
    </comment>
    <comment ref="B821" authorId="0">
      <text>
        <r>
          <rPr>
            <b/>
            <sz val="8"/>
            <color indexed="81"/>
            <rFont val="Tahoma"/>
            <family val="2"/>
          </rPr>
          <t>Thomas Kramer:</t>
        </r>
        <r>
          <rPr>
            <sz val="8"/>
            <color indexed="81"/>
            <rFont val="Tahoma"/>
            <family val="2"/>
          </rPr>
          <t xml:space="preserve">
added for 2012. CIN was split into two</t>
        </r>
      </text>
    </comment>
    <comment ref="A822" authorId="0">
      <text>
        <r>
          <rPr>
            <b/>
            <sz val="8"/>
            <color indexed="81"/>
            <rFont val="Tahoma"/>
            <family val="2"/>
          </rPr>
          <t>Thomas Kramer:</t>
        </r>
        <r>
          <rPr>
            <sz val="8"/>
            <color indexed="81"/>
            <rFont val="Tahoma"/>
            <family val="2"/>
          </rPr>
          <t xml:space="preserve">
added for 2012. CIN was split into two</t>
        </r>
      </text>
    </comment>
    <comment ref="B822" authorId="0">
      <text>
        <r>
          <rPr>
            <b/>
            <sz val="8"/>
            <color indexed="81"/>
            <rFont val="Tahoma"/>
            <family val="2"/>
          </rPr>
          <t>Thomas Kramer:</t>
        </r>
        <r>
          <rPr>
            <sz val="8"/>
            <color indexed="81"/>
            <rFont val="Tahoma"/>
            <family val="2"/>
          </rPr>
          <t xml:space="preserve">
added for 2012. CIN was split into two</t>
        </r>
      </text>
    </comment>
    <comment ref="A823" authorId="0">
      <text>
        <r>
          <rPr>
            <b/>
            <sz val="8"/>
            <color indexed="81"/>
            <rFont val="Tahoma"/>
            <family val="2"/>
          </rPr>
          <t>Thomas Kramer:</t>
        </r>
        <r>
          <rPr>
            <sz val="8"/>
            <color indexed="81"/>
            <rFont val="Tahoma"/>
            <family val="2"/>
          </rPr>
          <t xml:space="preserve">
Zone SIGE</t>
        </r>
      </text>
    </comment>
    <comment ref="B876" authorId="0">
      <text>
        <r>
          <rPr>
            <b/>
            <sz val="8"/>
            <color indexed="81"/>
            <rFont val="Tahoma"/>
            <family val="2"/>
          </rPr>
          <t>Thomas Kramer:</t>
        </r>
        <r>
          <rPr>
            <sz val="8"/>
            <color indexed="81"/>
            <rFont val="Tahoma"/>
            <family val="2"/>
          </rPr>
          <t xml:space="preserve">
Formally CIN</t>
        </r>
      </text>
    </comment>
    <comment ref="B877" authorId="0">
      <text>
        <r>
          <rPr>
            <b/>
            <sz val="8"/>
            <color indexed="81"/>
            <rFont val="Tahoma"/>
            <family val="2"/>
          </rPr>
          <t>Thomas Kramer:</t>
        </r>
        <r>
          <rPr>
            <sz val="8"/>
            <color indexed="81"/>
            <rFont val="Tahoma"/>
            <family val="2"/>
          </rPr>
          <t xml:space="preserve">
added for 2012. CIN was split into two</t>
        </r>
      </text>
    </comment>
  </commentList>
</comments>
</file>

<file path=xl/comments2.xml><?xml version="1.0" encoding="utf-8"?>
<comments xmlns="http://schemas.openxmlformats.org/spreadsheetml/2006/main">
  <authors>
    <author>Jeff Haselhorst</author>
    <author>Michael Gard</author>
    <author>Ron Gable</author>
  </authors>
  <commentList>
    <comment ref="B36" authorId="0">
      <text>
        <r>
          <rPr>
            <b/>
            <sz val="9"/>
            <color indexed="81"/>
            <rFont val="Tahoma"/>
            <family val="2"/>
          </rPr>
          <t>Jeff Haselhorst:</t>
        </r>
        <r>
          <rPr>
            <sz val="9"/>
            <color indexed="81"/>
            <rFont val="Tahoma"/>
            <family val="2"/>
          </rPr>
          <t xml:space="preserve">
This amount does not include the SMEPA load in the EMI TPZ.</t>
        </r>
      </text>
    </comment>
    <comment ref="B68" authorId="1">
      <text>
        <r>
          <rPr>
            <b/>
            <sz val="8"/>
            <color indexed="81"/>
            <rFont val="Tahoma"/>
            <family val="2"/>
          </rPr>
          <t>Michael Gard:</t>
        </r>
        <r>
          <rPr>
            <sz val="8"/>
            <color indexed="81"/>
            <rFont val="Tahoma"/>
            <family val="2"/>
          </rPr>
          <t xml:space="preserve">
ITCM load as reported on Attachment O less loads of other Transmission Oweners in ITCM zone.</t>
        </r>
      </text>
    </comment>
    <comment ref="B75" authorId="1">
      <text>
        <r>
          <rPr>
            <b/>
            <sz val="8"/>
            <color indexed="81"/>
            <rFont val="Tahoma"/>
            <family val="2"/>
          </rPr>
          <t>Michael Gard:</t>
        </r>
        <r>
          <rPr>
            <sz val="8"/>
            <color indexed="81"/>
            <rFont val="Tahoma"/>
            <family val="2"/>
          </rPr>
          <t xml:space="preserve">
Total will match amount reported on line 15, page 1 of 5, of the Actual ITCM Attachment O.</t>
        </r>
      </text>
    </comment>
    <comment ref="B76" authorId="1">
      <text>
        <r>
          <rPr>
            <b/>
            <sz val="8"/>
            <color indexed="81"/>
            <rFont val="Tahoma"/>
            <family val="2"/>
          </rPr>
          <t>Michael Gard:</t>
        </r>
        <r>
          <rPr>
            <sz val="8"/>
            <color indexed="81"/>
            <rFont val="Tahoma"/>
            <family val="2"/>
          </rPr>
          <t xml:space="preserve">
Includes only AC System load as reported on line 15, page 1 of 6, of the Actual Attachment O.</t>
        </r>
      </text>
    </comment>
    <comment ref="B85" authorId="1">
      <text>
        <r>
          <rPr>
            <b/>
            <sz val="8"/>
            <color indexed="81"/>
            <rFont val="Tahoma"/>
            <family val="2"/>
          </rPr>
          <t>Michael Gard:</t>
        </r>
        <r>
          <rPr>
            <sz val="8"/>
            <color indexed="81"/>
            <rFont val="Tahoma"/>
            <family val="2"/>
          </rPr>
          <t xml:space="preserve">
NSP load as reported on line 15, page 1 of 5, of the Actual Attachment O less NWEC, Glencoe, Blue Earth and Delano; as the loads for these four Transmission Owners are included in the load NSP has reported in line 15.  Also subtract NSP load in OTP PZ as it is included in NSP Att O.</t>
        </r>
      </text>
    </comment>
    <comment ref="B108" authorId="0">
      <text>
        <r>
          <rPr>
            <b/>
            <sz val="9"/>
            <color indexed="81"/>
            <rFont val="Tahoma"/>
            <family val="2"/>
          </rPr>
          <t>Jeff Haselhorst:</t>
        </r>
        <r>
          <rPr>
            <sz val="9"/>
            <color indexed="81"/>
            <rFont val="Tahoma"/>
            <family val="2"/>
          </rPr>
          <t xml:space="preserve">
Total will match amount reported on line 15, page 1 of 5, of the Actual DPC Attachment O.</t>
        </r>
      </text>
    </comment>
    <comment ref="B115" authorId="0">
      <text>
        <r>
          <rPr>
            <b/>
            <sz val="9"/>
            <color indexed="81"/>
            <rFont val="Tahoma"/>
            <family val="2"/>
          </rPr>
          <t>Jeff Haselhorst:</t>
        </r>
        <r>
          <rPr>
            <sz val="9"/>
            <color indexed="81"/>
            <rFont val="Tahoma"/>
            <family val="2"/>
          </rPr>
          <t xml:space="preserve">
RPU became a historical TO in 12/14.  Their 12 CP load for all of 2014 had to be requested.  We only include the amount above the 216 MW that SMMPA inlcudes in their submission.</t>
        </r>
      </text>
    </comment>
    <comment ref="B124" authorId="0">
      <text>
        <r>
          <rPr>
            <b/>
            <sz val="9"/>
            <color indexed="81"/>
            <rFont val="Tahoma"/>
            <family val="2"/>
          </rPr>
          <t>Jeff Haselhorst:</t>
        </r>
        <r>
          <rPr>
            <sz val="9"/>
            <color indexed="81"/>
            <rFont val="Tahoma"/>
            <family val="2"/>
          </rPr>
          <t xml:space="preserve">
EATO to report all AECC load for 2014 &amp; beyond…even the non-conforming NITSA load.</t>
        </r>
      </text>
    </comment>
    <comment ref="B127" authorId="0">
      <text>
        <r>
          <rPr>
            <b/>
            <sz val="9"/>
            <color indexed="81"/>
            <rFont val="Tahoma"/>
            <family val="2"/>
          </rPr>
          <t>Jeff Haselhorst:</t>
        </r>
        <r>
          <rPr>
            <sz val="9"/>
            <color indexed="81"/>
            <rFont val="Tahoma"/>
            <family val="2"/>
          </rPr>
          <t xml:space="preserve">
Amount inlcudes CLECO load in ELL. Combined with EGSL in 11/15.</t>
        </r>
      </text>
    </comment>
    <comment ref="B130" authorId="0">
      <text>
        <r>
          <rPr>
            <b/>
            <sz val="9"/>
            <color indexed="81"/>
            <rFont val="Tahoma"/>
            <family val="2"/>
          </rPr>
          <t>Jeff Haselhorst:</t>
        </r>
        <r>
          <rPr>
            <sz val="9"/>
            <color indexed="81"/>
            <rFont val="Tahoma"/>
            <family val="2"/>
          </rPr>
          <t xml:space="preserve">
Amount includes CLECO load in EGSL.</t>
        </r>
      </text>
    </comment>
    <comment ref="C147" authorId="2">
      <text>
        <r>
          <rPr>
            <b/>
            <sz val="9"/>
            <color indexed="81"/>
            <rFont val="Tahoma"/>
            <family val="2"/>
          </rPr>
          <t>Ron Gable:</t>
        </r>
        <r>
          <rPr>
            <sz val="9"/>
            <color indexed="81"/>
            <rFont val="Tahoma"/>
            <family val="2"/>
          </rPr>
          <t xml:space="preserve">
NSP load in OTP PZ</t>
        </r>
      </text>
    </comment>
  </commentList>
</comments>
</file>

<file path=xl/sharedStrings.xml><?xml version="1.0" encoding="utf-8"?>
<sst xmlns="http://schemas.openxmlformats.org/spreadsheetml/2006/main" count="2512" uniqueCount="650">
  <si>
    <t>Project ID:</t>
  </si>
  <si>
    <t>1366  GIP</t>
  </si>
  <si>
    <t>Project Name:</t>
  </si>
  <si>
    <t>G405, Colvill Generating station - Interconnection</t>
  </si>
  <si>
    <t>Voltage Class</t>
  </si>
  <si>
    <t>161 kV, 115 kV and 69 kV</t>
  </si>
  <si>
    <t xml:space="preserve">Region / Zone: </t>
  </si>
  <si>
    <t>West / NSP</t>
  </si>
  <si>
    <t>ARR</t>
  </si>
  <si>
    <t>Postage Stamp</t>
  </si>
  <si>
    <t>Sub-regional</t>
  </si>
  <si>
    <t>Allocation Total</t>
  </si>
  <si>
    <t>Allocation</t>
  </si>
  <si>
    <t>Pricing Zone</t>
  </si>
  <si>
    <t>%</t>
  </si>
  <si>
    <t>$</t>
  </si>
  <si>
    <t>FE</t>
  </si>
  <si>
    <t>HE</t>
  </si>
  <si>
    <t>VECT</t>
  </si>
  <si>
    <t>IPL</t>
  </si>
  <si>
    <t>NIPS</t>
  </si>
  <si>
    <t>METC</t>
  </si>
  <si>
    <t>ITC</t>
  </si>
  <si>
    <t>ITCM</t>
  </si>
  <si>
    <t>CWLD</t>
  </si>
  <si>
    <t>AMIL</t>
  </si>
  <si>
    <t>AMMO</t>
  </si>
  <si>
    <t>CWLP</t>
  </si>
  <si>
    <t>SIPC</t>
  </si>
  <si>
    <t>ATC</t>
  </si>
  <si>
    <t>NSP</t>
  </si>
  <si>
    <t>MP</t>
  </si>
  <si>
    <t>SMMPA</t>
  </si>
  <si>
    <t>GRE</t>
  </si>
  <si>
    <t>OTP</t>
  </si>
  <si>
    <t>MDU</t>
  </si>
  <si>
    <t>1456  GIP</t>
  </si>
  <si>
    <t>G255 - 100 MW wind generation, Brookings County, SD</t>
  </si>
  <si>
    <t>115 kV</t>
  </si>
  <si>
    <t>A</t>
  </si>
  <si>
    <t>B</t>
  </si>
  <si>
    <t>C</t>
  </si>
  <si>
    <t>E</t>
  </si>
  <si>
    <t>Revenue True-Up Adjustment</t>
  </si>
  <si>
    <t>Attachment GG</t>
  </si>
  <si>
    <t xml:space="preserve">Total </t>
  </si>
  <si>
    <t>Cost True-Up</t>
  </si>
  <si>
    <t>Revenue True-Up</t>
  </si>
  <si>
    <t>Zonal True-Up</t>
  </si>
  <si>
    <t>True-Up</t>
  </si>
  <si>
    <t>Adjustment</t>
  </si>
  <si>
    <t>Actual Revenue</t>
  </si>
  <si>
    <t>Interest</t>
  </si>
  <si>
    <t>Amount</t>
  </si>
  <si>
    <t>Over/(Under) collection</t>
  </si>
  <si>
    <t>F</t>
  </si>
  <si>
    <t>G</t>
  </si>
  <si>
    <t>Jan.</t>
  </si>
  <si>
    <t>Feb.</t>
  </si>
  <si>
    <t>Mar</t>
  </si>
  <si>
    <t>Apr</t>
  </si>
  <si>
    <t>May</t>
  </si>
  <si>
    <t>Jun</t>
  </si>
  <si>
    <t>Jul</t>
  </si>
  <si>
    <t>Aug</t>
  </si>
  <si>
    <t>Sep</t>
  </si>
  <si>
    <t>Oct</t>
  </si>
  <si>
    <t>Nov</t>
  </si>
  <si>
    <t>Dec</t>
  </si>
  <si>
    <t>12 CP</t>
  </si>
  <si>
    <t>DUK</t>
  </si>
  <si>
    <t>Michigan Joint Zone</t>
  </si>
  <si>
    <t>Michigan Jt Zone Subzone</t>
  </si>
  <si>
    <t>Total</t>
  </si>
  <si>
    <t>WVPA</t>
  </si>
  <si>
    <t>IMPA</t>
  </si>
  <si>
    <t>Joint Transmission System</t>
  </si>
  <si>
    <t>Michigan Joint Sub-Zone</t>
  </si>
  <si>
    <t xml:space="preserve">     Michigan Joint Zone</t>
  </si>
  <si>
    <t>MPPA</t>
  </si>
  <si>
    <t>Wolverine</t>
  </si>
  <si>
    <t>MSCPA</t>
  </si>
  <si>
    <t>Traverse City</t>
  </si>
  <si>
    <t>Grand Haven</t>
  </si>
  <si>
    <t>Zeeland</t>
  </si>
  <si>
    <t>Mich Joint Zone</t>
  </si>
  <si>
    <t>International</t>
  </si>
  <si>
    <t>Great River Energy</t>
  </si>
  <si>
    <t>Elk River</t>
  </si>
  <si>
    <t>Northern States</t>
  </si>
  <si>
    <t>ITC Midwest</t>
  </si>
  <si>
    <t>Mountian Lake</t>
  </si>
  <si>
    <t>Windom</t>
  </si>
  <si>
    <t>Minnesota Power</t>
  </si>
  <si>
    <t>Otter Tail</t>
  </si>
  <si>
    <t>Blue Earth</t>
  </si>
  <si>
    <t>Delano</t>
  </si>
  <si>
    <t>Projected</t>
  </si>
  <si>
    <t>Allocation %</t>
  </si>
  <si>
    <t>Revenue</t>
  </si>
  <si>
    <t xml:space="preserve">of Proj. Rev. </t>
  </si>
  <si>
    <t>of Non-Zonal</t>
  </si>
  <si>
    <t>Requirement</t>
  </si>
  <si>
    <t>Project</t>
  </si>
  <si>
    <t>Interest Calculation With Quarterly Compounding</t>
  </si>
  <si>
    <t>Principal</t>
  </si>
  <si>
    <t>Cumulative Interest</t>
  </si>
  <si>
    <t>Tipton</t>
  </si>
  <si>
    <t>Non-GFA</t>
  </si>
  <si>
    <t>Mi Joint Zone (Zone 13)</t>
  </si>
  <si>
    <t>GFA</t>
  </si>
  <si>
    <t>Mi Joint Zone Subzone (Zone 13A)</t>
  </si>
  <si>
    <t>MEC</t>
  </si>
  <si>
    <t>MPW</t>
  </si>
  <si>
    <t>Interest Calculation</t>
  </si>
  <si>
    <t>1457  GIP</t>
  </si>
  <si>
    <t>G287 - 200 MW wind generation, Nobles County, MN</t>
  </si>
  <si>
    <t>345 kV, 115 kV</t>
  </si>
  <si>
    <t>XEL1953_St Cloud - Sauk 115kV</t>
  </si>
  <si>
    <t>MI13AG</t>
  </si>
  <si>
    <t>MI13ANG</t>
  </si>
  <si>
    <t>DPC</t>
  </si>
  <si>
    <t>BREC</t>
  </si>
  <si>
    <t>MRES</t>
  </si>
  <si>
    <t>NWEC</t>
  </si>
  <si>
    <t>CFU</t>
  </si>
  <si>
    <t>Atlantic</t>
  </si>
  <si>
    <t>IPPA</t>
  </si>
  <si>
    <t>Eldridge</t>
  </si>
  <si>
    <t>Pella</t>
  </si>
  <si>
    <t>Montezuma</t>
  </si>
  <si>
    <t>Loads for Attachment GG True-Ups</t>
  </si>
  <si>
    <t>Note 6, 8, 10 and 12 Divisor</t>
  </si>
  <si>
    <t>Note 5, 7, 9 and 11 Divisor</t>
  </si>
  <si>
    <t>2765 GIP</t>
  </si>
  <si>
    <t>279 - NSP portion - see below for OTP, MP, GRE</t>
  </si>
  <si>
    <t>Boswell - Wilton 230 kV Line</t>
  </si>
  <si>
    <t>230 kV</t>
  </si>
  <si>
    <t>West / MPC, NSP, OTP, MP</t>
  </si>
  <si>
    <t>286 - NSP portion</t>
  </si>
  <si>
    <t>Capx_Twin Cities - Fargo 345kV project</t>
  </si>
  <si>
    <t>West / GRE/NSP/OTP/MP</t>
  </si>
  <si>
    <t>Capx_Twin Cities - La Crosse 345kV project</t>
  </si>
  <si>
    <t>1458  GIP</t>
  </si>
  <si>
    <t>G349 - 200 MW wind generation, Brookings County, SD</t>
  </si>
  <si>
    <t>1366</t>
  </si>
  <si>
    <t>1456</t>
  </si>
  <si>
    <t>1457</t>
  </si>
  <si>
    <t>1953</t>
  </si>
  <si>
    <t>279</t>
  </si>
  <si>
    <t>1024</t>
  </si>
  <si>
    <t>1458</t>
  </si>
  <si>
    <t>2765</t>
  </si>
  <si>
    <t>Ulik Wind Farm (G185)</t>
  </si>
  <si>
    <t>Att GG</t>
  </si>
  <si>
    <t>Interest on Over Collections</t>
  </si>
  <si>
    <t>Interest Rate FERC</t>
  </si>
  <si>
    <t>Over</t>
  </si>
  <si>
    <t>Under</t>
  </si>
  <si>
    <t>Revenue Booked</t>
  </si>
  <si>
    <t>Actual Revenue Booked</t>
  </si>
  <si>
    <t>Total Actual Revenue Booked</t>
  </si>
  <si>
    <t>Estimated</t>
  </si>
  <si>
    <t xml:space="preserve">D </t>
  </si>
  <si>
    <t>C - B</t>
  </si>
  <si>
    <t>A + D</t>
  </si>
  <si>
    <t>E +F</t>
  </si>
  <si>
    <t>Actual Book Revenue</t>
  </si>
  <si>
    <t>Cost True Up</t>
  </si>
  <si>
    <t>Load Adj Rev</t>
  </si>
  <si>
    <t>Act Booked Rev</t>
  </si>
  <si>
    <t>Act - Load Adj</t>
  </si>
  <si>
    <t>Total Adj</t>
  </si>
  <si>
    <t>Int</t>
  </si>
  <si>
    <t>Adj + Int</t>
  </si>
  <si>
    <t>Less Cost True-Up</t>
  </si>
  <si>
    <t>Less Rev True-Up</t>
  </si>
  <si>
    <t>Net Revenue after true-up</t>
  </si>
  <si>
    <t>Actaul Booked Revenue</t>
  </si>
  <si>
    <t>Load Adjusted Revenue By Zone</t>
  </si>
  <si>
    <t>Summary By Zone</t>
  </si>
  <si>
    <t>Actual</t>
  </si>
  <si>
    <t>2109   GIP</t>
  </si>
  <si>
    <t>XEL_2109_G609</t>
  </si>
  <si>
    <t>2119  GIP</t>
  </si>
  <si>
    <t>XEL_2119_G417</t>
  </si>
  <si>
    <t>ATSI = FE</t>
  </si>
  <si>
    <t>DUK = CIN</t>
  </si>
  <si>
    <t>SIGE = VECT</t>
  </si>
  <si>
    <t>Hutchinson</t>
  </si>
  <si>
    <t>GRE Total</t>
  </si>
  <si>
    <t>2109</t>
  </si>
  <si>
    <t>2119</t>
  </si>
  <si>
    <t>Interest Rate NSP Short Term</t>
  </si>
  <si>
    <t>2178 GIP</t>
  </si>
  <si>
    <t>Pleasant Valley</t>
  </si>
  <si>
    <t>Interest on Under Collections</t>
  </si>
  <si>
    <t>ATXI</t>
  </si>
  <si>
    <t>SMMPA Total</t>
  </si>
  <si>
    <t>NSP Total</t>
  </si>
  <si>
    <t>P</t>
  </si>
  <si>
    <t>DEO &amp; DEK</t>
  </si>
  <si>
    <t>B14</t>
  </si>
  <si>
    <t>B15</t>
  </si>
  <si>
    <t>B16</t>
  </si>
  <si>
    <t>B17</t>
  </si>
  <si>
    <t>B18</t>
  </si>
  <si>
    <t>B19</t>
  </si>
  <si>
    <t>B20</t>
  </si>
  <si>
    <t>B21</t>
  </si>
  <si>
    <t>B22</t>
  </si>
  <si>
    <t>B23</t>
  </si>
  <si>
    <t>B24</t>
  </si>
  <si>
    <t>B25</t>
  </si>
  <si>
    <t>B26</t>
  </si>
  <si>
    <t>B27</t>
  </si>
  <si>
    <t>B28</t>
  </si>
  <si>
    <t>B29</t>
  </si>
  <si>
    <t>B30</t>
  </si>
  <si>
    <t>N4</t>
  </si>
  <si>
    <t>N5</t>
  </si>
  <si>
    <t>N6</t>
  </si>
  <si>
    <t>N7</t>
  </si>
  <si>
    <t>N8</t>
  </si>
  <si>
    <t>N9</t>
  </si>
  <si>
    <t>N10</t>
  </si>
  <si>
    <t>N11</t>
  </si>
  <si>
    <t>N12</t>
  </si>
  <si>
    <t>N13</t>
  </si>
  <si>
    <t>N14</t>
  </si>
  <si>
    <t>N15</t>
  </si>
  <si>
    <t>N16</t>
  </si>
  <si>
    <t>N17</t>
  </si>
  <si>
    <t>N18</t>
  </si>
  <si>
    <t>N19</t>
  </si>
  <si>
    <t>N20</t>
  </si>
  <si>
    <t>N21</t>
  </si>
  <si>
    <t>N22</t>
  </si>
  <si>
    <t>N23</t>
  </si>
  <si>
    <t>N24</t>
  </si>
  <si>
    <t>N25</t>
  </si>
  <si>
    <t>N26</t>
  </si>
  <si>
    <t>N27</t>
  </si>
  <si>
    <t>N28</t>
  </si>
  <si>
    <t>N29</t>
  </si>
  <si>
    <t>N30</t>
  </si>
  <si>
    <t>B4</t>
  </si>
  <si>
    <t>B5</t>
  </si>
  <si>
    <t>B6</t>
  </si>
  <si>
    <t>B7</t>
  </si>
  <si>
    <t>B8</t>
  </si>
  <si>
    <t>B9</t>
  </si>
  <si>
    <t>B10</t>
  </si>
  <si>
    <t>B11</t>
  </si>
  <si>
    <t>B12</t>
  </si>
  <si>
    <t>B13</t>
  </si>
  <si>
    <t>Revenue Ratio</t>
  </si>
  <si>
    <t>XEL1285_Glencoe_2_WWACONIA_new115</t>
  </si>
  <si>
    <t>115Kv</t>
  </si>
  <si>
    <t>West/NSP</t>
  </si>
  <si>
    <t>DEI</t>
  </si>
  <si>
    <t xml:space="preserve">        Sch 26 Sub-Reg Rate Ad</t>
  </si>
  <si>
    <t>St Cloud Loop</t>
  </si>
  <si>
    <t>Cancelled</t>
  </si>
  <si>
    <t>Wilmarth Sub</t>
  </si>
  <si>
    <t>Worthington</t>
  </si>
  <si>
    <t>Benson</t>
  </si>
  <si>
    <t>Detroit Lakes</t>
  </si>
  <si>
    <t>CMMPA- Agency</t>
  </si>
  <si>
    <t>MMPA</t>
  </si>
  <si>
    <t>PPI</t>
  </si>
  <si>
    <t>EATO</t>
  </si>
  <si>
    <t>AECC</t>
  </si>
  <si>
    <t>ELTO</t>
  </si>
  <si>
    <t>CLEC</t>
  </si>
  <si>
    <t>ENO</t>
  </si>
  <si>
    <t>EGSL</t>
  </si>
  <si>
    <t>EMTO</t>
  </si>
  <si>
    <t>SME</t>
  </si>
  <si>
    <t>ETTO</t>
  </si>
  <si>
    <t>Sam Houston</t>
  </si>
  <si>
    <t>Tex-La</t>
  </si>
  <si>
    <t>Jasper-Newton</t>
  </si>
  <si>
    <t>Deep East Texas</t>
  </si>
  <si>
    <t>LAFA</t>
  </si>
  <si>
    <t>Jasper Newton</t>
  </si>
  <si>
    <t>286</t>
  </si>
  <si>
    <t>2178</t>
  </si>
  <si>
    <t>1285</t>
  </si>
  <si>
    <t>2307</t>
  </si>
  <si>
    <t>3104</t>
  </si>
  <si>
    <t xml:space="preserve">Data Per MISO </t>
  </si>
  <si>
    <t>Load Information per MISO</t>
  </si>
  <si>
    <t>Formula Rate calculation</t>
  </si>
  <si>
    <t xml:space="preserve">     Rate Formula Template</t>
  </si>
  <si>
    <t xml:space="preserve"> </t>
  </si>
  <si>
    <t xml:space="preserve"> Utilizing Attachment O Data</t>
  </si>
  <si>
    <t>Page 1 of 2</t>
  </si>
  <si>
    <t>Northern States Power Companies</t>
  </si>
  <si>
    <t>To be completed in conjunction with Attachment O.</t>
  </si>
  <si>
    <t>(1)</t>
  </si>
  <si>
    <t>(2)</t>
  </si>
  <si>
    <t>(3)</t>
  </si>
  <si>
    <t>(4)</t>
  </si>
  <si>
    <t>Attachment O</t>
  </si>
  <si>
    <t>Line</t>
  </si>
  <si>
    <t>Page, Line, Col.</t>
  </si>
  <si>
    <t>Transmission</t>
  </si>
  <si>
    <t>Allocator</t>
  </si>
  <si>
    <t>No.</t>
  </si>
  <si>
    <t>Gross Transmission Plant - Total</t>
  </si>
  <si>
    <t>Attach O, p 2, line 2 col 5 (Note A)</t>
  </si>
  <si>
    <t>Net Transmission Plant - Total</t>
  </si>
  <si>
    <t>Attach O, p 2, line 14 and 23b col 5 (Note B)</t>
  </si>
  <si>
    <t>O&amp;M EXPENSE</t>
  </si>
  <si>
    <t>Total O&amp;M Allocated to Transmission</t>
  </si>
  <si>
    <t>Attach O, p 3, line 8 col 5</t>
  </si>
  <si>
    <t>Annual Allocation Factor for O&amp;M</t>
  </si>
  <si>
    <t>(line 3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</si>
  <si>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</si>
  <si>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</si>
  <si>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</si>
  <si>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</si>
  <si>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</si>
  <si>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</si>
  <si>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</si>
  <si>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</si>
  <si>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</si>
  <si>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</si>
  <si>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</si>
  <si>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</si>
  <si>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</si>
  <si>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</si>
  <si>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</si>
  <si>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Expense</t>
  </si>
  <si>
    <t>Sum of line 4, 6, and 8</t>
  </si>
  <si>
    <t>INCOME TAXES</t>
  </si>
  <si>
    <t>10</t>
  </si>
  <si>
    <t>Total Income Taxes</t>
  </si>
  <si>
    <t>Attach O, p 3, line 27 col 5</t>
  </si>
  <si>
    <t>11</t>
  </si>
  <si>
    <t>Annual Allocation Factor for Income Taxes</t>
  </si>
  <si>
    <t>(line 10 divided by line 2 col 3)</t>
  </si>
  <si>
    <t xml:space="preserve">RETURN </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</si>
  <si>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</si>
  <si>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</si>
  <si>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</si>
  <si>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</si>
  <si>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</si>
  <si>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</si>
  <si>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</si>
  <si>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</si>
  <si>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</si>
  <si>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</si>
  <si>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 xml:space="preserve">                           Network Upgrade Charge Calculation By Project</t>
  </si>
  <si>
    <t>Line No.</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</si>
  <si>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</si>
  <si>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</si>
  <si>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</si>
  <si>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</si>
  <si>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</si>
  <si>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</si>
  <si>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</si>
  <si>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</si>
  <si>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</si>
  <si>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</si>
  <si>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(Note C)</t>
  </si>
  <si>
    <t>(Page 1 line 7)</t>
  </si>
  <si>
    <t>(Col. 3 * Col. 4)</t>
  </si>
  <si>
    <t>(Note D)</t>
  </si>
  <si>
    <t>(Page 1 line 12)</t>
  </si>
  <si>
    <t>(Col. 6 * Col. 7)</t>
  </si>
  <si>
    <t>(Note E)</t>
  </si>
  <si>
    <t>(Sum Col. 5, 8 &amp; 9)</t>
  </si>
  <si>
    <t>(Note F)</t>
  </si>
  <si>
    <t>Sum Col. 10 &amp; 11
(Note G)</t>
  </si>
  <si>
    <t>Original GG    Rev Req</t>
  </si>
  <si>
    <t>1a</t>
  </si>
  <si>
    <t>Yankee (Colvill) Gen Station</t>
  </si>
  <si>
    <t>1b</t>
  </si>
  <si>
    <t>Cannon Falls</t>
  </si>
  <si>
    <t>1c</t>
  </si>
  <si>
    <t>Nobles Gen Station</t>
  </si>
  <si>
    <t>1d</t>
  </si>
  <si>
    <t>St. Cloud / Sauk River</t>
  </si>
  <si>
    <t>1e</t>
  </si>
  <si>
    <t>1f</t>
  </si>
  <si>
    <t>1g</t>
  </si>
  <si>
    <t>1h</t>
  </si>
  <si>
    <t>G349  37774-01 Upgrades for G349</t>
  </si>
  <si>
    <t>1i</t>
  </si>
  <si>
    <t>1j</t>
  </si>
  <si>
    <t>G809 Network Upgrades</t>
  </si>
  <si>
    <t>1k</t>
  </si>
  <si>
    <t>G417 Network Upgrades</t>
  </si>
  <si>
    <t>1l</t>
  </si>
  <si>
    <t>1m</t>
  </si>
  <si>
    <t>1n</t>
  </si>
  <si>
    <t>1o</t>
  </si>
  <si>
    <t>2</t>
  </si>
  <si>
    <t>Annual Totals</t>
  </si>
  <si>
    <t>Rev. Req. Adj For Attachment O</t>
  </si>
  <si>
    <t>Note</t>
  </si>
  <si>
    <t>Letter</t>
  </si>
  <si>
    <r>
      <t>Gross Transmission Plant is that identified on page 2 line 2 of Attachment O and includes any sub lines 2a or 2b etc. and is inclusive of any CWIP included in rate base when authorized by FERC order</t>
    </r>
    <r>
      <rPr>
        <sz val="12"/>
        <rFont val="Times New Roman"/>
        <family val="1"/>
      </rPr>
      <t xml:space="preserve"> less any prefunded AFUDC, if applicable.</t>
    </r>
  </si>
  <si>
    <r>
      <t xml:space="preserve">Net Transmission Plant is that identified on page 2 line 14 of Attachment O and includes any sub lines 14a or 14b etc. and is inclusive of any CWIP included in rate base when authorized by FERC order </t>
    </r>
    <r>
      <rPr>
        <sz val="12"/>
        <rFont val="Times New Roman"/>
        <family val="1"/>
      </rPr>
      <t>less any prefunded AFUDC, if applicable.</t>
    </r>
  </si>
  <si>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</si>
  <si>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D</t>
  </si>
  <si>
    <t>Project Net Plant is the Project Gross Plant Identified in Column 3 less the associated Accumulated Depreciation.</t>
  </si>
  <si>
    <t>Project Depreciation Expense is the actual value booked for the project and included in the Depreciation Expense in Attachment O page 3 line 12.</t>
  </si>
  <si>
    <t>True-Up Adjustment is included pursuant to a FERC approved methodology, if applicable.</t>
  </si>
  <si>
    <t>The Network Upgrade Charge is the value to be used in Schedule 26.</t>
  </si>
  <si>
    <t>H</t>
  </si>
  <si>
    <t>The Total General and Common Depreciation Expense excludes any depreciation expense directly associated with a project and thereby included in page 2 column 9.</t>
  </si>
  <si>
    <t>Attachment MM</t>
  </si>
  <si>
    <t>NSP Companies</t>
  </si>
  <si>
    <t>(inputs from Attachment O are rounded to whole dollars)</t>
  </si>
  <si>
    <t>Transmission Accumulated Depreciation</t>
  </si>
  <si>
    <t xml:space="preserve">Attach O, p 2, line 8 col 5 </t>
  </si>
  <si>
    <t>Line 1 minus Line 1a (Note B)</t>
  </si>
  <si>
    <t>O&amp;M TRANSMISSION EXPENSE</t>
  </si>
  <si>
    <t>3a</t>
  </si>
  <si>
    <t>Transmission O&amp;M</t>
  </si>
  <si>
    <t>Attach O, p 3, line 1 col 5</t>
  </si>
  <si>
    <t>3b</t>
  </si>
  <si>
    <t>Less: LSE Expenses included in above, if any</t>
  </si>
  <si>
    <t>Attach O, p 3, line 1a col 5</t>
  </si>
  <si>
    <t>3c</t>
  </si>
  <si>
    <t>Less: Account 565 included in above, if any</t>
  </si>
  <si>
    <t>Attach O, p 3, line 2 col 5</t>
  </si>
  <si>
    <t>3d</t>
  </si>
  <si>
    <t>Adjusted Transmission O&amp;M</t>
  </si>
  <si>
    <t>Line 3a minus Line 3b minus Line 3c</t>
  </si>
  <si>
    <t>Annual Allocation Factor for Transmission O&amp;M</t>
  </si>
  <si>
    <t>(Line 3d divided by line 1a, col 3)</t>
  </si>
  <si>
    <t>OTHER O&amp;M EXPENSE</t>
  </si>
  <si>
    <t>4a</t>
  </si>
  <si>
    <t>Other O&amp;M Allocated to Transmission</t>
  </si>
  <si>
    <t>Line 3 minus Line 3d</t>
  </si>
  <si>
    <t>4b</t>
  </si>
  <si>
    <t>Annual Allocation Factor for Other O&amp;M</t>
  </si>
  <si>
    <t>Line 4a divided by Line 1, col 3</t>
  </si>
  <si>
    <t>Annual Allocation Factor for Other Expense</t>
  </si>
  <si>
    <t>Sum of line 4b, 6, and 8</t>
  </si>
  <si>
    <t>Multi-Value Project (MVP) Revenue Requirement Calculation</t>
  </si>
  <si>
    <t>(5)</t>
  </si>
  <si>
    <t>(6)</t>
  </si>
  <si>
    <t>(7)</t>
  </si>
  <si>
    <t>(8)</t>
  </si>
  <si>
    <t>(9)</t>
  </si>
  <si>
    <t>(10)</t>
  </si>
  <si>
    <t>(11)</t>
  </si>
  <si>
    <t>(12)</t>
  </si>
  <si>
    <t>(13)</t>
  </si>
  <si>
    <t>(14)</t>
  </si>
  <si>
    <t>(15)</t>
  </si>
  <si>
    <t>(16)</t>
  </si>
  <si>
    <t>Project Gross Plant</t>
  </si>
  <si>
    <t>Project Accumulated Depreciation</t>
  </si>
  <si>
    <t>Transmission O&amp;M Annual Allocation Factor</t>
  </si>
  <si>
    <t>Annual Allocation for Transmission O&amp;M Expense</t>
  </si>
  <si>
    <t>Other Expense Annual Allocation Factor</t>
  </si>
  <si>
    <t>Annual Allocation for Other Expense</t>
  </si>
  <si>
    <t>MVP Annual Adjusted Revenue Requirement</t>
  </si>
  <si>
    <t>Page 1 line 4</t>
  </si>
  <si>
    <t>(Col 4 * Col 5)</t>
  </si>
  <si>
    <t>Page 1 line 9</t>
  </si>
  <si>
    <t>(Col 3 * Col 7)</t>
  </si>
  <si>
    <t>(Col 6 + Col 8)</t>
  </si>
  <si>
    <t>(Col 3 - Col 4)</t>
  </si>
  <si>
    <t>(Page 1 line 14)</t>
  </si>
  <si>
    <t>(Col 10 * Col 11)</t>
  </si>
  <si>
    <t>(Sum Col. 9, 12 &amp; 13)</t>
  </si>
  <si>
    <t>Sum Col. 14 &amp; 15
(Note G)</t>
  </si>
  <si>
    <t>Multi-Value Projects (MVP)</t>
  </si>
  <si>
    <t>MVP Total Annual Revenue Requirements</t>
  </si>
  <si>
    <t>Gross Transmission Plant is that identified on page 2 line 2 of Attachment O and includes any sub lines 2a or 2b etc. and is inclusive of any CWIP included in rate base when authorized by FERC order less any prefunded AFUDC, if applicable. Transmission  Accumulated</t>
  </si>
  <si>
    <t>Depreciation comports with this Note A and Note B below.  References to Attachment O "Column 5" throughout this tempalte is an illustrative column designation intended to refernce the appropriate right-most column in Attachment O which position may vary by company.</t>
  </si>
  <si>
    <t>Net Transmission Plant is that identified on page 2 line 14 of Attachment O and includes any sub lines 14a or 14b etc. and is inclusive of any CWIP included in rate base when authorized by FERC order.</t>
  </si>
  <si>
    <t>Project Gross Plant is the total capital investment for the project calculated in the same method as the gross plant value in line 1 and includes CWIP in rate base when authorized by FERC order less any prefunded AFUDC, if applicable.  This value includes subsequent</t>
  </si>
  <si>
    <t>capital investments required to maintain the facilities to their original capabilities.</t>
  </si>
  <si>
    <t>Note deliberately left blank.</t>
  </si>
  <si>
    <t>True-Up Adjustment is included pursuant to a FERC approved methodology if applicable.</t>
  </si>
  <si>
    <t>The MVP Annual Revenue Requirement is the value to be used in Schedule 26-A.</t>
  </si>
  <si>
    <t>The Total General and Common Depreciation Expense excludes any depreciation expense directly associated with a project and thereby included in page 2 column 13.</t>
  </si>
  <si>
    <t>Original MM    Rev Req</t>
  </si>
  <si>
    <t>Attachment MM True-Up Adjustment - Project Basis</t>
  </si>
  <si>
    <t>To be completed after the Attachment MM using actual data is completed for the True-Up Year</t>
  </si>
  <si>
    <t xml:space="preserve">Company Name:  </t>
  </si>
  <si>
    <t>Northern States Power Company</t>
  </si>
  <si>
    <t xml:space="preserve">True-Up Year:  </t>
  </si>
  <si>
    <t xml:space="preserve">Note:  </t>
  </si>
  <si>
    <t>(a)</t>
  </si>
  <si>
    <t>(b)</t>
  </si>
  <si>
    <t>(c)</t>
  </si>
  <si>
    <t>(d)</t>
  </si>
  <si>
    <t>(e)</t>
  </si>
  <si>
    <t>(f)</t>
  </si>
  <si>
    <t>(g)</t>
  </si>
  <si>
    <t>(h)</t>
  </si>
  <si>
    <t>(i)</t>
  </si>
  <si>
    <t>(j)</t>
  </si>
  <si>
    <t>(k)</t>
  </si>
  <si>
    <t>Applicable</t>
  </si>
  <si>
    <t>MTEP</t>
  </si>
  <si>
    <t>Annual</t>
  </si>
  <si>
    <t>Revenues</t>
  </si>
  <si>
    <t>Allocated</t>
  </si>
  <si>
    <t>Rate on</t>
  </si>
  <si>
    <t>Name</t>
  </si>
  <si>
    <t>Number</t>
  </si>
  <si>
    <t>Under/(Over)</t>
  </si>
  <si>
    <t>[Col. (d), line 1</t>
  </si>
  <si>
    <t>x (Col. (e), line 2x /</t>
  </si>
  <si>
    <t>Line 5 or</t>
  </si>
  <si>
    <t>Col. (h) x Col. (i)</t>
  </si>
  <si>
    <t>Col. (g) - Col. (f)</t>
  </si>
  <si>
    <t>Line 6</t>
  </si>
  <si>
    <t>Col. (h) + Col. (j)</t>
  </si>
  <si>
    <t>2a</t>
  </si>
  <si>
    <t>Brookings</t>
  </si>
  <si>
    <t>Subtotal</t>
  </si>
  <si>
    <t>Under/(Over) Recovery</t>
  </si>
  <si>
    <t>Interest rate per month on Under Recovery (expressed to four decimal places)</t>
  </si>
  <si>
    <t>Interest rate per month on Over Recovery (expressed to four decimal places)</t>
  </si>
  <si>
    <t>1</t>
  </si>
  <si>
    <t>Amount excludes True-Up Adjustment, as reported in True-Up Year projected Attachment MM, page 2, column 15.</t>
  </si>
  <si>
    <t>Rounded to whole dollars.</t>
  </si>
  <si>
    <r>
      <t xml:space="preserve">Requirement </t>
    </r>
    <r>
      <rPr>
        <vertAlign val="superscript"/>
        <sz val="11"/>
        <color indexed="8"/>
        <rFont val="Arial"/>
        <family val="2"/>
      </rPr>
      <t>1</t>
    </r>
  </si>
  <si>
    <r>
      <t xml:space="preserve">to Projects </t>
    </r>
    <r>
      <rPr>
        <vertAlign val="superscript"/>
        <sz val="11"/>
        <color indexed="8"/>
        <rFont val="Arial"/>
        <family val="2"/>
      </rPr>
      <t>1</t>
    </r>
  </si>
  <si>
    <r>
      <t xml:space="preserve">Actual Attachment MM revenues for True-Up Year </t>
    </r>
    <r>
      <rPr>
        <vertAlign val="superscript"/>
        <sz val="11"/>
        <color indexed="8"/>
        <rFont val="Arial"/>
        <family val="2"/>
      </rPr>
      <t>1</t>
    </r>
  </si>
  <si>
    <r>
      <t>p 2 of 2, Col. 14</t>
    </r>
    <r>
      <rPr>
        <vertAlign val="superscript"/>
        <sz val="10"/>
        <color indexed="8"/>
        <rFont val="Arial"/>
        <family val="2"/>
      </rPr>
      <t>2</t>
    </r>
  </si>
  <si>
    <r>
      <t>Col. (e), line 3)]</t>
    </r>
    <r>
      <rPr>
        <vertAlign val="superscript"/>
        <sz val="10"/>
        <color indexed="8"/>
        <rFont val="Arial"/>
        <family val="2"/>
      </rPr>
      <t>2</t>
    </r>
  </si>
  <si>
    <r>
      <t xml:space="preserve">x 24 months </t>
    </r>
    <r>
      <rPr>
        <vertAlign val="superscript"/>
        <sz val="10"/>
        <color indexed="8"/>
        <rFont val="Arial"/>
        <family val="2"/>
      </rPr>
      <t>2</t>
    </r>
  </si>
  <si>
    <t>1st Qtr 2014</t>
  </si>
  <si>
    <t>2nd Qtr 2014</t>
  </si>
  <si>
    <t>3rd Qtr 2014</t>
  </si>
  <si>
    <t>4th Qtr 2014</t>
  </si>
  <si>
    <t>Attachment GG - Supporting Data for Network Upgrade Charge Calculation - Forward Looking Rate Transmission Owner</t>
  </si>
  <si>
    <t xml:space="preserve">Rate Year </t>
  </si>
  <si>
    <t>Reporting Company</t>
  </si>
  <si>
    <t>Reliability</t>
  </si>
  <si>
    <t>MTEP Project ID</t>
  </si>
  <si>
    <t>GIP</t>
  </si>
  <si>
    <t>Allocation Type Per Attachment FF</t>
  </si>
  <si>
    <t>Gross Plant</t>
  </si>
  <si>
    <t>Column (3)</t>
  </si>
  <si>
    <t>February</t>
  </si>
  <si>
    <t xml:space="preserve">March </t>
  </si>
  <si>
    <t>April</t>
  </si>
  <si>
    <t>June</t>
  </si>
  <si>
    <t>July</t>
  </si>
  <si>
    <t xml:space="preserve">August </t>
  </si>
  <si>
    <t>September</t>
  </si>
  <si>
    <t>October</t>
  </si>
  <si>
    <t>November</t>
  </si>
  <si>
    <t>13 Month Average</t>
  </si>
  <si>
    <t>Accumulated</t>
  </si>
  <si>
    <t>Depreciation</t>
  </si>
  <si>
    <t>Net Plant</t>
  </si>
  <si>
    <t>Column (6)</t>
  </si>
  <si>
    <t>Depreciation Expense</t>
  </si>
  <si>
    <t>Column (9)</t>
  </si>
  <si>
    <t>Project Amortization Expense</t>
  </si>
  <si>
    <t>Depreciation Expense Total</t>
  </si>
  <si>
    <t>Attachment MM - Supporting Data for Network Upgrade Charge Calculation - Forward Looking Rate Transmission Owner</t>
  </si>
  <si>
    <t>1203</t>
  </si>
  <si>
    <t>Column (4)</t>
  </si>
  <si>
    <t>Column (10)</t>
  </si>
  <si>
    <t>Column (13)</t>
  </si>
  <si>
    <t>Mn Valley Kerkhoven</t>
  </si>
  <si>
    <t>3312</t>
  </si>
  <si>
    <t>Kohlman Lake Goose Lake</t>
  </si>
  <si>
    <t>3317</t>
  </si>
  <si>
    <t>Mn Vallley Kerkhoven</t>
  </si>
  <si>
    <t>517324.1010</t>
  </si>
  <si>
    <t>1st Qtr 2015</t>
  </si>
  <si>
    <t>2nd Qtr 2015</t>
  </si>
  <si>
    <t>3rd Qtr 2015</t>
  </si>
  <si>
    <t>4th Qtr 2015</t>
  </si>
  <si>
    <t>Glenco</t>
  </si>
  <si>
    <t>Ames</t>
  </si>
  <si>
    <t>Rochester</t>
  </si>
  <si>
    <t>CLECO</t>
  </si>
  <si>
    <t>Alexandria, LA</t>
  </si>
  <si>
    <t>32 CLECO</t>
  </si>
  <si>
    <t>SMEPA Total</t>
  </si>
  <si>
    <t>517246.1000</t>
  </si>
  <si>
    <t>517246.2000</t>
  </si>
  <si>
    <t>Schedule 37 Rev</t>
  </si>
  <si>
    <t>Schedule 38 Rev</t>
  </si>
  <si>
    <t>(1) Actuals Rev Req less Projected Rev Req</t>
  </si>
  <si>
    <t xml:space="preserve">(2) Actuals Rev Req less Act Rev </t>
  </si>
  <si>
    <r>
      <t xml:space="preserve">Cost True-Up </t>
    </r>
    <r>
      <rPr>
        <sz val="9"/>
        <rFont val="Times New Roman"/>
        <family val="1"/>
      </rPr>
      <t>(1)</t>
    </r>
  </si>
  <si>
    <r>
      <t xml:space="preserve">Rev True-Up </t>
    </r>
    <r>
      <rPr>
        <sz val="9"/>
        <rFont val="Times New Roman"/>
        <family val="1"/>
      </rPr>
      <t>(2)</t>
    </r>
  </si>
  <si>
    <t>Attachment MM Proof</t>
  </si>
  <si>
    <t>For  the 12 months ended 12/31/2015</t>
  </si>
  <si>
    <t>2015 Rev Req Based on 2015 Actuals</t>
  </si>
  <si>
    <t>2015 MM Revenue received</t>
  </si>
  <si>
    <t>Actual 2015 Rev Req</t>
  </si>
  <si>
    <t>Based upon the updated Attachment MM using actual 2015 Attachment O costs.</t>
  </si>
  <si>
    <t>3775</t>
  </si>
  <si>
    <t>9523</t>
  </si>
  <si>
    <t>For  the 12 months ended 12/31/15</t>
  </si>
  <si>
    <t xml:space="preserve">Bemidji </t>
  </si>
  <si>
    <t xml:space="preserve">Twin Cities - Fargo </t>
  </si>
  <si>
    <t xml:space="preserve">Twin Cities - Rochester </t>
  </si>
  <si>
    <t>G362 Pleasant Valley - Byron</t>
  </si>
  <si>
    <t>Glenco - West Waconia</t>
  </si>
  <si>
    <t>1p</t>
  </si>
  <si>
    <t>1r</t>
  </si>
  <si>
    <t>Courdry Osprey</t>
  </si>
  <si>
    <t>1s</t>
  </si>
  <si>
    <t>GIP 826 Crandal</t>
  </si>
  <si>
    <t>1t</t>
  </si>
  <si>
    <t>St Cloud Loop (Cancelled)</t>
  </si>
  <si>
    <t xml:space="preserve">     2015 Rev Req Based on 2015 Actuals  </t>
  </si>
  <si>
    <t>NSP Companies 2015 Attachment GG Annual True-Up</t>
  </si>
  <si>
    <t>2015 Estimated Revenue Requirement</t>
  </si>
  <si>
    <t>2015 Rev Requirement Act</t>
  </si>
  <si>
    <t>B31</t>
  </si>
  <si>
    <t>B32</t>
  </si>
  <si>
    <t>B33</t>
  </si>
  <si>
    <t>B34</t>
  </si>
  <si>
    <t>B35</t>
  </si>
  <si>
    <t>B36</t>
  </si>
  <si>
    <t>B37</t>
  </si>
  <si>
    <t>N31</t>
  </si>
  <si>
    <t>N32</t>
  </si>
  <si>
    <t>N33</t>
  </si>
  <si>
    <t>N34</t>
  </si>
  <si>
    <t>N35</t>
  </si>
  <si>
    <t>N36</t>
  </si>
  <si>
    <t>N37</t>
  </si>
  <si>
    <t>Coudry Osprey</t>
  </si>
  <si>
    <t>2015 Est ARR</t>
  </si>
  <si>
    <t>2015 Actual Load</t>
  </si>
  <si>
    <t>2015 Projected Load</t>
  </si>
  <si>
    <t>Total 2015 Rev Requirement Act</t>
  </si>
  <si>
    <t>2015 Revenue recorded in JDE</t>
  </si>
  <si>
    <t>EMI</t>
  </si>
  <si>
    <t>ELL</t>
  </si>
  <si>
    <t>Marshall</t>
  </si>
  <si>
    <t>Willmar</t>
  </si>
  <si>
    <t>TRANSMISSION OWNERS WITH LOAD IN MULTIPLE ZONES</t>
  </si>
  <si>
    <t>CHECK FIGURE- SHOULD TIE TO ATTACH O DIVISOR</t>
  </si>
  <si>
    <t>NSP Load in OTP PZ</t>
  </si>
  <si>
    <t>NWEC Total</t>
  </si>
  <si>
    <t>CLECO Total</t>
  </si>
  <si>
    <t>Based upon the updated Attachment GG using actual 2015 Attachment O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</si>
</sst>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quot;$&quot;#,##0.00"/>
    <numFmt numFmtId="167" formatCode="_(* #,##0_);_(* \(#,##0\);_(* &quot;-&quot;??_);_(@_)"/>
    <numFmt numFmtId="168" formatCode="0.0000%"/>
    <numFmt numFmtId="169" formatCode="_(* #,##0.0000_);_(* \(#,##0.0000\);_(* &quot;-&quot;??_);_(@_)"/>
    <numFmt numFmtId="170" formatCode="0.000%"/>
    <numFmt numFmtId="171" formatCode="0.0000"/>
    <numFmt numFmtId="172" formatCode="_(* #,##0.00000000000000000000000000000000000_);_(* \(#,##0.00000000000000000000000000000000000\);_(* &quot;-&quot;??_);_(@_)"/>
    <numFmt numFmtId="173" formatCode="#,##0.00000"/>
    <numFmt numFmtId="174" formatCode="0_);\(0\)"/>
  </numFmts>
  <fonts count="63">
    <font>
      <sz val="12"/>
      <name val="Times New Roman"/>
    </font>
    <font>
      <sz val="12"/>
      <name val="Times New Roman"/>
      <family val="1"/>
    </font>
    <font>
      <sz val="10"/>
      <color indexed="8"/>
      <name val="Arial Narrow"/>
      <family val="2"/>
    </font>
    <font>
      <sz val="10"/>
      <color indexed="8"/>
      <name val="Arial"/>
      <family val="2"/>
    </font>
    <font>
      <sz val="8"/>
      <name val="Times New Roman"/>
      <family val="1"/>
    </font>
    <font>
      <b/>
      <sz val="12"/>
      <name val="Times New Roman"/>
      <family val="1"/>
    </font>
    <font>
      <sz val="12"/>
      <name val="Times New Roman"/>
      <family val="1"/>
    </font>
    <font>
      <sz val="12"/>
      <color indexed="8"/>
      <name val="Times New Roman"/>
      <family val="1"/>
    </font>
    <font>
      <b/>
      <sz val="12"/>
      <color indexed="8"/>
      <name val="Times New Roman"/>
      <family val="1"/>
    </font>
    <font>
      <sz val="12"/>
      <color indexed="12"/>
      <name val="Times New Roman"/>
      <family val="1"/>
    </font>
    <font>
      <b/>
      <sz val="8"/>
      <color indexed="81"/>
      <name val="Tahoma"/>
      <family val="2"/>
    </font>
    <font>
      <sz val="8"/>
      <color indexed="81"/>
      <name val="Tahoma"/>
      <family val="2"/>
    </font>
    <font>
      <sz val="14"/>
      <name val="Times New Roman"/>
      <family val="1"/>
    </font>
    <font>
      <sz val="12"/>
      <color indexed="56"/>
      <name val="Times New Roman"/>
      <family val="1"/>
    </font>
    <font>
      <u/>
      <sz val="12"/>
      <name val="Times New Roman"/>
      <family val="1"/>
    </font>
    <font>
      <sz val="12"/>
      <color indexed="30"/>
      <name val="Times New Roman"/>
      <family val="1"/>
    </font>
    <font>
      <sz val="8"/>
      <color indexed="8"/>
      <name val="Times New Roman"/>
      <family val="1"/>
    </font>
    <font>
      <sz val="9"/>
      <name val="Times New Roman"/>
      <family val="1"/>
    </font>
    <font>
      <sz val="14"/>
      <color indexed="8"/>
      <name val="Times New Roman"/>
      <family val="1"/>
    </font>
    <font>
      <b/>
      <sz val="12"/>
      <name val="Arial Narrow"/>
      <family val="2"/>
    </font>
    <font>
      <b/>
      <sz val="18"/>
      <color indexed="56"/>
      <name val="Cambria"/>
      <family val="2"/>
    </font>
    <font>
      <sz val="12"/>
      <name val="Wingdings 2"/>
      <family val="1"/>
      <charset val="2"/>
    </font>
    <font>
      <sz val="10"/>
      <color indexed="8"/>
      <name val="Arial"/>
      <family val="2"/>
    </font>
    <font>
      <sz val="12"/>
      <name val="Arial"/>
      <family val="2"/>
    </font>
    <font>
      <sz val="12"/>
      <color indexed="17"/>
      <name val="Arial MT"/>
    </font>
    <font>
      <b/>
      <sz val="12"/>
      <name val="Arial"/>
      <family val="2"/>
    </font>
    <font>
      <b/>
      <sz val="12"/>
      <name val="Arial MT"/>
    </font>
    <font>
      <b/>
      <u/>
      <sz val="12"/>
      <name val="Arial MT"/>
    </font>
    <font>
      <sz val="12"/>
      <name val="Arial"/>
      <family val="2"/>
    </font>
    <font>
      <sz val="12"/>
      <color indexed="10"/>
      <name val="Arial MT"/>
    </font>
    <font>
      <sz val="12"/>
      <color indexed="10"/>
      <name val="Arial"/>
      <family val="2"/>
    </font>
    <font>
      <sz val="12"/>
      <name val="Arial MT"/>
    </font>
    <font>
      <sz val="12"/>
      <color indexed="9"/>
      <name val="Arial MT"/>
    </font>
    <font>
      <sz val="10"/>
      <name val="Arial MT"/>
    </font>
    <font>
      <sz val="10"/>
      <color indexed="9"/>
      <name val="Arial MT"/>
    </font>
    <font>
      <sz val="11"/>
      <name val="Arial"/>
      <family val="2"/>
    </font>
    <font>
      <sz val="10"/>
      <name val="Arial"/>
      <family val="2"/>
    </font>
    <font>
      <u/>
      <sz val="12"/>
      <name val="Arial"/>
      <family val="2"/>
    </font>
    <font>
      <sz val="11"/>
      <name val="Arial"/>
      <family val="2"/>
    </font>
    <font>
      <sz val="12"/>
      <color indexed="17"/>
      <name val="Arial"/>
      <family val="2"/>
    </font>
    <font>
      <vertAlign val="superscript"/>
      <sz val="11"/>
      <color indexed="8"/>
      <name val="Arial"/>
      <family val="2"/>
    </font>
    <font>
      <sz val="11"/>
      <color indexed="30"/>
      <name val="Arial"/>
      <family val="2"/>
    </font>
    <font>
      <b/>
      <sz val="11"/>
      <color indexed="8"/>
      <name val="Arial"/>
      <family val="2"/>
    </font>
    <font>
      <sz val="11"/>
      <color indexed="8"/>
      <name val="Arial"/>
      <family val="2"/>
    </font>
    <font>
      <vertAlign val="superscript"/>
      <sz val="10"/>
      <color indexed="8"/>
      <name val="Arial"/>
      <family val="2"/>
    </font>
    <font>
      <sz val="11"/>
      <color indexed="9"/>
      <name val="Arial"/>
      <family val="2"/>
    </font>
    <font>
      <sz val="10"/>
      <name val="Arial Narrow"/>
      <family val="2"/>
    </font>
    <font>
      <b/>
      <sz val="14"/>
      <name val="Arial"/>
      <family val="2"/>
    </font>
    <font>
      <sz val="14"/>
      <name val="Arial"/>
      <family val="2"/>
    </font>
    <font>
      <b/>
      <sz val="10"/>
      <name val="Arial"/>
      <family val="2"/>
    </font>
    <font>
      <b/>
      <sz val="10"/>
      <color indexed="9"/>
      <name val="Arial"/>
      <family val="2"/>
    </font>
    <font>
      <b/>
      <sz val="10"/>
      <color indexed="9"/>
      <name val="Arial MT"/>
    </font>
    <font>
      <b/>
      <sz val="10"/>
      <name val="Arial MT"/>
    </font>
    <font>
      <sz val="10"/>
      <color indexed="9"/>
      <name val="Arial"/>
      <family val="2"/>
    </font>
    <font>
      <sz val="10"/>
      <color indexed="49"/>
      <name val="Arial"/>
      <family val="2"/>
    </font>
    <font>
      <b/>
      <sz val="9"/>
      <color indexed="81"/>
      <name val="Tahoma"/>
      <family val="2"/>
    </font>
    <font>
      <sz val="9"/>
      <color indexed="81"/>
      <name val="Tahoma"/>
      <family val="2"/>
    </font>
    <font>
      <sz val="12"/>
      <color rgb="FF0070C0"/>
      <name val="Times New Roman"/>
      <family val="1"/>
    </font>
    <font>
      <sz val="12"/>
      <color theme="1"/>
      <name val="Times New Roman"/>
      <family val="1"/>
    </font>
    <font>
      <sz val="12"/>
      <color theme="4"/>
      <name val="Times New Roman"/>
      <family val="1"/>
    </font>
    <font>
      <b/>
      <sz val="10"/>
      <color theme="0"/>
      <name val="Arial MT"/>
    </font>
    <font>
      <sz val="12"/>
      <color theme="0" tint="-0.249977111117893"/>
      <name val="Times New Roman"/>
      <family val="1"/>
    </font>
    <font>
      <sz val="11"/>
      <color theme="0" tint="-0.249977111117893"/>
      <name val="Arial"/>
      <family val="2"/>
    </font>
  </fonts>
  <fills count="1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47"/>
        <bgColor indexed="64"/>
      </patternFill>
    </fill>
    <fill>
      <patternFill patternType="solid">
        <fgColor theme="0"/>
        <bgColor indexed="64"/>
      </patternFill>
    </fill>
    <fill>
      <patternFill patternType="solid">
        <fgColor rgb="FFFFFF8F"/>
        <bgColor indexed="64"/>
      </patternFill>
    </fill>
    <fill>
      <patternFill patternType="solid">
        <fgColor rgb="FFB8CCE4"/>
        <bgColor indexed="64"/>
      </patternFill>
    </fill>
    <fill>
      <patternFill patternType="solid">
        <fgColor rgb="FFCCFFFF"/>
        <bgColor indexed="64"/>
      </patternFill>
    </fill>
    <fill>
      <patternFill patternType="solid">
        <fgColor theme="1"/>
        <bgColor indexed="64"/>
      </patternFill>
    </fill>
    <fill>
      <patternFill patternType="solid">
        <fgColor theme="5" tint="0.59999389629810485"/>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22"/>
      </right>
      <top/>
      <bottom style="thin">
        <color indexed="22"/>
      </bottom>
      <diagonal/>
    </border>
    <border>
      <left/>
      <right/>
      <top/>
      <bottom style="thin">
        <color indexed="22"/>
      </bottom>
      <diagonal/>
    </border>
    <border>
      <left style="thin">
        <color indexed="64"/>
      </left>
      <right/>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64"/>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22"/>
      </top>
      <bottom style="thin">
        <color indexed="22"/>
      </bottom>
      <diagonal/>
    </border>
    <border>
      <left style="thin">
        <color indexed="64"/>
      </left>
      <right/>
      <top style="thin">
        <color indexed="22"/>
      </top>
      <bottom style="thin">
        <color indexed="64"/>
      </bottom>
      <diagonal/>
    </border>
    <border>
      <left style="thin">
        <color indexed="64"/>
      </left>
      <right/>
      <top style="thin">
        <color indexed="64"/>
      </top>
      <bottom style="thin">
        <color indexed="22"/>
      </bottom>
      <diagonal/>
    </border>
    <border>
      <left style="thin">
        <color indexed="64"/>
      </left>
      <right style="thin">
        <color indexed="64"/>
      </right>
      <top/>
      <bottom style="thin">
        <color indexed="22"/>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22"/>
      </right>
      <top style="thin">
        <color indexed="22"/>
      </top>
      <bottom/>
      <diagonal/>
    </border>
    <border>
      <left style="thin">
        <color indexed="64"/>
      </left>
      <right style="thin">
        <color indexed="64"/>
      </right>
      <top style="thin">
        <color indexed="64"/>
      </top>
      <bottom style="thin">
        <color indexed="22"/>
      </bottom>
      <diagonal/>
    </border>
    <border>
      <left/>
      <right/>
      <top/>
      <bottom style="medium">
        <color indexed="64"/>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style="thin">
        <color auto="1"/>
      </right>
      <top style="thin">
        <color auto="1"/>
      </top>
      <bottom style="thin">
        <color auto="1"/>
      </bottom>
      <diagonal/>
    </border>
    <border>
      <left/>
      <right/>
      <top style="thin">
        <color indexed="64"/>
      </top>
      <bottom style="thin">
        <color indexed="64"/>
      </bottom>
      <diagonal/>
    </border>
  </borders>
  <cellStyleXfs count="11">
    <xf numFmtId="0" fontId="0" fillId="0" borderId="0">
      <alignment vertical="top"/>
    </xf>
    <xf numFmtId="43" fontId="1" fillId="0" borderId="0" applyFont="0" applyFill="0" applyBorder="0" applyAlignment="0" applyProtection="0"/>
    <xf numFmtId="44" fontId="1" fillId="0" borderId="0" applyFont="0" applyFill="0" applyBorder="0" applyAlignment="0" applyProtection="0"/>
    <xf numFmtId="166" fontId="31" fillId="0" borderId="0" applyProtection="0"/>
    <xf numFmtId="0" fontId="2" fillId="0" borderId="0"/>
    <xf numFmtId="0" fontId="2" fillId="0" borderId="0"/>
    <xf numFmtId="0" fontId="3" fillId="0" borderId="0"/>
    <xf numFmtId="9" fontId="1" fillId="0" borderId="0" applyFont="0" applyFill="0" applyBorder="0" applyAlignment="0" applyProtection="0"/>
    <xf numFmtId="0" fontId="46" fillId="0" borderId="0">
      <alignment vertical="top"/>
    </xf>
    <xf numFmtId="0" fontId="36" fillId="0" borderId="0"/>
    <xf numFmtId="166" fontId="31" fillId="0" borderId="0" applyProtection="0"/>
  </cellStyleXfs>
  <cellXfs count="691">
    <xf numFmtId="0" fontId="0" fillId="0" borderId="0" xfId="0" applyAlignment="1"/>
    <xf numFmtId="0" fontId="5" fillId="0" borderId="0" xfId="5" applyFont="1" applyBorder="1" applyAlignment="1">
      <alignment vertical="center" wrapText="1"/>
    </xf>
    <xf numFmtId="0" fontId="6" fillId="0" borderId="0" xfId="0" applyFont="1" applyAlignment="1"/>
    <xf numFmtId="0" fontId="6" fillId="0" borderId="0" xfId="0" applyFont="1" applyAlignment="1">
      <alignment horizontal="center"/>
    </xf>
    <xf numFmtId="0" fontId="6" fillId="0" borderId="0" xfId="0" applyFont="1" applyFill="1" applyBorder="1" applyAlignment="1">
      <alignment horizontal="center"/>
    </xf>
    <xf numFmtId="166" fontId="6" fillId="0" borderId="1" xfId="0" applyNumberFormat="1" applyFont="1" applyBorder="1" applyAlignment="1"/>
    <xf numFmtId="166" fontId="6" fillId="0" borderId="1" xfId="0" applyNumberFormat="1" applyFont="1" applyBorder="1" applyAlignment="1">
      <alignment horizontal="center"/>
    </xf>
    <xf numFmtId="9" fontId="5" fillId="2" borderId="2" xfId="5" applyNumberFormat="1" applyFont="1" applyFill="1" applyBorder="1" applyAlignment="1">
      <alignment horizontal="center"/>
    </xf>
    <xf numFmtId="166" fontId="6" fillId="0" borderId="3" xfId="0" applyNumberFormat="1" applyFont="1" applyBorder="1" applyAlignment="1">
      <alignment horizontal="center"/>
    </xf>
    <xf numFmtId="166" fontId="6" fillId="0" borderId="3" xfId="0" applyNumberFormat="1" applyFont="1" applyBorder="1" applyAlignment="1"/>
    <xf numFmtId="0" fontId="6" fillId="3" borderId="4" xfId="5" applyFont="1" applyFill="1" applyBorder="1" applyAlignment="1">
      <alignment vertical="top"/>
    </xf>
    <xf numFmtId="166" fontId="6" fillId="0" borderId="5" xfId="0" applyNumberFormat="1" applyFont="1" applyBorder="1" applyAlignment="1">
      <alignment horizontal="center"/>
    </xf>
    <xf numFmtId="166" fontId="6" fillId="0" borderId="5" xfId="0" applyNumberFormat="1" applyFont="1" applyFill="1" applyBorder="1" applyAlignment="1">
      <alignment horizontal="center"/>
    </xf>
    <xf numFmtId="0" fontId="5" fillId="0" borderId="6" xfId="5" applyFont="1" applyBorder="1" applyAlignment="1">
      <alignment vertical="top" wrapText="1"/>
    </xf>
    <xf numFmtId="0" fontId="5" fillId="0" borderId="7" xfId="5" applyFont="1" applyFill="1" applyBorder="1" applyAlignment="1">
      <alignment horizontal="center" vertical="top" wrapText="1"/>
    </xf>
    <xf numFmtId="0" fontId="5" fillId="0" borderId="8" xfId="5" applyFont="1" applyFill="1" applyBorder="1" applyAlignment="1">
      <alignment horizontal="center" vertical="top" wrapText="1"/>
    </xf>
    <xf numFmtId="0" fontId="5" fillId="0" borderId="0" xfId="5" applyFont="1" applyFill="1" applyBorder="1" applyAlignment="1">
      <alignment horizontal="center" vertical="top" wrapText="1"/>
    </xf>
    <xf numFmtId="166" fontId="6" fillId="0" borderId="0" xfId="0" applyNumberFormat="1" applyFont="1" applyAlignment="1"/>
    <xf numFmtId="0" fontId="7" fillId="0" borderId="9" xfId="6" applyFont="1" applyFill="1" applyBorder="1" applyAlignment="1">
      <alignment vertical="top"/>
    </xf>
    <xf numFmtId="10" fontId="9" fillId="0" borderId="10" xfId="7" applyNumberFormat="1" applyFont="1" applyBorder="1" applyAlignment="1">
      <alignment vertical="top"/>
    </xf>
    <xf numFmtId="10" fontId="9" fillId="0" borderId="11" xfId="7" applyNumberFormat="1" applyFont="1" applyBorder="1" applyAlignment="1">
      <alignment vertical="top"/>
    </xf>
    <xf numFmtId="165" fontId="6" fillId="0" borderId="0" xfId="0" applyNumberFormat="1" applyFont="1" applyAlignment="1"/>
    <xf numFmtId="165" fontId="6" fillId="0" borderId="0" xfId="2" applyNumberFormat="1" applyFont="1"/>
    <xf numFmtId="0" fontId="7" fillId="0" borderId="12" xfId="6" applyFont="1" applyFill="1" applyBorder="1" applyAlignment="1">
      <alignment vertical="top"/>
    </xf>
    <xf numFmtId="0" fontId="7" fillId="0" borderId="13" xfId="6" applyFont="1" applyFill="1" applyBorder="1" applyAlignment="1">
      <alignment vertical="top"/>
    </xf>
    <xf numFmtId="0" fontId="6" fillId="0" borderId="14" xfId="5" applyFont="1" applyFill="1" applyBorder="1" applyAlignment="1">
      <alignment vertical="top"/>
    </xf>
    <xf numFmtId="10" fontId="6" fillId="0" borderId="15" xfId="7" applyNumberFormat="1" applyFont="1" applyFill="1" applyBorder="1" applyAlignment="1">
      <alignment vertical="top"/>
    </xf>
    <xf numFmtId="10" fontId="6" fillId="0" borderId="8" xfId="7" applyNumberFormat="1" applyFont="1" applyFill="1" applyBorder="1" applyAlignment="1">
      <alignment vertical="top"/>
    </xf>
    <xf numFmtId="0" fontId="7" fillId="0" borderId="0" xfId="6" applyFont="1" applyFill="1" applyBorder="1" applyAlignment="1">
      <alignment vertical="top"/>
    </xf>
    <xf numFmtId="165" fontId="6" fillId="0" borderId="0" xfId="2" applyNumberFormat="1" applyFont="1" applyFill="1" applyBorder="1" applyAlignment="1">
      <alignment vertical="top"/>
    </xf>
    <xf numFmtId="0" fontId="6" fillId="0" borderId="0" xfId="0" applyFont="1" applyBorder="1" applyAlignment="1"/>
    <xf numFmtId="165" fontId="6" fillId="0" borderId="0" xfId="2" applyNumberFormat="1" applyFont="1" applyBorder="1"/>
    <xf numFmtId="168" fontId="6" fillId="0" borderId="0" xfId="7" applyNumberFormat="1" applyFont="1"/>
    <xf numFmtId="167" fontId="6" fillId="0" borderId="0" xfId="1" applyNumberFormat="1" applyFont="1"/>
    <xf numFmtId="167" fontId="6" fillId="0" borderId="0" xfId="0" applyNumberFormat="1" applyFont="1" applyAlignment="1"/>
    <xf numFmtId="167" fontId="6" fillId="0" borderId="6" xfId="0" applyNumberFormat="1" applyFont="1" applyBorder="1" applyAlignment="1"/>
    <xf numFmtId="0" fontId="6" fillId="0" borderId="5" xfId="0" applyFont="1" applyBorder="1" applyAlignment="1">
      <alignment horizontal="center"/>
    </xf>
    <xf numFmtId="0" fontId="6" fillId="0" borderId="1" xfId="0" applyFont="1" applyBorder="1" applyAlignment="1">
      <alignment horizontal="center"/>
    </xf>
    <xf numFmtId="0" fontId="12" fillId="0" borderId="0" xfId="0" applyFont="1" applyAlignment="1"/>
    <xf numFmtId="0" fontId="8" fillId="0" borderId="0" xfId="0" applyFont="1" applyAlignment="1"/>
    <xf numFmtId="0" fontId="7" fillId="0" borderId="0" xfId="0" applyFont="1" applyAlignment="1"/>
    <xf numFmtId="0" fontId="7" fillId="0" borderId="0" xfId="0" applyFont="1" applyAlignment="1">
      <alignment horizontal="center"/>
    </xf>
    <xf numFmtId="166" fontId="6" fillId="0" borderId="2" xfId="0" applyNumberFormat="1" applyFont="1" applyBorder="1" applyAlignment="1">
      <alignment horizontal="center"/>
    </xf>
    <xf numFmtId="166" fontId="6" fillId="0" borderId="16" xfId="0" applyNumberFormat="1" applyFont="1" applyBorder="1" applyAlignment="1">
      <alignment horizontal="center"/>
    </xf>
    <xf numFmtId="166" fontId="14" fillId="0" borderId="4" xfId="0" applyNumberFormat="1" applyFont="1" applyBorder="1" applyAlignment="1">
      <alignment horizontal="center" wrapText="1"/>
    </xf>
    <xf numFmtId="166" fontId="6" fillId="0" borderId="2" xfId="0" applyNumberFormat="1" applyFont="1" applyFill="1" applyBorder="1" applyAlignment="1">
      <alignment horizontal="right"/>
    </xf>
    <xf numFmtId="166" fontId="6" fillId="0" borderId="16" xfId="0" applyNumberFormat="1" applyFont="1" applyFill="1" applyBorder="1" applyAlignment="1">
      <alignment horizontal="right" wrapText="1"/>
    </xf>
    <xf numFmtId="166" fontId="6" fillId="0" borderId="4" xfId="0" applyNumberFormat="1" applyFont="1" applyFill="1" applyBorder="1" applyAlignment="1">
      <alignment horizontal="left"/>
    </xf>
    <xf numFmtId="166" fontId="6" fillId="0" borderId="16" xfId="0" applyNumberFormat="1" applyFont="1" applyFill="1" applyBorder="1" applyAlignment="1">
      <alignment horizontal="right"/>
    </xf>
    <xf numFmtId="166" fontId="14" fillId="0" borderId="4" xfId="0" applyNumberFormat="1" applyFont="1" applyFill="1" applyBorder="1" applyAlignment="1">
      <alignment horizontal="right" wrapText="1"/>
    </xf>
    <xf numFmtId="166" fontId="6" fillId="0" borderId="2" xfId="0" applyNumberFormat="1" applyFont="1" applyFill="1" applyBorder="1" applyAlignment="1">
      <alignment horizontal="right" wrapText="1"/>
    </xf>
    <xf numFmtId="166" fontId="6" fillId="0" borderId="16" xfId="0" applyNumberFormat="1" applyFont="1" applyBorder="1" applyAlignment="1">
      <alignment horizontal="right" wrapText="1"/>
    </xf>
    <xf numFmtId="166" fontId="6" fillId="0" borderId="2" xfId="0" applyNumberFormat="1" applyFont="1" applyBorder="1" applyAlignment="1">
      <alignment horizontal="right" wrapText="1"/>
    </xf>
    <xf numFmtId="3" fontId="6" fillId="0" borderId="16" xfId="0" applyNumberFormat="1" applyFont="1" applyBorder="1" applyAlignment="1">
      <alignment horizontal="right"/>
    </xf>
    <xf numFmtId="3" fontId="14" fillId="0" borderId="4" xfId="0" applyNumberFormat="1" applyFont="1" applyBorder="1" applyAlignment="1">
      <alignment horizontal="right"/>
    </xf>
    <xf numFmtId="3" fontId="6" fillId="0" borderId="2" xfId="0" applyNumberFormat="1" applyFont="1" applyBorder="1" applyAlignment="1">
      <alignment horizontal="right"/>
    </xf>
    <xf numFmtId="3" fontId="6" fillId="0" borderId="16" xfId="0" applyNumberFormat="1" applyFont="1" applyFill="1" applyBorder="1" applyAlignment="1">
      <alignment horizontal="right"/>
    </xf>
    <xf numFmtId="3" fontId="6" fillId="0" borderId="4" xfId="0" applyNumberFormat="1" applyFont="1" applyFill="1" applyBorder="1" applyAlignment="1">
      <alignment horizontal="right"/>
    </xf>
    <xf numFmtId="3" fontId="14" fillId="0" borderId="16" xfId="0" applyNumberFormat="1" applyFont="1" applyBorder="1" applyAlignment="1">
      <alignment horizontal="right"/>
    </xf>
    <xf numFmtId="167" fontId="6" fillId="0" borderId="0" xfId="1" applyNumberFormat="1" applyFont="1" applyBorder="1" applyAlignment="1"/>
    <xf numFmtId="0" fontId="16" fillId="0" borderId="0" xfId="0" applyFont="1" applyAlignment="1"/>
    <xf numFmtId="0" fontId="5" fillId="0" borderId="0" xfId="5" applyFont="1" applyFill="1" applyBorder="1" applyAlignment="1">
      <alignment horizontal="left" vertical="center" wrapText="1"/>
    </xf>
    <xf numFmtId="165" fontId="6" fillId="0" borderId="7" xfId="2" applyNumberFormat="1" applyFont="1" applyBorder="1"/>
    <xf numFmtId="0" fontId="6" fillId="0" borderId="0" xfId="0" applyFont="1" applyBorder="1" applyAlignment="1">
      <alignment horizontal="center"/>
    </xf>
    <xf numFmtId="168" fontId="6" fillId="0" borderId="0" xfId="0" applyNumberFormat="1" applyFont="1" applyBorder="1" applyAlignment="1"/>
    <xf numFmtId="165" fontId="6" fillId="0" borderId="0" xfId="0" applyNumberFormat="1" applyFont="1" applyFill="1" applyAlignment="1"/>
    <xf numFmtId="167" fontId="6" fillId="0" borderId="0" xfId="1" applyNumberFormat="1" applyFont="1" applyBorder="1"/>
    <xf numFmtId="167" fontId="6" fillId="0" borderId="0" xfId="0" applyNumberFormat="1" applyFont="1" applyBorder="1" applyAlignment="1"/>
    <xf numFmtId="0" fontId="0" fillId="0" borderId="0" xfId="0" quotePrefix="1" applyFill="1" applyBorder="1" applyAlignment="1">
      <alignment horizontal="center"/>
    </xf>
    <xf numFmtId="0" fontId="5" fillId="2" borderId="4" xfId="5" applyFont="1" applyFill="1" applyBorder="1" applyAlignment="1">
      <alignment horizontal="center" vertical="top" wrapText="1"/>
    </xf>
    <xf numFmtId="0" fontId="5" fillId="0" borderId="18" xfId="5" applyFont="1" applyBorder="1" applyAlignment="1">
      <alignment horizontal="left" vertical="center" wrapText="1"/>
    </xf>
    <xf numFmtId="0" fontId="5" fillId="0" borderId="19" xfId="5" applyFont="1" applyBorder="1" applyAlignment="1">
      <alignment horizontal="left" vertical="center" wrapText="1"/>
    </xf>
    <xf numFmtId="0" fontId="5" fillId="0" borderId="20" xfId="5" applyFont="1" applyBorder="1" applyAlignment="1">
      <alignment horizontal="left" vertical="center" wrapText="1"/>
    </xf>
    <xf numFmtId="10" fontId="6" fillId="0" borderId="0" xfId="7" applyNumberFormat="1" applyFont="1" applyFill="1"/>
    <xf numFmtId="0" fontId="17" fillId="0" borderId="0" xfId="0" applyFont="1" applyAlignment="1"/>
    <xf numFmtId="167" fontId="0" fillId="0" borderId="0" xfId="1" applyNumberFormat="1" applyFont="1"/>
    <xf numFmtId="0" fontId="7" fillId="0" borderId="0" xfId="5" applyFont="1" applyAlignment="1"/>
    <xf numFmtId="0" fontId="6" fillId="3" borderId="2" xfId="5" applyFont="1" applyFill="1" applyBorder="1" applyAlignment="1"/>
    <xf numFmtId="165" fontId="6" fillId="0" borderId="8" xfId="0" applyNumberFormat="1" applyFont="1" applyBorder="1" applyAlignment="1"/>
    <xf numFmtId="165" fontId="6" fillId="0" borderId="7" xfId="0" applyNumberFormat="1" applyFont="1" applyBorder="1" applyAlignment="1"/>
    <xf numFmtId="3" fontId="6" fillId="0" borderId="0" xfId="0" applyNumberFormat="1" applyFont="1" applyAlignment="1"/>
    <xf numFmtId="0" fontId="6" fillId="0" borderId="0" xfId="0" applyFont="1" applyFill="1" applyAlignment="1"/>
    <xf numFmtId="0" fontId="6" fillId="3" borderId="0" xfId="0" applyFont="1" applyFill="1" applyAlignment="1"/>
    <xf numFmtId="165" fontId="6" fillId="4" borderId="0" xfId="0" applyNumberFormat="1" applyFont="1" applyFill="1" applyAlignment="1"/>
    <xf numFmtId="43" fontId="6" fillId="0" borderId="0" xfId="0" applyNumberFormat="1" applyFont="1" applyFill="1" applyAlignment="1"/>
    <xf numFmtId="10" fontId="6" fillId="0" borderId="0" xfId="7" applyNumberFormat="1" applyFont="1" applyFill="1" applyBorder="1" applyAlignment="1"/>
    <xf numFmtId="0" fontId="6" fillId="0" borderId="0" xfId="0" applyFont="1" applyFill="1" applyBorder="1" applyAlignment="1"/>
    <xf numFmtId="165" fontId="5" fillId="0" borderId="0" xfId="2" applyNumberFormat="1" applyFont="1" applyFill="1" applyBorder="1" applyAlignment="1"/>
    <xf numFmtId="0" fontId="5" fillId="4" borderId="20" xfId="5" applyFont="1" applyFill="1" applyBorder="1" applyAlignment="1">
      <alignment horizontal="left" vertical="center" wrapText="1"/>
    </xf>
    <xf numFmtId="0" fontId="5" fillId="4" borderId="18" xfId="5" applyFont="1" applyFill="1" applyBorder="1" applyAlignment="1">
      <alignment horizontal="left" vertical="center" wrapText="1"/>
    </xf>
    <xf numFmtId="0" fontId="5" fillId="4" borderId="19" xfId="5" applyFont="1" applyFill="1" applyBorder="1" applyAlignment="1">
      <alignment horizontal="left" vertical="center" wrapText="1"/>
    </xf>
    <xf numFmtId="167" fontId="6" fillId="0" borderId="0" xfId="1" applyNumberFormat="1" applyFont="1" applyAlignment="1"/>
    <xf numFmtId="167" fontId="5" fillId="2" borderId="1" xfId="1" applyNumberFormat="1" applyFont="1" applyFill="1" applyBorder="1" applyAlignment="1">
      <alignment horizontal="center"/>
    </xf>
    <xf numFmtId="167" fontId="5" fillId="2" borderId="3" xfId="1" applyNumberFormat="1" applyFont="1" applyFill="1" applyBorder="1" applyAlignment="1">
      <alignment horizontal="center"/>
    </xf>
    <xf numFmtId="167" fontId="5" fillId="0" borderId="6" xfId="1" applyNumberFormat="1" applyFont="1" applyFill="1" applyBorder="1" applyAlignment="1">
      <alignment horizontal="center" vertical="top" wrapText="1"/>
    </xf>
    <xf numFmtId="167" fontId="6" fillId="0" borderId="6" xfId="1" applyNumberFormat="1" applyFont="1" applyBorder="1" applyAlignment="1"/>
    <xf numFmtId="167" fontId="6" fillId="0" borderId="0" xfId="1" applyNumberFormat="1" applyFont="1" applyFill="1" applyAlignment="1">
      <alignment horizontal="right"/>
    </xf>
    <xf numFmtId="167" fontId="6" fillId="0" borderId="0" xfId="1" applyNumberFormat="1" applyFont="1" applyAlignment="1">
      <alignment horizontal="right"/>
    </xf>
    <xf numFmtId="0" fontId="6" fillId="0" borderId="0" xfId="0" quotePrefix="1" applyFont="1" applyFill="1" applyBorder="1" applyAlignment="1">
      <alignment horizontal="center"/>
    </xf>
    <xf numFmtId="167" fontId="6" fillId="0" borderId="3" xfId="1" applyNumberFormat="1" applyFont="1" applyBorder="1" applyAlignment="1"/>
    <xf numFmtId="10" fontId="6" fillId="0" borderId="6" xfId="7" applyNumberFormat="1" applyFont="1" applyFill="1" applyBorder="1" applyAlignment="1">
      <alignment vertical="top"/>
    </xf>
    <xf numFmtId="10" fontId="6" fillId="0" borderId="4" xfId="7" applyNumberFormat="1" applyFont="1" applyFill="1" applyBorder="1" applyAlignment="1">
      <alignment vertical="top"/>
    </xf>
    <xf numFmtId="0" fontId="5" fillId="0" borderId="2" xfId="5" applyFont="1" applyFill="1" applyBorder="1" applyAlignment="1">
      <alignment horizontal="center" vertical="top" wrapText="1"/>
    </xf>
    <xf numFmtId="0" fontId="5" fillId="0" borderId="6" xfId="5" applyFont="1" applyFill="1" applyBorder="1" applyAlignment="1">
      <alignment horizontal="center" vertical="top" wrapText="1"/>
    </xf>
    <xf numFmtId="0" fontId="0" fillId="0" borderId="17" xfId="0" applyBorder="1" applyAlignment="1"/>
    <xf numFmtId="167" fontId="6" fillId="0" borderId="0" xfId="1" applyNumberFormat="1" applyFont="1" applyAlignment="1">
      <alignment horizontal="center"/>
    </xf>
    <xf numFmtId="167" fontId="6" fillId="0" borderId="0" xfId="1" applyNumberFormat="1" applyFont="1" applyFill="1" applyBorder="1" applyAlignment="1">
      <alignment horizontal="center"/>
    </xf>
    <xf numFmtId="167" fontId="6" fillId="0" borderId="1" xfId="1" applyNumberFormat="1" applyFont="1" applyBorder="1" applyAlignment="1">
      <alignment horizontal="center"/>
    </xf>
    <xf numFmtId="167" fontId="6" fillId="0" borderId="5" xfId="1" applyNumberFormat="1" applyFont="1" applyFill="1" applyBorder="1" applyAlignment="1">
      <alignment horizontal="center"/>
    </xf>
    <xf numFmtId="167" fontId="5" fillId="0" borderId="0" xfId="1" applyNumberFormat="1" applyFont="1" applyFill="1" applyBorder="1" applyAlignment="1">
      <alignment horizontal="center" vertical="top" wrapText="1"/>
    </xf>
    <xf numFmtId="167" fontId="6" fillId="0" borderId="7" xfId="1" applyNumberFormat="1" applyFont="1" applyBorder="1" applyAlignment="1"/>
    <xf numFmtId="167" fontId="6" fillId="3" borderId="0" xfId="1" applyNumberFormat="1" applyFont="1" applyFill="1" applyAlignment="1"/>
    <xf numFmtId="167" fontId="6" fillId="0" borderId="0" xfId="1" applyNumberFormat="1" applyFont="1" applyFill="1" applyAlignment="1"/>
    <xf numFmtId="167" fontId="6" fillId="0" borderId="0" xfId="1" applyNumberFormat="1" applyFont="1" applyFill="1" applyBorder="1" applyAlignment="1"/>
    <xf numFmtId="0" fontId="6" fillId="0" borderId="16" xfId="0" applyFont="1" applyBorder="1" applyAlignment="1"/>
    <xf numFmtId="0" fontId="7" fillId="4" borderId="16" xfId="6" applyFont="1" applyFill="1" applyBorder="1" applyAlignment="1">
      <alignment vertical="top"/>
    </xf>
    <xf numFmtId="0" fontId="6" fillId="5" borderId="8" xfId="0" applyFont="1" applyFill="1" applyBorder="1" applyAlignment="1"/>
    <xf numFmtId="0" fontId="6" fillId="5" borderId="7" xfId="0" applyFont="1" applyFill="1" applyBorder="1" applyAlignment="1"/>
    <xf numFmtId="0" fontId="6" fillId="2" borderId="8" xfId="0" applyFont="1" applyFill="1" applyBorder="1" applyAlignment="1"/>
    <xf numFmtId="0" fontId="6" fillId="2" borderId="7" xfId="0" applyFont="1" applyFill="1" applyBorder="1" applyAlignment="1"/>
    <xf numFmtId="0" fontId="6" fillId="0" borderId="4" xfId="5" applyFont="1" applyFill="1" applyBorder="1" applyAlignment="1">
      <alignment vertical="top"/>
    </xf>
    <xf numFmtId="0" fontId="6" fillId="3" borderId="23" xfId="5" applyFont="1" applyFill="1" applyBorder="1" applyAlignment="1"/>
    <xf numFmtId="0" fontId="6" fillId="3" borderId="17" xfId="5" applyFont="1" applyFill="1" applyBorder="1" applyAlignment="1">
      <alignment vertical="top"/>
    </xf>
    <xf numFmtId="0" fontId="5" fillId="0" borderId="24" xfId="5" applyFont="1" applyBorder="1" applyAlignment="1">
      <alignment vertical="top" wrapText="1"/>
    </xf>
    <xf numFmtId="0" fontId="6" fillId="0" borderId="0" xfId="5" applyFont="1" applyFill="1" applyBorder="1" applyAlignment="1">
      <alignment vertical="top"/>
    </xf>
    <xf numFmtId="10" fontId="6" fillId="0" borderId="0" xfId="7" applyNumberFormat="1" applyFont="1" applyFill="1" applyBorder="1" applyAlignment="1">
      <alignment vertical="top"/>
    </xf>
    <xf numFmtId="0" fontId="6" fillId="0" borderId="0" xfId="5" applyFont="1" applyFill="1" applyBorder="1" applyAlignment="1"/>
    <xf numFmtId="9" fontId="5" fillId="0" borderId="0" xfId="5" applyNumberFormat="1" applyFont="1" applyFill="1" applyBorder="1" applyAlignment="1">
      <alignment horizontal="center"/>
    </xf>
    <xf numFmtId="0" fontId="5" fillId="0" borderId="0" xfId="5" applyFont="1" applyFill="1" applyBorder="1" applyAlignment="1">
      <alignment vertical="top" wrapText="1"/>
    </xf>
    <xf numFmtId="10" fontId="9" fillId="0" borderId="0" xfId="7" applyNumberFormat="1" applyFont="1" applyFill="1" applyBorder="1" applyAlignment="1">
      <alignment vertical="top"/>
    </xf>
    <xf numFmtId="0" fontId="18" fillId="0" borderId="0" xfId="5" applyFont="1" applyAlignment="1"/>
    <xf numFmtId="0" fontId="7" fillId="0" borderId="2" xfId="6" applyFont="1" applyFill="1" applyBorder="1" applyAlignment="1">
      <alignment vertical="top"/>
    </xf>
    <xf numFmtId="0" fontId="7" fillId="0" borderId="16" xfId="6" applyFont="1" applyFill="1" applyBorder="1" applyAlignment="1">
      <alignment vertical="top"/>
    </xf>
    <xf numFmtId="0" fontId="6" fillId="4" borderId="0" xfId="0" applyFont="1" applyFill="1" applyAlignment="1"/>
    <xf numFmtId="0" fontId="6" fillId="4" borderId="0" xfId="0" applyFont="1" applyFill="1" applyAlignment="1">
      <alignment horizontal="center"/>
    </xf>
    <xf numFmtId="166" fontId="6" fillId="4" borderId="1" xfId="0" applyNumberFormat="1" applyFont="1" applyFill="1" applyBorder="1" applyAlignment="1"/>
    <xf numFmtId="166" fontId="6" fillId="4" borderId="5" xfId="0" applyNumberFormat="1" applyFont="1" applyFill="1" applyBorder="1" applyAlignment="1">
      <alignment horizontal="center"/>
    </xf>
    <xf numFmtId="166" fontId="6" fillId="4" borderId="0" xfId="0" applyNumberFormat="1" applyFont="1" applyFill="1" applyAlignment="1"/>
    <xf numFmtId="165" fontId="6" fillId="4" borderId="7" xfId="0" applyNumberFormat="1" applyFont="1" applyFill="1" applyBorder="1" applyAlignment="1"/>
    <xf numFmtId="14" fontId="6" fillId="4" borderId="0" xfId="0" applyNumberFormat="1" applyFont="1" applyFill="1" applyAlignment="1"/>
    <xf numFmtId="14" fontId="6" fillId="4" borderId="0" xfId="0" applyNumberFormat="1" applyFont="1" applyFill="1" applyBorder="1" applyAlignment="1"/>
    <xf numFmtId="0" fontId="6" fillId="4" borderId="0" xfId="0" applyFont="1" applyFill="1" applyBorder="1" applyAlignment="1"/>
    <xf numFmtId="0" fontId="6" fillId="4" borderId="22" xfId="0" applyFont="1" applyFill="1" applyBorder="1" applyAlignment="1"/>
    <xf numFmtId="165" fontId="6" fillId="4" borderId="0" xfId="2" applyNumberFormat="1" applyFont="1" applyFill="1"/>
    <xf numFmtId="37" fontId="6" fillId="0" borderId="0" xfId="0" applyNumberFormat="1" applyFont="1" applyAlignment="1"/>
    <xf numFmtId="165" fontId="0" fillId="2" borderId="24" xfId="2" applyNumberFormat="1" applyFont="1" applyFill="1" applyBorder="1"/>
    <xf numFmtId="0" fontId="19" fillId="0" borderId="0" xfId="5" applyFont="1" applyBorder="1" applyAlignment="1">
      <alignment vertical="center" wrapText="1"/>
    </xf>
    <xf numFmtId="0" fontId="2" fillId="0" borderId="0" xfId="5"/>
    <xf numFmtId="0" fontId="19" fillId="0" borderId="0" xfId="5" applyFont="1" applyBorder="1" applyAlignment="1">
      <alignment horizontal="left" vertical="center" wrapText="1"/>
    </xf>
    <xf numFmtId="164" fontId="19" fillId="0" borderId="0" xfId="4" applyNumberFormat="1" applyFont="1" applyBorder="1" applyAlignment="1">
      <alignment horizontal="left" vertical="center" wrapText="1"/>
    </xf>
    <xf numFmtId="0" fontId="5" fillId="0" borderId="0" xfId="5" applyFont="1" applyBorder="1" applyAlignment="1">
      <alignment horizontal="left" vertical="center" wrapText="1"/>
    </xf>
    <xf numFmtId="0" fontId="5" fillId="0" borderId="0" xfId="4" applyNumberFormat="1" applyFont="1" applyBorder="1" applyAlignment="1">
      <alignment horizontal="left" vertical="center" wrapText="1"/>
    </xf>
    <xf numFmtId="0" fontId="5" fillId="0" borderId="0" xfId="4" applyFont="1" applyBorder="1" applyAlignment="1">
      <alignment horizontal="left" vertical="center" wrapText="1"/>
    </xf>
    <xf numFmtId="164" fontId="5" fillId="0" borderId="0" xfId="4" applyNumberFormat="1" applyFont="1" applyBorder="1" applyAlignment="1">
      <alignment horizontal="left" vertical="center" wrapText="1"/>
    </xf>
    <xf numFmtId="0" fontId="0" fillId="0" borderId="0" xfId="0" applyBorder="1" applyAlignment="1"/>
    <xf numFmtId="165" fontId="6" fillId="5" borderId="7" xfId="0" applyNumberFormat="1" applyFont="1" applyFill="1" applyBorder="1" applyAlignment="1"/>
    <xf numFmtId="0" fontId="6" fillId="5" borderId="24" xfId="0" applyFont="1" applyFill="1" applyBorder="1" applyAlignment="1"/>
    <xf numFmtId="0" fontId="6" fillId="0" borderId="6" xfId="0" applyFont="1" applyBorder="1" applyAlignment="1">
      <alignment horizontal="center"/>
    </xf>
    <xf numFmtId="0" fontId="6" fillId="4" borderId="6" xfId="0" applyFont="1" applyFill="1" applyBorder="1" applyAlignment="1">
      <alignment horizontal="center"/>
    </xf>
    <xf numFmtId="167" fontId="6" fillId="0" borderId="6" xfId="1" applyNumberFormat="1" applyFont="1" applyBorder="1" applyAlignment="1">
      <alignment horizontal="center"/>
    </xf>
    <xf numFmtId="165" fontId="6" fillId="5" borderId="24" xfId="0" applyNumberFormat="1" applyFont="1" applyFill="1" applyBorder="1" applyAlignment="1"/>
    <xf numFmtId="17" fontId="6" fillId="0" borderId="0" xfId="0" quotePrefix="1" applyNumberFormat="1" applyFont="1" applyAlignment="1"/>
    <xf numFmtId="0" fontId="6" fillId="0" borderId="0" xfId="0" quotePrefix="1" applyFont="1" applyBorder="1" applyAlignment="1"/>
    <xf numFmtId="0" fontId="6" fillId="0" borderId="0" xfId="0" quotePrefix="1" applyFont="1" applyFill="1" applyBorder="1" applyAlignment="1"/>
    <xf numFmtId="167" fontId="5" fillId="0" borderId="1" xfId="1" applyNumberFormat="1" applyFont="1" applyFill="1" applyBorder="1" applyAlignment="1">
      <alignment horizontal="center" vertical="top" wrapText="1"/>
    </xf>
    <xf numFmtId="165" fontId="6" fillId="0" borderId="8" xfId="0" applyNumberFormat="1" applyFont="1" applyFill="1" applyBorder="1" applyAlignment="1"/>
    <xf numFmtId="3" fontId="7" fillId="0" borderId="0" xfId="0" applyNumberFormat="1" applyFont="1" applyAlignment="1">
      <alignment horizontal="center"/>
    </xf>
    <xf numFmtId="167" fontId="7" fillId="0" borderId="0" xfId="1" applyNumberFormat="1" applyFont="1"/>
    <xf numFmtId="167" fontId="15" fillId="0" borderId="0" xfId="1" applyNumberFormat="1" applyFont="1"/>
    <xf numFmtId="3" fontId="7" fillId="0" borderId="0" xfId="0" applyNumberFormat="1" applyFont="1" applyFill="1" applyAlignment="1">
      <alignment horizontal="center"/>
    </xf>
    <xf numFmtId="167" fontId="7" fillId="0" borderId="25" xfId="1" applyNumberFormat="1" applyFont="1" applyBorder="1"/>
    <xf numFmtId="0" fontId="7" fillId="0" borderId="0" xfId="0" applyFont="1" applyAlignment="1"/>
    <xf numFmtId="0" fontId="6" fillId="0" borderId="0" xfId="0" applyFont="1" applyAlignment="1"/>
    <xf numFmtId="167" fontId="13" fillId="0" borderId="0" xfId="1" applyNumberFormat="1" applyFont="1"/>
    <xf numFmtId="167" fontId="7" fillId="0" borderId="0" xfId="0" applyNumberFormat="1" applyFont="1" applyFill="1" applyAlignment="1"/>
    <xf numFmtId="167" fontId="7" fillId="0" borderId="17" xfId="1" applyNumberFormat="1" applyFont="1" applyBorder="1"/>
    <xf numFmtId="3" fontId="7" fillId="0" borderId="2" xfId="0" applyNumberFormat="1" applyFont="1" applyBorder="1" applyAlignment="1">
      <alignment horizontal="right"/>
    </xf>
    <xf numFmtId="3" fontId="7" fillId="0" borderId="16" xfId="0" applyNumberFormat="1" applyFont="1" applyBorder="1" applyAlignment="1">
      <alignment horizontal="right"/>
    </xf>
    <xf numFmtId="165" fontId="6" fillId="5" borderId="6" xfId="2" applyNumberFormat="1" applyFont="1" applyFill="1" applyBorder="1" applyAlignment="1"/>
    <xf numFmtId="165" fontId="6" fillId="6" borderId="6" xfId="2" applyNumberFormat="1" applyFont="1" applyFill="1" applyBorder="1" applyAlignment="1"/>
    <xf numFmtId="165" fontId="6" fillId="0" borderId="0" xfId="0" applyNumberFormat="1" applyFont="1" applyFill="1" applyAlignment="1"/>
    <xf numFmtId="165" fontId="6" fillId="0" borderId="0" xfId="2" applyNumberFormat="1" applyFont="1" applyFill="1" applyAlignment="1"/>
    <xf numFmtId="0" fontId="21" fillId="0" borderId="0" xfId="0" applyFont="1" applyAlignment="1"/>
    <xf numFmtId="3" fontId="14" fillId="0" borderId="4" xfId="0" applyNumberFormat="1" applyFont="1" applyFill="1" applyBorder="1" applyAlignment="1">
      <alignment horizontal="right"/>
    </xf>
    <xf numFmtId="3" fontId="14" fillId="0" borderId="16" xfId="0" applyNumberFormat="1" applyFont="1" applyFill="1" applyBorder="1" applyAlignment="1">
      <alignment horizontal="right"/>
    </xf>
    <xf numFmtId="0" fontId="6" fillId="0" borderId="0" xfId="0" applyFont="1" applyFill="1" applyAlignment="1"/>
    <xf numFmtId="165" fontId="6" fillId="2" borderId="6" xfId="2" applyNumberFormat="1" applyFont="1" applyFill="1" applyBorder="1" applyAlignment="1"/>
    <xf numFmtId="167" fontId="6" fillId="0" borderId="0" xfId="1" applyNumberFormat="1" applyFont="1" applyFill="1"/>
    <xf numFmtId="167" fontId="0" fillId="0" borderId="0" xfId="1" applyNumberFormat="1" applyFont="1" applyFill="1"/>
    <xf numFmtId="165" fontId="6" fillId="0" borderId="25" xfId="0" applyNumberFormat="1" applyFont="1" applyBorder="1" applyAlignment="1"/>
    <xf numFmtId="169" fontId="6" fillId="0" borderId="0" xfId="1" applyNumberFormat="1" applyFont="1" applyAlignment="1">
      <alignment horizontal="center"/>
    </xf>
    <xf numFmtId="0" fontId="6" fillId="0" borderId="0" xfId="0" applyFont="1" applyAlignment="1">
      <alignment horizontal="right"/>
    </xf>
    <xf numFmtId="170" fontId="6" fillId="0" borderId="0" xfId="7" applyNumberFormat="1" applyFont="1"/>
    <xf numFmtId="10" fontId="6" fillId="0" borderId="7" xfId="0" applyNumberFormat="1" applyFont="1" applyBorder="1" applyAlignment="1"/>
    <xf numFmtId="172" fontId="6" fillId="0" borderId="0" xfId="1" applyNumberFormat="1" applyFont="1"/>
    <xf numFmtId="10" fontId="6" fillId="0" borderId="0" xfId="7" applyNumberFormat="1" applyFont="1"/>
    <xf numFmtId="0" fontId="6" fillId="0" borderId="26" xfId="0" applyFont="1" applyBorder="1" applyAlignment="1"/>
    <xf numFmtId="0" fontId="6" fillId="0" borderId="22" xfId="0" applyFont="1" applyBorder="1" applyAlignment="1"/>
    <xf numFmtId="167" fontId="7" fillId="0" borderId="0" xfId="1" applyNumberFormat="1" applyFont="1" applyFill="1" applyBorder="1"/>
    <xf numFmtId="0" fontId="6" fillId="0" borderId="22" xfId="0" applyFont="1" applyFill="1" applyBorder="1" applyAlignment="1"/>
    <xf numFmtId="3" fontId="7" fillId="0" borderId="16" xfId="0" applyNumberFormat="1" applyFont="1" applyFill="1" applyBorder="1" applyAlignment="1">
      <alignment horizontal="right"/>
    </xf>
    <xf numFmtId="3" fontId="7" fillId="0" borderId="16" xfId="0" applyNumberFormat="1" applyFont="1" applyBorder="1" applyAlignment="1">
      <alignment horizontal="right"/>
    </xf>
    <xf numFmtId="0" fontId="0" fillId="0" borderId="0" xfId="0" applyFill="1" applyBorder="1" applyAlignment="1">
      <alignment horizontal="center"/>
    </xf>
    <xf numFmtId="0" fontId="0" fillId="0" borderId="0" xfId="0" applyFill="1" applyBorder="1" applyAlignment="1"/>
    <xf numFmtId="171" fontId="6" fillId="0" borderId="0" xfId="0" applyNumberFormat="1" applyFont="1" applyFill="1" applyAlignment="1"/>
    <xf numFmtId="0" fontId="7" fillId="0" borderId="28" xfId="6" applyFont="1" applyFill="1" applyBorder="1" applyAlignment="1">
      <alignment vertical="top"/>
    </xf>
    <xf numFmtId="43" fontId="6" fillId="0" borderId="3" xfId="1" applyNumberFormat="1" applyFont="1" applyFill="1" applyBorder="1" applyAlignment="1"/>
    <xf numFmtId="165" fontId="6" fillId="6" borderId="22" xfId="0" applyNumberFormat="1" applyFont="1" applyFill="1" applyBorder="1" applyAlignment="1"/>
    <xf numFmtId="167" fontId="6" fillId="4" borderId="0" xfId="1" applyNumberFormat="1" applyFont="1" applyFill="1" applyAlignment="1"/>
    <xf numFmtId="166" fontId="6" fillId="2" borderId="2" xfId="0" applyNumberFormat="1" applyFont="1" applyFill="1" applyBorder="1" applyAlignment="1">
      <alignment horizontal="center"/>
    </xf>
    <xf numFmtId="166" fontId="6" fillId="2" borderId="16" xfId="0" applyNumberFormat="1" applyFont="1" applyFill="1" applyBorder="1" applyAlignment="1">
      <alignment horizontal="center"/>
    </xf>
    <xf numFmtId="166" fontId="6" fillId="2" borderId="2" xfId="0" applyNumberFormat="1" applyFont="1" applyFill="1" applyBorder="1" applyAlignment="1">
      <alignment horizontal="right" wrapText="1"/>
    </xf>
    <xf numFmtId="166" fontId="6" fillId="2" borderId="16" xfId="0" applyNumberFormat="1" applyFont="1" applyFill="1" applyBorder="1" applyAlignment="1">
      <alignment horizontal="right" wrapText="1"/>
    </xf>
    <xf numFmtId="166" fontId="6" fillId="2" borderId="16" xfId="0" applyNumberFormat="1" applyFont="1" applyFill="1" applyBorder="1" applyAlignment="1">
      <alignment horizontal="right" wrapText="1"/>
    </xf>
    <xf numFmtId="3" fontId="6" fillId="2" borderId="16" xfId="0" applyNumberFormat="1" applyFont="1" applyFill="1" applyBorder="1" applyAlignment="1">
      <alignment horizontal="right"/>
    </xf>
    <xf numFmtId="166" fontId="6" fillId="2" borderId="16" xfId="0" applyNumberFormat="1" applyFont="1" applyFill="1" applyBorder="1" applyAlignment="1">
      <alignment horizontal="right" wrapText="1"/>
    </xf>
    <xf numFmtId="166" fontId="6" fillId="2" borderId="16" xfId="0" applyNumberFormat="1" applyFont="1" applyFill="1" applyBorder="1" applyAlignment="1">
      <alignment horizontal="right" wrapText="1"/>
    </xf>
    <xf numFmtId="3" fontId="7" fillId="2" borderId="2" xfId="0" applyNumberFormat="1" applyFont="1" applyFill="1" applyBorder="1" applyAlignment="1">
      <alignment horizontal="right"/>
    </xf>
    <xf numFmtId="3" fontId="7" fillId="2" borderId="16" xfId="0" applyNumberFormat="1" applyFont="1" applyFill="1" applyBorder="1" applyAlignment="1">
      <alignment horizontal="right"/>
    </xf>
    <xf numFmtId="3" fontId="6" fillId="2" borderId="2" xfId="0" applyNumberFormat="1" applyFont="1" applyFill="1" applyBorder="1" applyAlignment="1">
      <alignment horizontal="right"/>
    </xf>
    <xf numFmtId="3" fontId="6" fillId="2" borderId="16" xfId="0" applyNumberFormat="1" applyFont="1" applyFill="1" applyBorder="1" applyAlignment="1">
      <alignment horizontal="right"/>
    </xf>
    <xf numFmtId="167" fontId="7" fillId="0" borderId="0" xfId="0" applyNumberFormat="1" applyFont="1">
      <alignment vertical="top"/>
    </xf>
    <xf numFmtId="10" fontId="9" fillId="0" borderId="10" xfId="7" applyNumberFormat="1" applyFont="1" applyFill="1" applyBorder="1" applyAlignment="1">
      <alignment vertical="top"/>
    </xf>
    <xf numFmtId="10" fontId="6" fillId="0" borderId="21" xfId="7" applyNumberFormat="1" applyFont="1" applyFill="1" applyBorder="1" applyAlignment="1">
      <alignment vertical="top"/>
    </xf>
    <xf numFmtId="167" fontId="6" fillId="0" borderId="3" xfId="1" applyNumberFormat="1" applyFont="1" applyFill="1" applyBorder="1" applyAlignment="1"/>
    <xf numFmtId="10" fontId="9" fillId="0" borderId="11" xfId="7" applyNumberFormat="1" applyFont="1" applyFill="1" applyBorder="1" applyAlignment="1">
      <alignment vertical="top"/>
    </xf>
    <xf numFmtId="167" fontId="6" fillId="0" borderId="1" xfId="1" applyNumberFormat="1" applyFont="1" applyFill="1" applyBorder="1" applyAlignment="1"/>
    <xf numFmtId="10" fontId="6" fillId="0" borderId="29" xfId="7" applyNumberFormat="1" applyFont="1" applyFill="1" applyBorder="1" applyAlignment="1">
      <alignment vertical="top"/>
    </xf>
    <xf numFmtId="167" fontId="6" fillId="0" borderId="26" xfId="1" applyNumberFormat="1" applyFont="1" applyFill="1" applyBorder="1" applyAlignment="1"/>
    <xf numFmtId="167" fontId="6" fillId="0" borderId="22" xfId="1" applyNumberFormat="1" applyFont="1" applyFill="1" applyBorder="1" applyAlignment="1"/>
    <xf numFmtId="0" fontId="0" fillId="0" borderId="0" xfId="0" applyFill="1" applyAlignment="1"/>
    <xf numFmtId="43" fontId="6" fillId="0" borderId="1" xfId="1" applyNumberFormat="1" applyFont="1" applyFill="1" applyBorder="1" applyAlignment="1"/>
    <xf numFmtId="43" fontId="6" fillId="0" borderId="0" xfId="0" applyNumberFormat="1" applyFont="1" applyAlignment="1"/>
    <xf numFmtId="0" fontId="22" fillId="0" borderId="0" xfId="0" applyFont="1" applyFill="1" applyBorder="1" applyAlignment="1"/>
    <xf numFmtId="0" fontId="22" fillId="0" borderId="0" xfId="0" applyFont="1" applyFill="1" applyBorder="1" applyAlignment="1">
      <alignment horizontal="right"/>
    </xf>
    <xf numFmtId="0" fontId="23" fillId="0" borderId="0" xfId="0" applyNumberFormat="1" applyFont="1" applyFill="1" applyBorder="1" applyAlignment="1" applyProtection="1">
      <protection locked="0"/>
    </xf>
    <xf numFmtId="0" fontId="23" fillId="0" borderId="0" xfId="0" applyNumberFormat="1" applyFont="1" applyFill="1" applyBorder="1" applyAlignment="1" applyProtection="1">
      <alignment horizontal="left"/>
      <protection locked="0"/>
    </xf>
    <xf numFmtId="0" fontId="23" fillId="0" borderId="0" xfId="0" applyNumberFormat="1" applyFont="1" applyFill="1" applyBorder="1" applyProtection="1">
      <alignment vertical="top"/>
      <protection locked="0"/>
    </xf>
    <xf numFmtId="0" fontId="23" fillId="0" borderId="0" xfId="0" applyNumberFormat="1" applyFont="1" applyFill="1" applyBorder="1">
      <alignment vertical="top"/>
    </xf>
    <xf numFmtId="0" fontId="23" fillId="0" borderId="0" xfId="0" applyNumberFormat="1" applyFont="1" applyFill="1" applyBorder="1" applyAlignment="1" applyProtection="1">
      <alignment horizontal="right"/>
      <protection locked="0"/>
    </xf>
    <xf numFmtId="0" fontId="0" fillId="0" borderId="0" xfId="0" applyNumberFormat="1" applyFont="1" applyFill="1" applyBorder="1">
      <alignment vertical="top"/>
    </xf>
    <xf numFmtId="0" fontId="24" fillId="0" borderId="0" xfId="0" applyNumberFormat="1" applyFont="1" applyFill="1" applyBorder="1">
      <alignment vertical="top"/>
    </xf>
    <xf numFmtId="0" fontId="0" fillId="0" borderId="0" xfId="0" applyFont="1" applyFill="1" applyBorder="1" applyAlignment="1"/>
    <xf numFmtId="3" fontId="23" fillId="0" borderId="0" xfId="0" applyNumberFormat="1" applyFont="1" applyFill="1" applyBorder="1" applyAlignment="1"/>
    <xf numFmtId="0" fontId="24" fillId="0" borderId="0" xfId="0" applyNumberFormat="1" applyFont="1" applyFill="1" applyBorder="1" applyAlignment="1">
      <alignment horizontal="center"/>
    </xf>
    <xf numFmtId="0" fontId="22" fillId="0" borderId="0" xfId="0" applyNumberFormat="1" applyFont="1" applyFill="1" applyBorder="1" applyAlignment="1" applyProtection="1">
      <alignment horizontal="center"/>
      <protection locked="0"/>
    </xf>
    <xf numFmtId="0" fontId="23" fillId="5" borderId="0" xfId="0" applyNumberFormat="1" applyFont="1" applyFill="1" applyBorder="1">
      <alignment vertical="top"/>
    </xf>
    <xf numFmtId="49" fontId="23" fillId="5" borderId="0" xfId="0" applyNumberFormat="1" applyFont="1" applyFill="1" applyBorder="1" applyAlignment="1">
      <alignment horizontal="center"/>
    </xf>
    <xf numFmtId="49" fontId="23" fillId="0" borderId="0" xfId="0" applyNumberFormat="1" applyFont="1" applyFill="1" applyBorder="1">
      <alignment vertical="top"/>
    </xf>
    <xf numFmtId="3" fontId="23" fillId="0" borderId="0" xfId="0" applyNumberFormat="1" applyFont="1" applyFill="1" applyBorder="1">
      <alignment vertical="top"/>
    </xf>
    <xf numFmtId="0" fontId="23" fillId="0" borderId="0" xfId="0" applyNumberFormat="1" applyFont="1" applyFill="1" applyBorder="1" applyAlignment="1">
      <alignment horizontal="center"/>
    </xf>
    <xf numFmtId="49" fontId="23"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23" fillId="0" borderId="0" xfId="0" applyNumberFormat="1" applyFont="1" applyFill="1" applyBorder="1" applyAlignment="1"/>
    <xf numFmtId="3" fontId="25"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25" fillId="0" borderId="0" xfId="0" applyFont="1" applyFill="1" applyBorder="1" applyAlignment="1">
      <alignment horizontal="center"/>
    </xf>
    <xf numFmtId="0" fontId="25" fillId="0" borderId="0" xfId="0" applyNumberFormat="1" applyFont="1" applyFill="1" applyBorder="1" applyAlignment="1" applyProtection="1">
      <alignment horizontal="center"/>
      <protection locked="0"/>
    </xf>
    <xf numFmtId="0" fontId="26" fillId="0" borderId="0" xfId="0" applyNumberFormat="1" applyFont="1" applyFill="1" applyBorder="1" applyAlignment="1">
      <alignment horizontal="center"/>
    </xf>
    <xf numFmtId="0" fontId="25" fillId="0" borderId="0" xfId="0" applyNumberFormat="1" applyFont="1" applyFill="1" applyBorder="1" applyAlignment="1"/>
    <xf numFmtId="0" fontId="27" fillId="0" borderId="0" xfId="0" applyNumberFormat="1" applyFont="1" applyFill="1" applyBorder="1" applyAlignment="1" applyProtection="1">
      <alignment horizontal="center"/>
      <protection locked="0"/>
    </xf>
    <xf numFmtId="3" fontId="22" fillId="0" borderId="0" xfId="0" applyNumberFormat="1" applyFont="1" applyFill="1" applyBorder="1" applyAlignment="1">
      <alignment horizontal="center"/>
    </xf>
    <xf numFmtId="3" fontId="23" fillId="0" borderId="0" xfId="0" applyNumberFormat="1" applyFont="1" applyFill="1" applyBorder="1" applyAlignment="1">
      <alignment horizontal="center"/>
    </xf>
    <xf numFmtId="41" fontId="23" fillId="5" borderId="0" xfId="0" applyNumberFormat="1" applyFont="1" applyFill="1" applyBorder="1" applyAlignment="1"/>
    <xf numFmtId="3" fontId="23" fillId="5" borderId="0" xfId="0" applyNumberFormat="1" applyFont="1" applyFill="1" applyBorder="1" applyAlignment="1"/>
    <xf numFmtId="10" fontId="23" fillId="0" borderId="0" xfId="0" applyNumberFormat="1" applyFont="1" applyFill="1" applyBorder="1" applyAlignment="1"/>
    <xf numFmtId="10" fontId="28" fillId="0" borderId="0" xfId="7" applyNumberFormat="1" applyFont="1" applyFill="1" applyBorder="1" applyAlignment="1"/>
    <xf numFmtId="10" fontId="25" fillId="0" borderId="0" xfId="0" applyNumberFormat="1" applyFont="1" applyFill="1" applyBorder="1" applyAlignment="1"/>
    <xf numFmtId="3" fontId="26" fillId="0" borderId="0" xfId="0" applyNumberFormat="1" applyFont="1" applyFill="1" applyBorder="1" applyAlignment="1"/>
    <xf numFmtId="173" fontId="25" fillId="0" borderId="0" xfId="0" applyNumberFormat="1" applyFont="1" applyFill="1" applyBorder="1" applyAlignment="1"/>
    <xf numFmtId="10" fontId="0" fillId="0" borderId="0" xfId="7" applyNumberFormat="1" applyFont="1" applyFill="1" applyBorder="1" applyAlignment="1"/>
    <xf numFmtId="49" fontId="0" fillId="0" borderId="0" xfId="0" applyNumberFormat="1" applyFont="1" applyFill="1" applyBorder="1" applyAlignment="1">
      <alignment horizontal="center"/>
    </xf>
    <xf numFmtId="0" fontId="23" fillId="0" borderId="0" xfId="0" applyFont="1" applyFill="1" applyBorder="1" applyAlignment="1">
      <alignment horizontal="center"/>
    </xf>
    <xf numFmtId="49" fontId="22" fillId="0" borderId="0" xfId="0" applyNumberFormat="1" applyFont="1" applyFill="1" applyBorder="1" applyAlignment="1">
      <alignment horizontal="center"/>
    </xf>
    <xf numFmtId="0" fontId="25"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49" fontId="26" fillId="0" borderId="0" xfId="0" applyNumberFormat="1" applyFont="1" applyFill="1" applyBorder="1" applyAlignment="1">
      <alignment horizontal="center"/>
    </xf>
    <xf numFmtId="0" fontId="26" fillId="0" borderId="0" xfId="0" applyFont="1" applyFill="1" applyBorder="1" applyAlignment="1"/>
    <xf numFmtId="3" fontId="25" fillId="0" borderId="0" xfId="0" applyNumberFormat="1" applyFont="1" applyFill="1" applyBorder="1" applyAlignment="1"/>
    <xf numFmtId="10" fontId="25" fillId="0" borderId="0" xfId="7" applyNumberFormat="1" applyFont="1" applyFill="1" applyBorder="1" applyAlignment="1"/>
    <xf numFmtId="0" fontId="0" fillId="0" borderId="0" xfId="0" applyNumberFormat="1" applyFont="1" applyFill="1" applyBorder="1" applyAlignment="1">
      <alignment horizontal="fill"/>
    </xf>
    <xf numFmtId="0" fontId="29" fillId="0" borderId="0" xfId="0" applyFont="1" applyFill="1" applyBorder="1" applyAlignment="1"/>
    <xf numFmtId="3" fontId="30" fillId="0" borderId="0" xfId="0" applyNumberFormat="1" applyFont="1" applyFill="1" applyBorder="1" applyAlignment="1"/>
    <xf numFmtId="170" fontId="23" fillId="0" borderId="0" xfId="0" applyNumberFormat="1" applyFont="1" applyFill="1" applyBorder="1" applyAlignment="1">
      <alignment horizontal="center"/>
    </xf>
    <xf numFmtId="10" fontId="23" fillId="0" borderId="0" xfId="7" applyNumberFormat="1" applyFont="1" applyFill="1" applyBorder="1" applyAlignment="1"/>
    <xf numFmtId="164" fontId="22" fillId="0" borderId="0" xfId="0" applyNumberFormat="1" applyFont="1" applyFill="1" applyBorder="1" applyAlignment="1"/>
    <xf numFmtId="0" fontId="30" fillId="0" borderId="0" xfId="0" applyNumberFormat="1" applyFont="1" applyFill="1" applyBorder="1">
      <alignment vertical="top"/>
    </xf>
    <xf numFmtId="0" fontId="23" fillId="0" borderId="0" xfId="0" applyFont="1" applyFill="1" applyBorder="1" applyAlignment="1"/>
    <xf numFmtId="49" fontId="6" fillId="0" borderId="0" xfId="0" applyNumberFormat="1" applyFont="1" applyFill="1" applyBorder="1" applyAlignment="1">
      <alignment horizontal="left"/>
    </xf>
    <xf numFmtId="0" fontId="6" fillId="0" borderId="0" xfId="0" applyNumberFormat="1" applyFont="1" applyFill="1" applyBorder="1" applyAlignment="1">
      <alignment horizontal="right"/>
    </xf>
    <xf numFmtId="0" fontId="0" fillId="0" borderId="0" xfId="0" applyNumberFormat="1" applyFont="1" applyFill="1" applyBorder="1" applyAlignment="1">
      <alignment horizontal="right"/>
    </xf>
    <xf numFmtId="49" fontId="22" fillId="0" borderId="0" xfId="0" applyNumberFormat="1" applyFont="1" applyFill="1" applyBorder="1" applyAlignment="1">
      <alignment horizontal="left"/>
    </xf>
    <xf numFmtId="0" fontId="23" fillId="0" borderId="0" xfId="0" applyFont="1" applyFill="1" applyBorder="1" applyAlignment="1">
      <alignment horizontal="right"/>
    </xf>
    <xf numFmtId="174" fontId="25" fillId="0" borderId="0" xfId="0" applyNumberFormat="1" applyFont="1" applyFill="1" applyBorder="1" applyAlignment="1">
      <alignment horizontal="center"/>
    </xf>
    <xf numFmtId="0" fontId="26" fillId="0" borderId="8" xfId="0" applyFont="1" applyFill="1" applyBorder="1" applyAlignment="1">
      <alignment horizontal="center" wrapText="1"/>
    </xf>
    <xf numFmtId="0" fontId="26" fillId="0" borderId="7" xfId="0" applyFont="1" applyFill="1" applyBorder="1" applyAlignment="1"/>
    <xf numFmtId="0" fontId="26" fillId="0" borderId="7" xfId="0" applyFont="1" applyFill="1" applyBorder="1" applyAlignment="1">
      <alignment horizontal="center" wrapText="1"/>
    </xf>
    <xf numFmtId="0" fontId="25" fillId="0" borderId="7" xfId="0" applyNumberFormat="1" applyFont="1" applyFill="1" applyBorder="1" applyAlignment="1">
      <alignment horizontal="center" wrapText="1"/>
    </xf>
    <xf numFmtId="0" fontId="26" fillId="0" borderId="6" xfId="0" applyFont="1" applyFill="1" applyBorder="1" applyAlignment="1">
      <alignment horizontal="center" wrapText="1"/>
    </xf>
    <xf numFmtId="3" fontId="25" fillId="0" borderId="6" xfId="0" applyNumberFormat="1" applyFont="1" applyFill="1" applyBorder="1" applyAlignment="1">
      <alignment horizontal="center" wrapText="1"/>
    </xf>
    <xf numFmtId="3" fontId="25" fillId="0" borderId="7" xfId="0" applyNumberFormat="1" applyFont="1" applyFill="1" applyBorder="1" applyAlignment="1">
      <alignment horizontal="center" wrapText="1"/>
    </xf>
    <xf numFmtId="0" fontId="23" fillId="0" borderId="8" xfId="0" applyNumberFormat="1" applyFont="1" applyFill="1" applyBorder="1">
      <alignment vertical="top"/>
    </xf>
    <xf numFmtId="0" fontId="23" fillId="0" borderId="7" xfId="0" applyNumberFormat="1" applyFont="1" applyFill="1" applyBorder="1">
      <alignment vertical="top"/>
    </xf>
    <xf numFmtId="0" fontId="23" fillId="0" borderId="7" xfId="0" applyNumberFormat="1" applyFont="1" applyFill="1" applyBorder="1" applyAlignment="1">
      <alignment horizontal="center"/>
    </xf>
    <xf numFmtId="0" fontId="23" fillId="0" borderId="6" xfId="0" applyNumberFormat="1" applyFont="1" applyFill="1" applyBorder="1" applyAlignment="1">
      <alignment horizontal="center"/>
    </xf>
    <xf numFmtId="3" fontId="23" fillId="0" borderId="7" xfId="0" applyNumberFormat="1" applyFont="1" applyFill="1" applyBorder="1" applyAlignment="1">
      <alignment horizontal="center"/>
    </xf>
    <xf numFmtId="3" fontId="23" fillId="0" borderId="6" xfId="0" applyNumberFormat="1" applyFont="1" applyFill="1" applyBorder="1" applyAlignment="1">
      <alignment horizontal="center" wrapText="1"/>
    </xf>
    <xf numFmtId="6" fontId="31" fillId="0" borderId="0" xfId="0" applyNumberFormat="1" applyFont="1" applyFill="1" applyBorder="1" applyAlignment="1">
      <alignment horizontal="center" wrapText="1"/>
    </xf>
    <xf numFmtId="3" fontId="32" fillId="0" borderId="0" xfId="0" applyNumberFormat="1" applyFont="1" applyFill="1" applyBorder="1" applyAlignment="1"/>
    <xf numFmtId="0" fontId="23" fillId="0" borderId="16" xfId="0" applyNumberFormat="1" applyFont="1" applyFill="1" applyBorder="1">
      <alignment vertical="top"/>
    </xf>
    <xf numFmtId="0" fontId="23" fillId="0" borderId="3" xfId="0" applyNumberFormat="1" applyFont="1" applyFill="1" applyBorder="1">
      <alignment vertical="top"/>
    </xf>
    <xf numFmtId="3" fontId="23" fillId="0" borderId="3" xfId="0" applyNumberFormat="1" applyFont="1" applyFill="1" applyBorder="1" applyAlignment="1"/>
    <xf numFmtId="0" fontId="32" fillId="0" borderId="0" xfId="0" applyNumberFormat="1" applyFont="1" applyFill="1" applyBorder="1">
      <alignment vertical="top"/>
    </xf>
    <xf numFmtId="0" fontId="22" fillId="0" borderId="16" xfId="0" applyFont="1" applyFill="1" applyBorder="1" applyAlignment="1"/>
    <xf numFmtId="0" fontId="33" fillId="0" borderId="0" xfId="0" applyFont="1" applyFill="1" applyBorder="1" applyAlignment="1"/>
    <xf numFmtId="6" fontId="34" fillId="0" borderId="0" xfId="2" applyNumberFormat="1" applyFont="1" applyFill="1" applyBorder="1" applyAlignment="1"/>
    <xf numFmtId="0" fontId="35" fillId="0" borderId="0" xfId="0" applyFont="1">
      <alignment vertical="top"/>
    </xf>
    <xf numFmtId="0" fontId="35" fillId="0" borderId="0" xfId="0" applyFont="1" applyFill="1">
      <alignment vertical="top"/>
    </xf>
    <xf numFmtId="0" fontId="33" fillId="0" borderId="3" xfId="0" applyFont="1" applyFill="1" applyBorder="1" applyAlignment="1"/>
    <xf numFmtId="0" fontId="22" fillId="0" borderId="4" xfId="0" applyFont="1" applyFill="1" applyBorder="1" applyAlignment="1"/>
    <xf numFmtId="0" fontId="22" fillId="0" borderId="17" xfId="0" applyFont="1" applyFill="1" applyBorder="1" applyAlignment="1"/>
    <xf numFmtId="0" fontId="33" fillId="0" borderId="17" xfId="0" applyFont="1" applyFill="1" applyBorder="1" applyAlignment="1"/>
    <xf numFmtId="0" fontId="33" fillId="0" borderId="5" xfId="0" applyFont="1" applyFill="1" applyBorder="1" applyAlignment="1"/>
    <xf numFmtId="167" fontId="23" fillId="0" borderId="0" xfId="1" applyNumberFormat="1" applyFont="1" applyFill="1" applyBorder="1" applyAlignment="1"/>
    <xf numFmtId="3" fontId="23" fillId="2" borderId="0" xfId="0" applyNumberFormat="1" applyFont="1" applyFill="1" applyBorder="1" applyAlignment="1"/>
    <xf numFmtId="6" fontId="23" fillId="2" borderId="0" xfId="2" applyNumberFormat="1" applyFont="1" applyFill="1" applyBorder="1" applyAlignment="1"/>
    <xf numFmtId="0" fontId="36" fillId="0" borderId="0" xfId="0" applyFont="1" applyFill="1" applyBorder="1" applyAlignment="1"/>
    <xf numFmtId="6" fontId="33" fillId="0" borderId="0" xfId="2" applyNumberFormat="1" applyFont="1" applyFill="1" applyBorder="1" applyAlignment="1"/>
    <xf numFmtId="1" fontId="23" fillId="0" borderId="0" xfId="1" applyNumberFormat="1" applyFont="1" applyFill="1" applyBorder="1" applyAlignment="1">
      <alignment horizontal="center"/>
    </xf>
    <xf numFmtId="164" fontId="23" fillId="0" borderId="0" xfId="0" applyNumberFormat="1" applyFont="1" applyFill="1" applyBorder="1" applyAlignment="1"/>
    <xf numFmtId="0" fontId="31" fillId="0" borderId="0" xfId="0" applyFont="1" applyFill="1" applyBorder="1" applyAlignment="1"/>
    <xf numFmtId="0" fontId="23" fillId="0" borderId="30" xfId="0" applyFont="1" applyFill="1" applyBorder="1" applyAlignment="1"/>
    <xf numFmtId="0" fontId="31" fillId="0" borderId="0" xfId="0" applyFont="1" applyFill="1" applyBorder="1" applyAlignment="1">
      <alignment horizontal="center" vertical="top"/>
    </xf>
    <xf numFmtId="0" fontId="31" fillId="0" borderId="0" xfId="0" applyFont="1" applyFill="1" applyBorder="1" applyAlignment="1">
      <alignment horizontal="center"/>
    </xf>
    <xf numFmtId="49" fontId="6" fillId="0" borderId="0" xfId="0" applyNumberFormat="1" applyFont="1" applyFill="1" applyBorder="1" applyAlignment="1">
      <alignment horizontal="center"/>
    </xf>
    <xf numFmtId="167" fontId="23" fillId="5" borderId="0" xfId="1" applyNumberFormat="1" applyFont="1" applyFill="1" applyBorder="1" applyAlignment="1"/>
    <xf numFmtId="167" fontId="23" fillId="5" borderId="17" xfId="1" applyNumberFormat="1" applyFont="1" applyFill="1" applyBorder="1" applyAlignment="1"/>
    <xf numFmtId="3" fontId="37" fillId="0" borderId="0" xfId="0" applyNumberFormat="1" applyFont="1" applyFill="1" applyBorder="1" applyAlignment="1"/>
    <xf numFmtId="41" fontId="23" fillId="0" borderId="0" xfId="0" applyNumberFormat="1" applyFont="1" applyFill="1" applyBorder="1" applyAlignment="1"/>
    <xf numFmtId="0" fontId="38" fillId="0" borderId="8" xfId="0" applyNumberFormat="1" applyFont="1" applyFill="1" applyBorder="1">
      <alignment vertical="top"/>
    </xf>
    <xf numFmtId="0" fontId="38" fillId="0" borderId="7" xfId="0" applyNumberFormat="1" applyFont="1" applyFill="1" applyBorder="1">
      <alignment vertical="top"/>
    </xf>
    <xf numFmtId="0" fontId="38" fillId="0" borderId="7" xfId="0" quotePrefix="1" applyNumberFormat="1" applyFont="1" applyFill="1" applyBorder="1" applyAlignment="1">
      <alignment horizontal="center"/>
    </xf>
    <xf numFmtId="0" fontId="38" fillId="0" borderId="7" xfId="0" applyNumberFormat="1" applyFont="1" applyFill="1" applyBorder="1" applyAlignment="1">
      <alignment horizontal="center"/>
    </xf>
    <xf numFmtId="0" fontId="38" fillId="0" borderId="6" xfId="0" quotePrefix="1" applyNumberFormat="1" applyFont="1" applyFill="1" applyBorder="1" applyAlignment="1">
      <alignment horizontal="center"/>
    </xf>
    <xf numFmtId="0" fontId="38" fillId="0" borderId="6" xfId="0" applyNumberFormat="1" applyFont="1" applyFill="1" applyBorder="1" applyAlignment="1">
      <alignment horizontal="center"/>
    </xf>
    <xf numFmtId="3" fontId="38" fillId="0" borderId="7" xfId="0" applyNumberFormat="1" applyFont="1" applyFill="1" applyBorder="1" applyAlignment="1">
      <alignment horizontal="center"/>
    </xf>
    <xf numFmtId="3" fontId="38" fillId="0" borderId="6" xfId="0" applyNumberFormat="1" applyFont="1" applyFill="1" applyBorder="1" applyAlignment="1">
      <alignment horizontal="center" wrapText="1"/>
    </xf>
    <xf numFmtId="0" fontId="3" fillId="0" borderId="0" xfId="0" applyFont="1" applyFill="1" applyBorder="1" applyAlignment="1"/>
    <xf numFmtId="0" fontId="3" fillId="0" borderId="0" xfId="0" applyFont="1" applyFill="1" applyBorder="1" applyAlignment="1">
      <alignment horizontal="right"/>
    </xf>
    <xf numFmtId="0" fontId="39" fillId="0" borderId="0" xfId="0" applyNumberFormat="1" applyFont="1" applyFill="1" applyBorder="1">
      <alignment vertical="top"/>
    </xf>
    <xf numFmtId="0" fontId="39" fillId="0" borderId="0" xfId="0" applyNumberFormat="1" applyFont="1" applyFill="1" applyBorder="1" applyAlignment="1">
      <alignment horizontal="center"/>
    </xf>
    <xf numFmtId="0" fontId="3" fillId="0" borderId="0" xfId="0" applyNumberFormat="1" applyFont="1" applyFill="1" applyBorder="1" applyAlignment="1" applyProtection="1">
      <alignment horizontal="center"/>
      <protection locked="0"/>
    </xf>
    <xf numFmtId="0" fontId="23" fillId="0" borderId="0" xfId="0" applyNumberFormat="1" applyFont="1" applyFill="1" applyBorder="1" applyAlignment="1" applyProtection="1">
      <alignment horizontal="center"/>
      <protection locked="0"/>
    </xf>
    <xf numFmtId="0" fontId="37" fillId="0" borderId="0" xfId="0" applyNumberFormat="1" applyFont="1" applyFill="1" applyBorder="1" applyAlignment="1" applyProtection="1">
      <alignment horizontal="center"/>
      <protection locked="0"/>
    </xf>
    <xf numFmtId="3" fontId="3" fillId="0" borderId="0" xfId="0" applyNumberFormat="1" applyFont="1" applyFill="1" applyBorder="1" applyAlignment="1">
      <alignment horizontal="center"/>
    </xf>
    <xf numFmtId="173" fontId="23" fillId="0" borderId="0" xfId="0" applyNumberFormat="1" applyFont="1" applyFill="1" applyBorder="1" applyAlignment="1"/>
    <xf numFmtId="49" fontId="3" fillId="0" borderId="0" xfId="0" applyNumberFormat="1" applyFont="1" applyFill="1" applyBorder="1" applyAlignment="1">
      <alignment horizontal="center"/>
    </xf>
    <xf numFmtId="0" fontId="23" fillId="0" borderId="0" xfId="0" applyNumberFormat="1" applyFont="1" applyFill="1" applyBorder="1" applyAlignment="1">
      <alignment horizontal="fill"/>
    </xf>
    <xf numFmtId="0" fontId="30" fillId="0" borderId="0" xfId="0" applyFont="1" applyFill="1" applyBorder="1" applyAlignment="1"/>
    <xf numFmtId="164" fontId="3" fillId="0" borderId="0" xfId="0" applyNumberFormat="1" applyFont="1" applyFill="1" applyBorder="1" applyAlignment="1"/>
    <xf numFmtId="0" fontId="3" fillId="0" borderId="0" xfId="0" quotePrefix="1" applyNumberFormat="1" applyFont="1" applyFill="1" applyBorder="1" applyAlignment="1" applyProtection="1">
      <alignment horizontal="center"/>
      <protection locked="0"/>
    </xf>
    <xf numFmtId="174" fontId="23" fillId="0" borderId="0" xfId="0" quotePrefix="1" applyNumberFormat="1" applyFont="1" applyFill="1" applyBorder="1" applyAlignment="1">
      <alignment horizontal="center"/>
    </xf>
    <xf numFmtId="0" fontId="23" fillId="0" borderId="8" xfId="0" applyFont="1" applyFill="1" applyBorder="1" applyAlignment="1">
      <alignment horizontal="center" wrapText="1"/>
    </xf>
    <xf numFmtId="0" fontId="23" fillId="0" borderId="7" xfId="0" applyFont="1" applyFill="1" applyBorder="1" applyAlignment="1"/>
    <xf numFmtId="0" fontId="23" fillId="0" borderId="7" xfId="0" applyFont="1" applyFill="1" applyBorder="1" applyAlignment="1">
      <alignment horizontal="center" wrapText="1"/>
    </xf>
    <xf numFmtId="0" fontId="23" fillId="0" borderId="7" xfId="0" applyNumberFormat="1" applyFont="1" applyFill="1" applyBorder="1" applyAlignment="1">
      <alignment horizontal="center" wrapText="1"/>
    </xf>
    <xf numFmtId="0" fontId="23" fillId="0" borderId="24" xfId="0" applyFont="1" applyFill="1" applyBorder="1" applyAlignment="1">
      <alignment horizontal="center" wrapText="1"/>
    </xf>
    <xf numFmtId="0" fontId="23" fillId="0" borderId="6" xfId="0" applyFont="1" applyFill="1" applyBorder="1" applyAlignment="1">
      <alignment horizontal="center" wrapText="1"/>
    </xf>
    <xf numFmtId="3" fontId="23" fillId="0" borderId="7" xfId="0" applyNumberFormat="1" applyFont="1" applyFill="1" applyBorder="1" applyAlignment="1">
      <alignment horizontal="center" wrapText="1"/>
    </xf>
    <xf numFmtId="3" fontId="38" fillId="0" borderId="0" xfId="0" applyNumberFormat="1" applyFont="1" applyFill="1" applyBorder="1" applyAlignment="1"/>
    <xf numFmtId="0" fontId="38" fillId="0" borderId="0" xfId="0" applyNumberFormat="1" applyFont="1" applyFill="1" applyBorder="1">
      <alignment vertical="top"/>
    </xf>
    <xf numFmtId="0" fontId="38" fillId="0" borderId="0" xfId="0" applyNumberFormat="1" applyFont="1" applyFill="1" applyBorder="1" applyAlignment="1"/>
    <xf numFmtId="0" fontId="38" fillId="0" borderId="0" xfId="0" applyFont="1" applyFill="1" applyBorder="1" applyAlignment="1"/>
    <xf numFmtId="0" fontId="3" fillId="0" borderId="16" xfId="0" applyFont="1" applyFill="1" applyBorder="1" applyAlignment="1"/>
    <xf numFmtId="0" fontId="3" fillId="0" borderId="0" xfId="0" applyNumberFormat="1" applyFont="1" applyFill="1" applyBorder="1" applyAlignment="1">
      <alignment horizontal="center"/>
    </xf>
    <xf numFmtId="0" fontId="3" fillId="0" borderId="3" xfId="0" applyFont="1" applyFill="1" applyBorder="1" applyAlignment="1"/>
    <xf numFmtId="0" fontId="36" fillId="0" borderId="0" xfId="0" applyNumberFormat="1" applyFont="1" applyFill="1" applyBorder="1" applyAlignment="1">
      <alignment horizontal="center"/>
    </xf>
    <xf numFmtId="0" fontId="36" fillId="0" borderId="3" xfId="0" applyFont="1" applyFill="1" applyBorder="1" applyAlignment="1"/>
    <xf numFmtId="0" fontId="3" fillId="0" borderId="4" xfId="0" applyFont="1" applyFill="1" applyBorder="1" applyAlignment="1"/>
    <xf numFmtId="0" fontId="3" fillId="0" borderId="17" xfId="0" applyFont="1" applyFill="1" applyBorder="1" applyAlignment="1"/>
    <xf numFmtId="0" fontId="36" fillId="0" borderId="17" xfId="0" applyFont="1" applyFill="1" applyBorder="1" applyAlignment="1"/>
    <xf numFmtId="0" fontId="36" fillId="0" borderId="5" xfId="0" applyFont="1" applyFill="1" applyBorder="1" applyAlignment="1"/>
    <xf numFmtId="0" fontId="38" fillId="0" borderId="0" xfId="0" applyFont="1" applyFill="1" applyBorder="1" applyAlignment="1">
      <alignment horizontal="center" vertical="top"/>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top" indent="1"/>
    </xf>
    <xf numFmtId="0" fontId="38" fillId="0" borderId="0" xfId="0" applyFont="1" applyFill="1" applyBorder="1" applyAlignment="1">
      <alignment horizontal="center"/>
    </xf>
    <xf numFmtId="0" fontId="36" fillId="0" borderId="0" xfId="0" applyFont="1" applyFill="1" applyBorder="1" applyAlignment="1">
      <alignment horizontal="center"/>
    </xf>
    <xf numFmtId="49" fontId="23" fillId="0" borderId="0" xfId="0" applyNumberFormat="1" applyFont="1" applyFill="1" applyBorder="1" applyAlignment="1">
      <alignment horizontal="left"/>
    </xf>
    <xf numFmtId="0" fontId="23" fillId="0" borderId="0" xfId="0" applyNumberFormat="1" applyFont="1" applyFill="1" applyBorder="1" applyAlignment="1">
      <alignment horizontal="right"/>
    </xf>
    <xf numFmtId="165" fontId="23" fillId="0" borderId="0" xfId="2" applyNumberFormat="1" applyFont="1" applyFill="1" applyBorder="1" applyAlignment="1">
      <alignment vertical="top"/>
    </xf>
    <xf numFmtId="0" fontId="3" fillId="0" borderId="0" xfId="0" applyFont="1">
      <alignment vertical="top"/>
    </xf>
    <xf numFmtId="0" fontId="3" fillId="0" borderId="16" xfId="0" applyFont="1" applyBorder="1">
      <alignment vertical="top"/>
    </xf>
    <xf numFmtId="0" fontId="3" fillId="0" borderId="0" xfId="0" applyFont="1" applyBorder="1">
      <alignment vertical="top"/>
    </xf>
    <xf numFmtId="0" fontId="3" fillId="0" borderId="22" xfId="0" applyFont="1" applyBorder="1">
      <alignment vertical="top"/>
    </xf>
    <xf numFmtId="0" fontId="3" fillId="0" borderId="0" xfId="0" applyFont="1" applyFill="1" applyBorder="1" applyAlignment="1">
      <alignment horizontal="center"/>
    </xf>
    <xf numFmtId="0" fontId="3" fillId="0" borderId="4" xfId="0" applyFont="1" applyBorder="1">
      <alignment vertical="top"/>
    </xf>
    <xf numFmtId="0" fontId="3" fillId="0" borderId="17" xfId="0" applyFont="1" applyBorder="1">
      <alignment vertical="top"/>
    </xf>
    <xf numFmtId="0" fontId="3" fillId="0" borderId="17" xfId="0" applyFont="1" applyFill="1" applyBorder="1" applyAlignment="1">
      <alignment horizontal="center"/>
    </xf>
    <xf numFmtId="0" fontId="3" fillId="0" borderId="27" xfId="0" applyFont="1" applyFill="1" applyBorder="1" applyAlignment="1">
      <alignment horizontal="center"/>
    </xf>
    <xf numFmtId="0" fontId="40" fillId="0" borderId="0" xfId="0" quotePrefix="1" applyFont="1" applyAlignment="1">
      <alignment horizontal="center"/>
    </xf>
    <xf numFmtId="0" fontId="42" fillId="0" borderId="0" xfId="0" applyFont="1">
      <alignment vertical="top"/>
    </xf>
    <xf numFmtId="0" fontId="43" fillId="0" borderId="0" xfId="0" applyFont="1">
      <alignment vertical="top"/>
    </xf>
    <xf numFmtId="0" fontId="43" fillId="0" borderId="0" xfId="0" applyFont="1" applyAlignment="1">
      <alignment horizontal="right"/>
    </xf>
    <xf numFmtId="0" fontId="43" fillId="5" borderId="0" xfId="0" applyFont="1" applyFill="1">
      <alignment vertical="top"/>
    </xf>
    <xf numFmtId="0" fontId="43" fillId="0" borderId="0" xfId="0" applyFont="1" applyAlignment="1">
      <alignment horizontal="center"/>
    </xf>
    <xf numFmtId="0" fontId="43" fillId="0" borderId="2" xfId="0" applyFont="1" applyBorder="1">
      <alignment vertical="top"/>
    </xf>
    <xf numFmtId="0" fontId="43" fillId="0" borderId="23" xfId="0" applyFont="1" applyBorder="1">
      <alignment vertical="top"/>
    </xf>
    <xf numFmtId="0" fontId="43" fillId="0" borderId="23" xfId="0" applyFont="1" applyBorder="1" applyAlignment="1">
      <alignment horizontal="center"/>
    </xf>
    <xf numFmtId="0" fontId="43" fillId="0" borderId="26" xfId="0" applyFont="1" applyBorder="1">
      <alignment vertical="top"/>
    </xf>
    <xf numFmtId="0" fontId="43" fillId="0" borderId="16" xfId="0" applyFont="1" applyBorder="1">
      <alignment vertical="top"/>
    </xf>
    <xf numFmtId="0" fontId="43" fillId="0" borderId="0" xfId="0" applyFont="1" applyBorder="1">
      <alignment vertical="top"/>
    </xf>
    <xf numFmtId="0" fontId="43" fillId="0" borderId="0" xfId="0" applyFont="1" applyBorder="1" applyAlignment="1">
      <alignment horizontal="center"/>
    </xf>
    <xf numFmtId="0" fontId="43" fillId="0" borderId="22" xfId="0" applyFont="1" applyBorder="1">
      <alignment vertical="top"/>
    </xf>
    <xf numFmtId="0" fontId="43" fillId="0" borderId="22" xfId="0" applyFont="1" applyBorder="1" applyAlignment="1">
      <alignment horizontal="center"/>
    </xf>
    <xf numFmtId="0" fontId="43" fillId="0" borderId="16" xfId="0" applyFont="1" applyBorder="1" applyAlignment="1">
      <alignment horizontal="center"/>
    </xf>
    <xf numFmtId="0" fontId="43" fillId="0" borderId="4" xfId="0" applyFont="1" applyBorder="1" applyAlignment="1">
      <alignment horizontal="center"/>
    </xf>
    <xf numFmtId="0" fontId="43" fillId="0" borderId="17" xfId="0" applyFont="1" applyBorder="1" applyAlignment="1">
      <alignment horizontal="center"/>
    </xf>
    <xf numFmtId="0" fontId="43" fillId="0" borderId="27" xfId="0" applyFont="1" applyBorder="1" applyAlignment="1">
      <alignment horizontal="center"/>
    </xf>
    <xf numFmtId="0" fontId="43" fillId="0" borderId="17" xfId="0" applyFont="1" applyBorder="1">
      <alignment vertical="top"/>
    </xf>
    <xf numFmtId="0" fontId="43" fillId="0" borderId="16" xfId="0" applyFont="1" applyBorder="1" applyAlignment="1">
      <alignment horizontal="center" vertical="center"/>
    </xf>
    <xf numFmtId="167" fontId="38" fillId="0" borderId="0" xfId="1" applyNumberFormat="1" applyFont="1" applyBorder="1"/>
    <xf numFmtId="167" fontId="43" fillId="0" borderId="0" xfId="0" applyNumberFormat="1" applyFont="1" applyBorder="1">
      <alignment vertical="top"/>
    </xf>
    <xf numFmtId="10" fontId="38" fillId="0" borderId="0" xfId="7" applyNumberFormat="1" applyFont="1" applyBorder="1"/>
    <xf numFmtId="167" fontId="43" fillId="0" borderId="22" xfId="0" applyNumberFormat="1" applyFont="1" applyBorder="1">
      <alignment vertical="top"/>
    </xf>
    <xf numFmtId="0" fontId="43" fillId="0" borderId="27" xfId="0" applyFont="1" applyBorder="1">
      <alignment vertical="top"/>
    </xf>
    <xf numFmtId="165" fontId="38" fillId="0" borderId="0" xfId="2" applyNumberFormat="1" applyFont="1"/>
    <xf numFmtId="0" fontId="43" fillId="0" borderId="16" xfId="0" applyFont="1" applyFill="1" applyBorder="1" applyAlignment="1">
      <alignment horizontal="center"/>
    </xf>
    <xf numFmtId="0" fontId="43" fillId="0" borderId="0" xfId="0" applyFont="1" applyFill="1" applyBorder="1">
      <alignment vertical="top"/>
    </xf>
    <xf numFmtId="167" fontId="38" fillId="0" borderId="0" xfId="1" applyNumberFormat="1" applyFont="1" applyFill="1" applyBorder="1"/>
    <xf numFmtId="167" fontId="41" fillId="0" borderId="0" xfId="1" applyNumberFormat="1" applyFont="1" applyFill="1" applyBorder="1"/>
    <xf numFmtId="167" fontId="43" fillId="0" borderId="0" xfId="0" applyNumberFormat="1" applyFont="1" applyFill="1" applyBorder="1">
      <alignment vertical="top"/>
    </xf>
    <xf numFmtId="10" fontId="38" fillId="0" borderId="0" xfId="7" applyNumberFormat="1" applyFont="1" applyFill="1" applyBorder="1"/>
    <xf numFmtId="167" fontId="43" fillId="0" borderId="22" xfId="0" applyNumberFormat="1" applyFont="1" applyFill="1" applyBorder="1">
      <alignment vertical="top"/>
    </xf>
    <xf numFmtId="0" fontId="43" fillId="0" borderId="22" xfId="0" applyFont="1" applyFill="1" applyBorder="1">
      <alignment vertical="top"/>
    </xf>
    <xf numFmtId="165" fontId="38" fillId="5" borderId="0" xfId="2" applyNumberFormat="1" applyFont="1" applyFill="1" applyBorder="1"/>
    <xf numFmtId="167" fontId="38" fillId="5" borderId="0" xfId="1" applyNumberFormat="1" applyFont="1" applyFill="1" applyBorder="1"/>
    <xf numFmtId="0" fontId="43" fillId="0" borderId="0" xfId="0" applyFont="1" applyFill="1">
      <alignment vertical="top"/>
    </xf>
    <xf numFmtId="0" fontId="43" fillId="0" borderId="16" xfId="0" applyFont="1" applyFill="1" applyBorder="1" applyAlignment="1"/>
    <xf numFmtId="0" fontId="43" fillId="0" borderId="0" xfId="0" applyFont="1" applyFill="1" applyBorder="1" applyAlignment="1"/>
    <xf numFmtId="0" fontId="43" fillId="0" borderId="0" xfId="0" quotePrefix="1" applyFont="1" applyFill="1" applyBorder="1" applyAlignment="1"/>
    <xf numFmtId="165" fontId="35" fillId="5" borderId="0" xfId="2" applyNumberFormat="1" applyFont="1" applyFill="1" applyBorder="1" applyAlignment="1"/>
    <xf numFmtId="10" fontId="35" fillId="0" borderId="0" xfId="7" applyNumberFormat="1" applyFont="1" applyFill="1" applyBorder="1" applyAlignment="1"/>
    <xf numFmtId="164" fontId="43" fillId="0" borderId="3" xfId="0" applyNumberFormat="1" applyFont="1" applyFill="1" applyBorder="1" applyAlignment="1"/>
    <xf numFmtId="0" fontId="35" fillId="0" borderId="0" xfId="0" applyFont="1" applyFill="1" applyBorder="1" applyAlignment="1"/>
    <xf numFmtId="6" fontId="45" fillId="0" borderId="0" xfId="2" applyNumberFormat="1" applyFont="1" applyFill="1" applyBorder="1" applyAlignment="1"/>
    <xf numFmtId="0" fontId="35" fillId="0" borderId="0" xfId="0" applyNumberFormat="1" applyFont="1" applyFill="1" applyBorder="1" applyAlignment="1"/>
    <xf numFmtId="0" fontId="35" fillId="0" borderId="0" xfId="0" applyNumberFormat="1" applyFont="1" applyFill="1" applyBorder="1">
      <alignment vertical="top"/>
    </xf>
    <xf numFmtId="0" fontId="35" fillId="0" borderId="16" xfId="0" applyNumberFormat="1" applyFont="1" applyFill="1" applyBorder="1">
      <alignment vertical="top"/>
    </xf>
    <xf numFmtId="0" fontId="35" fillId="0" borderId="3" xfId="0" applyNumberFormat="1" applyFont="1" applyFill="1" applyBorder="1">
      <alignment vertical="top"/>
    </xf>
    <xf numFmtId="3" fontId="35" fillId="0" borderId="0" xfId="0" applyNumberFormat="1" applyFont="1" applyFill="1" applyBorder="1" applyAlignment="1"/>
    <xf numFmtId="3" fontId="35" fillId="0" borderId="3" xfId="0" applyNumberFormat="1" applyFont="1" applyFill="1" applyBorder="1" applyAlignment="1"/>
    <xf numFmtId="166" fontId="35" fillId="0" borderId="0" xfId="3" applyFont="1" applyFill="1" applyBorder="1" applyAlignment="1"/>
    <xf numFmtId="0" fontId="43" fillId="0" borderId="0" xfId="0" applyNumberFormat="1" applyFont="1" applyFill="1" applyBorder="1" applyAlignment="1">
      <alignment horizontal="center"/>
    </xf>
    <xf numFmtId="165" fontId="35" fillId="0" borderId="0" xfId="2" applyNumberFormat="1" applyFont="1" applyFill="1" applyBorder="1" applyAlignment="1"/>
    <xf numFmtId="164" fontId="43" fillId="0" borderId="0" xfId="0" applyNumberFormat="1" applyFont="1" applyFill="1" applyBorder="1" applyAlignment="1"/>
    <xf numFmtId="165" fontId="35" fillId="0" borderId="3" xfId="2" applyNumberFormat="1" applyFont="1" applyFill="1" applyBorder="1" applyAlignment="1"/>
    <xf numFmtId="165" fontId="35" fillId="0" borderId="0" xfId="2" applyNumberFormat="1" applyFont="1" applyFill="1" applyBorder="1" applyAlignment="1">
      <alignment vertical="top"/>
    </xf>
    <xf numFmtId="167" fontId="6" fillId="3" borderId="0" xfId="0" applyNumberFormat="1" applyFont="1" applyFill="1" applyAlignment="1"/>
    <xf numFmtId="0" fontId="47" fillId="0" borderId="0" xfId="8" applyFont="1">
      <alignment vertical="top"/>
    </xf>
    <xf numFmtId="0" fontId="48" fillId="0" borderId="0" xfId="0" applyFont="1">
      <alignment vertical="top"/>
    </xf>
    <xf numFmtId="0" fontId="49" fillId="0" borderId="0" xfId="8" applyFont="1">
      <alignment vertical="top"/>
    </xf>
    <xf numFmtId="0" fontId="49" fillId="0" borderId="0" xfId="5" applyFont="1" applyFill="1" applyBorder="1" applyAlignment="1">
      <alignment vertical="top"/>
    </xf>
    <xf numFmtId="0" fontId="36" fillId="5" borderId="17" xfId="0" quotePrefix="1" applyFont="1" applyFill="1" applyBorder="1" applyAlignment="1">
      <alignment horizontal="center"/>
    </xf>
    <xf numFmtId="0" fontId="36" fillId="0" borderId="0" xfId="8" applyFont="1">
      <alignment vertical="top"/>
    </xf>
    <xf numFmtId="49" fontId="36" fillId="0" borderId="17" xfId="0" applyNumberFormat="1" applyFont="1" applyFill="1" applyBorder="1" applyAlignment="1">
      <alignment horizontal="center"/>
    </xf>
    <xf numFmtId="0" fontId="36" fillId="0" borderId="0" xfId="8" applyFont="1" applyFill="1">
      <alignment vertical="top"/>
    </xf>
    <xf numFmtId="0" fontId="3" fillId="0" borderId="0" xfId="0" applyFont="1" applyFill="1">
      <alignment vertical="top"/>
    </xf>
    <xf numFmtId="0" fontId="36" fillId="0" borderId="0" xfId="0" applyFont="1">
      <alignment vertical="top"/>
    </xf>
    <xf numFmtId="0" fontId="46" fillId="0" borderId="0" xfId="8">
      <alignment vertical="top"/>
    </xf>
    <xf numFmtId="0" fontId="50" fillId="7" borderId="0" xfId="9" applyFont="1" applyFill="1" applyAlignment="1"/>
    <xf numFmtId="164" fontId="51" fillId="7" borderId="0" xfId="10" quotePrefix="1" applyNumberFormat="1" applyFont="1" applyFill="1" applyAlignment="1">
      <alignment horizontal="center" wrapText="1"/>
    </xf>
    <xf numFmtId="164" fontId="33" fillId="0" borderId="0" xfId="10" applyNumberFormat="1" applyFont="1" applyFill="1" applyAlignment="1">
      <alignment horizontal="center" wrapText="1"/>
    </xf>
    <xf numFmtId="164" fontId="51" fillId="7" borderId="0" xfId="10" applyNumberFormat="1" applyFont="1" applyFill="1" applyAlignment="1">
      <alignment horizontal="center" wrapText="1"/>
    </xf>
    <xf numFmtId="0" fontId="49" fillId="4" borderId="1" xfId="8" applyFont="1" applyFill="1" applyBorder="1">
      <alignment vertical="top"/>
    </xf>
    <xf numFmtId="0" fontId="36" fillId="0" borderId="1" xfId="9" quotePrefix="1" applyFont="1" applyFill="1" applyBorder="1" applyAlignment="1">
      <alignment horizontal="left"/>
    </xf>
    <xf numFmtId="164" fontId="36" fillId="8" borderId="1" xfId="2" applyNumberFormat="1" applyFont="1" applyFill="1" applyBorder="1" applyAlignment="1">
      <alignment horizontal="right" vertical="top"/>
    </xf>
    <xf numFmtId="164" fontId="36" fillId="0" borderId="1" xfId="2" applyNumberFormat="1" applyFont="1" applyBorder="1" applyAlignment="1">
      <alignment horizontal="right" vertical="top"/>
    </xf>
    <xf numFmtId="0" fontId="49" fillId="4" borderId="3" xfId="8" applyFont="1" applyFill="1" applyBorder="1">
      <alignment vertical="top"/>
    </xf>
    <xf numFmtId="0" fontId="36" fillId="0" borderId="3" xfId="9" quotePrefix="1" applyFont="1" applyFill="1" applyBorder="1" applyAlignment="1">
      <alignment horizontal="left"/>
    </xf>
    <xf numFmtId="164" fontId="36" fillId="8" borderId="3" xfId="8" applyNumberFormat="1" applyFont="1" applyFill="1" applyBorder="1" applyAlignment="1">
      <alignment horizontal="right" vertical="top"/>
    </xf>
    <xf numFmtId="164" fontId="36" fillId="0" borderId="3" xfId="8" applyNumberFormat="1" applyFont="1" applyBorder="1" applyAlignment="1">
      <alignment horizontal="right" vertical="top"/>
    </xf>
    <xf numFmtId="0" fontId="36" fillId="0" borderId="3" xfId="9" applyFont="1" applyFill="1" applyBorder="1"/>
    <xf numFmtId="0" fontId="49" fillId="4" borderId="5" xfId="8" applyFont="1" applyFill="1" applyBorder="1">
      <alignment vertical="top"/>
    </xf>
    <xf numFmtId="0" fontId="36" fillId="0" borderId="5" xfId="9" applyFont="1" applyFill="1" applyBorder="1"/>
    <xf numFmtId="0" fontId="49" fillId="4" borderId="0" xfId="8" applyFont="1" applyFill="1">
      <alignment vertical="top"/>
    </xf>
    <xf numFmtId="0" fontId="49" fillId="0" borderId="0" xfId="9" applyFont="1" applyAlignment="1">
      <alignment horizontal="right"/>
    </xf>
    <xf numFmtId="164" fontId="36" fillId="8" borderId="6" xfId="8" applyNumberFormat="1" applyFont="1" applyFill="1" applyBorder="1" applyAlignment="1">
      <alignment horizontal="right" vertical="top"/>
    </xf>
    <xf numFmtId="164" fontId="36" fillId="0" borderId="6" xfId="8" applyNumberFormat="1" applyFont="1" applyBorder="1" applyAlignment="1">
      <alignment horizontal="right" vertical="top"/>
    </xf>
    <xf numFmtId="164" fontId="36" fillId="0" borderId="0" xfId="8" applyNumberFormat="1" applyFont="1" applyFill="1" applyBorder="1" applyAlignment="1">
      <alignment horizontal="right" vertical="top"/>
    </xf>
    <xf numFmtId="0" fontId="36" fillId="0" borderId="3" xfId="9" applyFont="1" applyBorder="1"/>
    <xf numFmtId="0" fontId="49" fillId="0" borderId="0" xfId="8" applyFont="1" applyFill="1">
      <alignment vertical="top"/>
    </xf>
    <xf numFmtId="0" fontId="49" fillId="0" borderId="0" xfId="9" applyFont="1" applyFill="1" applyAlignment="1">
      <alignment horizontal="right"/>
    </xf>
    <xf numFmtId="0" fontId="36" fillId="4" borderId="0" xfId="9" applyFont="1" applyFill="1" applyAlignment="1">
      <alignment horizontal="right"/>
    </xf>
    <xf numFmtId="164" fontId="36" fillId="4" borderId="0" xfId="9" applyNumberFormat="1" applyFont="1" applyFill="1" applyBorder="1" applyAlignment="1">
      <alignment horizontal="right"/>
    </xf>
    <xf numFmtId="0" fontId="36" fillId="4" borderId="0" xfId="9" applyFont="1" applyFill="1"/>
    <xf numFmtId="164" fontId="36" fillId="4" borderId="0" xfId="9" applyNumberFormat="1" applyFont="1" applyFill="1" applyAlignment="1">
      <alignment horizontal="right"/>
    </xf>
    <xf numFmtId="0" fontId="36" fillId="0" borderId="1" xfId="9" quotePrefix="1" applyFont="1" applyBorder="1" applyAlignment="1">
      <alignment horizontal="left"/>
    </xf>
    <xf numFmtId="0" fontId="36" fillId="0" borderId="3" xfId="9" quotePrefix="1" applyFont="1" applyBorder="1" applyAlignment="1">
      <alignment horizontal="left"/>
    </xf>
    <xf numFmtId="0" fontId="36" fillId="0" borderId="5" xfId="9" applyFont="1" applyBorder="1"/>
    <xf numFmtId="164" fontId="36" fillId="4" borderId="0" xfId="8" applyNumberFormat="1" applyFont="1" applyFill="1" applyBorder="1" applyAlignment="1">
      <alignment horizontal="right" vertical="top"/>
    </xf>
    <xf numFmtId="0" fontId="3" fillId="4" borderId="0" xfId="0" applyFont="1" applyFill="1">
      <alignment vertical="top"/>
    </xf>
    <xf numFmtId="0" fontId="49" fillId="0" borderId="1" xfId="0" applyFont="1" applyBorder="1">
      <alignment vertical="top"/>
    </xf>
    <xf numFmtId="0" fontId="36" fillId="0" borderId="1" xfId="8" applyFont="1" applyBorder="1">
      <alignment vertical="top"/>
    </xf>
    <xf numFmtId="164" fontId="36" fillId="8" borderId="1" xfId="8" applyNumberFormat="1" applyFont="1" applyFill="1" applyBorder="1" applyAlignment="1">
      <alignment horizontal="right" vertical="top"/>
    </xf>
    <xf numFmtId="0" fontId="36" fillId="0" borderId="5" xfId="8" applyFont="1" applyBorder="1">
      <alignment vertical="top"/>
    </xf>
    <xf numFmtId="0" fontId="33" fillId="0" borderId="0" xfId="0" applyFont="1">
      <alignment vertical="top"/>
    </xf>
    <xf numFmtId="0" fontId="49" fillId="0" borderId="17" xfId="5" applyFont="1" applyFill="1" applyBorder="1" applyAlignment="1">
      <alignment vertical="top"/>
    </xf>
    <xf numFmtId="0" fontId="32" fillId="4" borderId="0" xfId="0" applyFont="1" applyFill="1" applyBorder="1">
      <alignment vertical="top"/>
    </xf>
    <xf numFmtId="164" fontId="51" fillId="4" borderId="0" xfId="10" applyNumberFormat="1" applyFont="1" applyFill="1" applyBorder="1" applyAlignment="1">
      <alignment horizontal="center" wrapText="1"/>
    </xf>
    <xf numFmtId="164" fontId="52" fillId="7" borderId="0" xfId="10" applyNumberFormat="1" applyFont="1" applyFill="1" applyAlignment="1">
      <alignment horizontal="center" wrapText="1"/>
    </xf>
    <xf numFmtId="166" fontId="53" fillId="4" borderId="0" xfId="2" applyNumberFormat="1" applyFont="1" applyFill="1" applyBorder="1" applyAlignment="1">
      <alignment horizontal="right" vertical="top"/>
    </xf>
    <xf numFmtId="166" fontId="54" fillId="0" borderId="23" xfId="2" applyNumberFormat="1" applyFont="1" applyBorder="1" applyAlignment="1">
      <alignment horizontal="right" vertical="top"/>
    </xf>
    <xf numFmtId="166" fontId="54" fillId="8" borderId="2" xfId="2" applyNumberFormat="1" applyFont="1" applyFill="1" applyBorder="1" applyAlignment="1">
      <alignment horizontal="right" vertical="top"/>
    </xf>
    <xf numFmtId="164" fontId="36" fillId="8" borderId="3" xfId="2" applyNumberFormat="1" applyFont="1" applyFill="1" applyBorder="1" applyAlignment="1">
      <alignment horizontal="right" vertical="top"/>
    </xf>
    <xf numFmtId="2" fontId="53" fillId="4" borderId="0" xfId="8" applyNumberFormat="1" applyFont="1" applyFill="1" applyBorder="1" applyAlignment="1">
      <alignment horizontal="right" vertical="top"/>
    </xf>
    <xf numFmtId="2" fontId="54" fillId="0" borderId="0" xfId="8" applyNumberFormat="1" applyFont="1" applyBorder="1" applyAlignment="1">
      <alignment horizontal="right" vertical="top"/>
    </xf>
    <xf numFmtId="2" fontId="54" fillId="8" borderId="16" xfId="8" applyNumberFormat="1" applyFont="1" applyFill="1" applyBorder="1" applyAlignment="1">
      <alignment horizontal="right" vertical="top"/>
    </xf>
    <xf numFmtId="164" fontId="36" fillId="8" borderId="5" xfId="2" applyNumberFormat="1" applyFont="1" applyFill="1" applyBorder="1" applyAlignment="1">
      <alignment horizontal="right" vertical="top"/>
    </xf>
    <xf numFmtId="166" fontId="53" fillId="4" borderId="0" xfId="8" applyNumberFormat="1" applyFont="1" applyFill="1" applyBorder="1" applyAlignment="1">
      <alignment horizontal="right" vertical="top"/>
    </xf>
    <xf numFmtId="166" fontId="36" fillId="0" borderId="7" xfId="8" applyNumberFormat="1" applyFont="1" applyBorder="1" applyAlignment="1">
      <alignment horizontal="right" vertical="top"/>
    </xf>
    <xf numFmtId="166" fontId="36" fillId="8" borderId="8" xfId="8" applyNumberFormat="1" applyFont="1" applyFill="1" applyBorder="1" applyAlignment="1">
      <alignment horizontal="right" vertical="top"/>
    </xf>
    <xf numFmtId="0" fontId="36" fillId="0" borderId="0" xfId="8" applyFont="1" applyFill="1" applyBorder="1" applyAlignment="1">
      <alignment horizontal="right" vertical="top"/>
    </xf>
    <xf numFmtId="0" fontId="53" fillId="4" borderId="0" xfId="8" applyFont="1" applyFill="1" applyBorder="1" applyAlignment="1">
      <alignment horizontal="right" vertical="top"/>
    </xf>
    <xf numFmtId="0" fontId="36" fillId="0" borderId="0" xfId="8" applyFont="1" applyBorder="1" applyAlignment="1">
      <alignment horizontal="right" vertical="top"/>
    </xf>
    <xf numFmtId="0" fontId="36" fillId="8" borderId="0" xfId="8" applyFont="1" applyFill="1" applyBorder="1" applyAlignment="1">
      <alignment horizontal="right" vertical="top"/>
    </xf>
    <xf numFmtId="37" fontId="36" fillId="0" borderId="0" xfId="9" applyNumberFormat="1" applyFont="1" applyFill="1" applyBorder="1" applyAlignment="1">
      <alignment horizontal="right"/>
    </xf>
    <xf numFmtId="37" fontId="53" fillId="4" borderId="0" xfId="9" applyNumberFormat="1" applyFont="1" applyFill="1" applyBorder="1" applyAlignment="1">
      <alignment horizontal="right"/>
    </xf>
    <xf numFmtId="37" fontId="36" fillId="4" borderId="0" xfId="9" applyNumberFormat="1" applyFont="1" applyFill="1" applyBorder="1" applyAlignment="1">
      <alignment horizontal="right"/>
    </xf>
    <xf numFmtId="0" fontId="36" fillId="0" borderId="0" xfId="9" applyFont="1" applyFill="1" applyAlignment="1">
      <alignment horizontal="right"/>
    </xf>
    <xf numFmtId="0" fontId="53" fillId="4" borderId="0" xfId="9" applyFont="1" applyFill="1" applyBorder="1" applyAlignment="1">
      <alignment horizontal="right"/>
    </xf>
    <xf numFmtId="166" fontId="36" fillId="0" borderId="23" xfId="2" applyNumberFormat="1" applyFont="1" applyBorder="1" applyAlignment="1">
      <alignment horizontal="right" vertical="top"/>
    </xf>
    <xf numFmtId="166" fontId="36" fillId="8" borderId="2" xfId="2" applyNumberFormat="1" applyFont="1" applyFill="1" applyBorder="1" applyAlignment="1">
      <alignment horizontal="right" vertical="top"/>
    </xf>
    <xf numFmtId="2" fontId="36" fillId="0" borderId="0" xfId="8" applyNumberFormat="1" applyFont="1" applyBorder="1" applyAlignment="1">
      <alignment horizontal="right" vertical="top"/>
    </xf>
    <xf numFmtId="2" fontId="36" fillId="8" borderId="16" xfId="8" applyNumberFormat="1" applyFont="1" applyFill="1" applyBorder="1" applyAlignment="1">
      <alignment horizontal="right" vertical="top"/>
    </xf>
    <xf numFmtId="0" fontId="36" fillId="4" borderId="0" xfId="8" applyFont="1" applyFill="1" applyBorder="1" applyAlignment="1">
      <alignment horizontal="right" vertical="top"/>
    </xf>
    <xf numFmtId="0" fontId="3" fillId="0" borderId="0" xfId="0" applyFont="1" applyFill="1" applyAlignment="1">
      <alignment horizontal="right"/>
    </xf>
    <xf numFmtId="0" fontId="32" fillId="4" borderId="0" xfId="0" applyFont="1" applyFill="1" applyBorder="1" applyAlignment="1">
      <alignment horizontal="right"/>
    </xf>
    <xf numFmtId="0" fontId="3" fillId="4" borderId="0" xfId="0" applyFont="1" applyFill="1" applyAlignment="1">
      <alignment horizontal="right"/>
    </xf>
    <xf numFmtId="166" fontId="54" fillId="0" borderId="23" xfId="8" applyNumberFormat="1" applyFont="1" applyBorder="1" applyAlignment="1">
      <alignment horizontal="right" vertical="top"/>
    </xf>
    <xf numFmtId="166" fontId="54" fillId="8" borderId="23" xfId="8" applyNumberFormat="1" applyFont="1" applyFill="1" applyBorder="1" applyAlignment="1">
      <alignment horizontal="right" vertical="top"/>
    </xf>
    <xf numFmtId="166" fontId="54" fillId="0" borderId="26" xfId="8" applyNumberFormat="1" applyFont="1" applyBorder="1" applyAlignment="1">
      <alignment horizontal="right" vertical="top"/>
    </xf>
    <xf numFmtId="1" fontId="36" fillId="8" borderId="3" xfId="8" applyNumberFormat="1" applyFont="1" applyFill="1" applyBorder="1" applyAlignment="1">
      <alignment horizontal="right" vertical="top"/>
    </xf>
    <xf numFmtId="2" fontId="54" fillId="0" borderId="17" xfId="8" applyNumberFormat="1" applyFont="1" applyBorder="1" applyAlignment="1">
      <alignment horizontal="right" vertical="top"/>
    </xf>
    <xf numFmtId="2" fontId="54" fillId="8" borderId="17" xfId="8" applyNumberFormat="1" applyFont="1" applyFill="1" applyBorder="1" applyAlignment="1">
      <alignment horizontal="right" vertical="top"/>
    </xf>
    <xf numFmtId="2" fontId="54" fillId="0" borderId="22" xfId="8" applyNumberFormat="1" applyFont="1" applyBorder="1" applyAlignment="1">
      <alignment horizontal="right" vertical="top"/>
    </xf>
    <xf numFmtId="164" fontId="36" fillId="0" borderId="23" xfId="2" applyNumberFormat="1" applyFont="1" applyBorder="1" applyAlignment="1">
      <alignment horizontal="right" vertical="top"/>
    </xf>
    <xf numFmtId="164" fontId="36" fillId="0" borderId="0" xfId="8" applyNumberFormat="1" applyFont="1" applyBorder="1" applyAlignment="1">
      <alignment horizontal="right" vertical="top"/>
    </xf>
    <xf numFmtId="164" fontId="36" fillId="0" borderId="7" xfId="8" applyNumberFormat="1" applyFont="1" applyBorder="1" applyAlignment="1">
      <alignment horizontal="right" vertical="top"/>
    </xf>
    <xf numFmtId="164" fontId="36" fillId="9" borderId="0" xfId="8" applyNumberFormat="1" applyFont="1" applyFill="1" applyBorder="1" applyAlignment="1">
      <alignment horizontal="right" vertical="top"/>
    </xf>
    <xf numFmtId="164" fontId="0" fillId="4" borderId="0" xfId="0" applyNumberFormat="1" applyFill="1" applyAlignment="1">
      <alignment horizontal="right"/>
    </xf>
    <xf numFmtId="164" fontId="36" fillId="0" borderId="23" xfId="8" applyNumberFormat="1" applyFont="1" applyBorder="1" applyAlignment="1">
      <alignment horizontal="right" vertical="top"/>
    </xf>
    <xf numFmtId="164" fontId="36" fillId="0" borderId="26" xfId="8" applyNumberFormat="1" applyFont="1" applyBorder="1" applyAlignment="1">
      <alignment horizontal="right" vertical="top"/>
    </xf>
    <xf numFmtId="164" fontId="36" fillId="0" borderId="17" xfId="8" applyNumberFormat="1" applyFont="1" applyBorder="1" applyAlignment="1">
      <alignment horizontal="right" vertical="top"/>
    </xf>
    <xf numFmtId="164" fontId="36" fillId="0" borderId="22" xfId="8" applyNumberFormat="1" applyFont="1" applyBorder="1" applyAlignment="1">
      <alignment horizontal="right" vertical="top"/>
    </xf>
    <xf numFmtId="167" fontId="1" fillId="0" borderId="0" xfId="1" applyNumberFormat="1" applyFont="1" applyFill="1" applyAlignment="1">
      <alignment horizontal="right"/>
    </xf>
    <xf numFmtId="167" fontId="1" fillId="0" borderId="0" xfId="1" applyNumberFormat="1" applyFont="1" applyAlignment="1">
      <alignment horizontal="right"/>
    </xf>
    <xf numFmtId="0" fontId="1" fillId="4" borderId="0" xfId="0" applyFont="1" applyFill="1" applyAlignment="1"/>
    <xf numFmtId="10" fontId="6" fillId="0" borderId="7" xfId="7" applyNumberFormat="1" applyFont="1" applyFill="1" applyBorder="1" applyAlignment="1">
      <alignment vertical="top"/>
    </xf>
    <xf numFmtId="0" fontId="6" fillId="0" borderId="6" xfId="5" applyFont="1" applyFill="1" applyBorder="1" applyAlignment="1">
      <alignment vertical="top"/>
    </xf>
    <xf numFmtId="0" fontId="1" fillId="2" borderId="7" xfId="0" quotePrefix="1" applyFont="1" applyFill="1" applyBorder="1" applyAlignment="1">
      <alignment horizontal="center"/>
    </xf>
    <xf numFmtId="165" fontId="6" fillId="10" borderId="7" xfId="0" applyNumberFormat="1" applyFont="1" applyFill="1" applyBorder="1" applyAlignment="1"/>
    <xf numFmtId="0" fontId="1" fillId="0" borderId="0" xfId="0" applyFont="1" applyAlignment="1"/>
    <xf numFmtId="0" fontId="1" fillId="0" borderId="6" xfId="0" applyFont="1" applyBorder="1" applyAlignment="1">
      <alignment horizontal="center"/>
    </xf>
    <xf numFmtId="3" fontId="1" fillId="0" borderId="16" xfId="0" applyNumberFormat="1" applyFont="1" applyBorder="1" applyAlignment="1">
      <alignment horizontal="right"/>
    </xf>
    <xf numFmtId="167" fontId="7" fillId="9" borderId="0" xfId="1" applyNumberFormat="1" applyFont="1" applyFill="1"/>
    <xf numFmtId="3" fontId="1" fillId="2" borderId="16" xfId="0" applyNumberFormat="1" applyFont="1" applyFill="1" applyBorder="1" applyAlignment="1">
      <alignment horizontal="right"/>
    </xf>
    <xf numFmtId="167" fontId="0" fillId="0" borderId="0" xfId="0" applyNumberFormat="1" applyAlignment="1"/>
    <xf numFmtId="0" fontId="0" fillId="0" borderId="0" xfId="0" applyAlignment="1">
      <alignment horizontal="right"/>
    </xf>
    <xf numFmtId="0" fontId="0" fillId="0" borderId="0" xfId="0" applyFill="1" applyBorder="1" applyAlignment="1">
      <alignment horizontal="right"/>
    </xf>
    <xf numFmtId="167" fontId="57" fillId="0" borderId="0" xfId="1" applyNumberFormat="1" applyFont="1"/>
    <xf numFmtId="167" fontId="1" fillId="11" borderId="17" xfId="1" applyNumberFormat="1" applyFont="1" applyFill="1" applyBorder="1" applyAlignment="1"/>
    <xf numFmtId="167" fontId="57" fillId="0" borderId="0" xfId="1" applyNumberFormat="1" applyFont="1" applyFill="1"/>
    <xf numFmtId="167" fontId="58" fillId="0" borderId="0" xfId="1" applyNumberFormat="1" applyFont="1" applyFill="1"/>
    <xf numFmtId="167" fontId="1" fillId="11" borderId="7" xfId="1" applyNumberFormat="1" applyFont="1" applyFill="1" applyBorder="1"/>
    <xf numFmtId="167" fontId="57" fillId="0" borderId="0" xfId="1" applyNumberFormat="1" applyFont="1" applyFill="1" applyBorder="1"/>
    <xf numFmtId="167" fontId="1" fillId="0" borderId="0" xfId="1" applyNumberFormat="1" applyFont="1" applyBorder="1" applyAlignment="1"/>
    <xf numFmtId="167" fontId="58" fillId="0" borderId="0" xfId="1" applyNumberFormat="1" applyFont="1"/>
    <xf numFmtId="167" fontId="1" fillId="0" borderId="0" xfId="1" applyNumberFormat="1" applyFont="1"/>
    <xf numFmtId="167" fontId="1" fillId="0" borderId="0" xfId="1" applyNumberFormat="1" applyFont="1" applyFill="1"/>
    <xf numFmtId="3" fontId="7" fillId="9" borderId="0" xfId="0" applyNumberFormat="1" applyFont="1" applyFill="1" applyAlignment="1">
      <alignment horizontal="center"/>
    </xf>
    <xf numFmtId="167" fontId="43" fillId="0" borderId="0" xfId="0" applyNumberFormat="1" applyFont="1">
      <alignment vertical="top"/>
    </xf>
    <xf numFmtId="167" fontId="6" fillId="0" borderId="1" xfId="1" applyNumberFormat="1" applyFont="1" applyBorder="1" applyAlignment="1"/>
    <xf numFmtId="167" fontId="6" fillId="0" borderId="5" xfId="1" applyNumberFormat="1" applyFont="1" applyBorder="1" applyAlignment="1"/>
    <xf numFmtId="43" fontId="33" fillId="0" borderId="0" xfId="1" applyFont="1" applyFill="1" applyBorder="1" applyAlignment="1"/>
    <xf numFmtId="165" fontId="6" fillId="4" borderId="25" xfId="2" applyNumberFormat="1" applyFont="1" applyFill="1" applyBorder="1" applyAlignment="1"/>
    <xf numFmtId="167" fontId="35" fillId="5" borderId="0" xfId="1" applyNumberFormat="1" applyFont="1" applyFill="1" applyBorder="1"/>
    <xf numFmtId="165" fontId="6" fillId="12" borderId="7" xfId="2" applyNumberFormat="1" applyFont="1" applyFill="1" applyBorder="1" applyAlignment="1"/>
    <xf numFmtId="165" fontId="38" fillId="0" borderId="0" xfId="0" applyNumberFormat="1" applyFont="1" applyFill="1" applyBorder="1">
      <alignment vertical="top"/>
    </xf>
    <xf numFmtId="0" fontId="17" fillId="0" borderId="0" xfId="0" quotePrefix="1" applyFont="1" applyAlignment="1"/>
    <xf numFmtId="5" fontId="23" fillId="0" borderId="0" xfId="0" applyNumberFormat="1" applyFont="1" applyFill="1" applyBorder="1" applyAlignment="1"/>
    <xf numFmtId="164" fontId="60" fillId="13" borderId="0" xfId="10" applyNumberFormat="1" applyFont="1" applyFill="1" applyAlignment="1">
      <alignment horizontal="center" wrapText="1"/>
    </xf>
    <xf numFmtId="5" fontId="43" fillId="0" borderId="3" xfId="0" applyNumberFormat="1" applyFont="1" applyFill="1" applyBorder="1" applyAlignment="1"/>
    <xf numFmtId="5" fontId="35" fillId="2" borderId="3" xfId="0" applyNumberFormat="1" applyFont="1" applyFill="1" applyBorder="1" applyAlignment="1"/>
    <xf numFmtId="5" fontId="35" fillId="2" borderId="0" xfId="2" applyNumberFormat="1" applyFont="1" applyFill="1" applyBorder="1" applyAlignment="1"/>
    <xf numFmtId="165" fontId="35" fillId="0" borderId="0" xfId="0" applyNumberFormat="1" applyFont="1" applyFill="1" applyBorder="1" applyAlignment="1">
      <alignment horizontal="center"/>
    </xf>
    <xf numFmtId="165" fontId="6" fillId="0" borderId="6" xfId="0" applyNumberFormat="1" applyFont="1" applyFill="1" applyBorder="1" applyAlignment="1"/>
    <xf numFmtId="10" fontId="6" fillId="0" borderId="3" xfId="7" applyNumberFormat="1" applyFont="1" applyFill="1" applyBorder="1" applyAlignment="1">
      <alignment vertical="top"/>
    </xf>
    <xf numFmtId="5" fontId="35" fillId="0" borderId="0" xfId="0" applyNumberFormat="1" applyFont="1" applyFill="1" applyBorder="1" applyAlignment="1"/>
    <xf numFmtId="5" fontId="0" fillId="0" borderId="0" xfId="0" applyNumberFormat="1" applyFont="1" applyFill="1" applyBorder="1" applyAlignment="1"/>
    <xf numFmtId="0" fontId="6" fillId="0" borderId="0" xfId="0" applyFont="1" applyAlignment="1">
      <alignment horizontal="center" wrapText="1"/>
    </xf>
    <xf numFmtId="167" fontId="15" fillId="14" borderId="0" xfId="1" applyNumberFormat="1" applyFont="1" applyFill="1"/>
    <xf numFmtId="167" fontId="15" fillId="14" borderId="17" xfId="1" applyNumberFormat="1" applyFont="1" applyFill="1" applyBorder="1"/>
    <xf numFmtId="167" fontId="15" fillId="14" borderId="23" xfId="1" applyNumberFormat="1" applyFont="1" applyFill="1" applyBorder="1" applyAlignment="1"/>
    <xf numFmtId="167" fontId="7" fillId="14" borderId="17" xfId="1" applyNumberFormat="1" applyFont="1" applyFill="1" applyBorder="1"/>
    <xf numFmtId="167" fontId="7" fillId="14" borderId="17" xfId="1" applyNumberFormat="1" applyFont="1" applyFill="1" applyBorder="1" applyAlignment="1"/>
    <xf numFmtId="167" fontId="7" fillId="14" borderId="0" xfId="1" applyNumberFormat="1" applyFont="1" applyFill="1"/>
    <xf numFmtId="3" fontId="1" fillId="0" borderId="16" xfId="0" applyNumberFormat="1" applyFont="1" applyFill="1" applyBorder="1" applyAlignment="1">
      <alignment horizontal="right"/>
    </xf>
    <xf numFmtId="167" fontId="15" fillId="14" borderId="17" xfId="1" applyNumberFormat="1" applyFont="1" applyFill="1" applyBorder="1" applyAlignment="1"/>
    <xf numFmtId="167" fontId="15" fillId="14" borderId="0" xfId="1" applyNumberFormat="1" applyFont="1" applyFill="1" applyBorder="1" applyAlignment="1"/>
    <xf numFmtId="167" fontId="15" fillId="14" borderId="0" xfId="1" applyNumberFormat="1" applyFont="1" applyFill="1" applyBorder="1"/>
    <xf numFmtId="167" fontId="7" fillId="0" borderId="0" xfId="1" applyNumberFormat="1" applyFont="1" applyAlignment="1">
      <alignment vertical="top"/>
    </xf>
    <xf numFmtId="167" fontId="7" fillId="0" borderId="0" xfId="1" applyNumberFormat="1" applyFont="1" applyAlignment="1"/>
    <xf numFmtId="3" fontId="7" fillId="0" borderId="0" xfId="0" applyNumberFormat="1" applyFont="1">
      <alignment vertical="top"/>
    </xf>
    <xf numFmtId="3" fontId="7" fillId="0" borderId="0" xfId="0" applyNumberFormat="1" applyFont="1" applyAlignment="1"/>
    <xf numFmtId="167" fontId="57" fillId="14" borderId="0" xfId="1" applyNumberFormat="1" applyFont="1" applyFill="1"/>
    <xf numFmtId="167" fontId="57" fillId="14" borderId="17" xfId="1" applyNumberFormat="1" applyFont="1" applyFill="1" applyBorder="1"/>
    <xf numFmtId="167" fontId="58" fillId="14" borderId="17" xfId="1" applyNumberFormat="1" applyFont="1" applyFill="1" applyBorder="1"/>
    <xf numFmtId="167" fontId="58" fillId="14" borderId="0" xfId="1" applyNumberFormat="1" applyFont="1" applyFill="1"/>
    <xf numFmtId="167" fontId="57" fillId="14" borderId="0" xfId="1" applyNumberFormat="1" applyFont="1" applyFill="1" applyBorder="1" applyAlignment="1"/>
    <xf numFmtId="166" fontId="1" fillId="0" borderId="16" xfId="0" applyNumberFormat="1" applyFont="1" applyFill="1" applyBorder="1" applyAlignment="1">
      <alignment horizontal="right" wrapText="1"/>
    </xf>
    <xf numFmtId="167" fontId="57" fillId="14" borderId="0" xfId="1" applyNumberFormat="1" applyFont="1" applyFill="1" applyBorder="1"/>
    <xf numFmtId="167" fontId="59" fillId="14" borderId="17" xfId="1" applyNumberFormat="1" applyFont="1" applyFill="1" applyBorder="1" applyAlignment="1"/>
    <xf numFmtId="167" fontId="1" fillId="14" borderId="0" xfId="1" applyNumberFormat="1" applyFont="1" applyFill="1" applyBorder="1" applyAlignment="1"/>
    <xf numFmtId="167" fontId="1" fillId="14" borderId="17" xfId="1" applyNumberFormat="1" applyFont="1" applyFill="1" applyBorder="1" applyAlignment="1"/>
    <xf numFmtId="3" fontId="36" fillId="11" borderId="41" xfId="0" applyNumberFormat="1" applyFont="1" applyFill="1" applyBorder="1" applyAlignment="1">
      <alignment horizontal="center" vertical="center" wrapText="1"/>
    </xf>
    <xf numFmtId="0" fontId="0" fillId="0" borderId="8" xfId="0" applyBorder="1" applyAlignment="1">
      <alignment horizontal="right"/>
    </xf>
    <xf numFmtId="167" fontId="0" fillId="0" borderId="42" xfId="0" applyNumberFormat="1" applyBorder="1" applyAlignment="1"/>
    <xf numFmtId="167" fontId="0" fillId="0" borderId="6" xfId="0" applyNumberFormat="1" applyBorder="1" applyAlignment="1"/>
    <xf numFmtId="3" fontId="36" fillId="11" borderId="6" xfId="0" applyNumberFormat="1" applyFont="1" applyFill="1" applyBorder="1" applyAlignment="1">
      <alignment horizontal="center" wrapText="1"/>
    </xf>
    <xf numFmtId="3" fontId="36" fillId="11" borderId="41" xfId="0" applyNumberFormat="1" applyFont="1" applyFill="1" applyBorder="1" applyAlignment="1">
      <alignment horizontal="center" wrapText="1"/>
    </xf>
    <xf numFmtId="167" fontId="57" fillId="0" borderId="42" xfId="1" applyNumberFormat="1" applyFont="1" applyBorder="1"/>
    <xf numFmtId="165" fontId="61" fillId="0" borderId="0" xfId="0" applyNumberFormat="1" applyFont="1" applyAlignment="1"/>
    <xf numFmtId="165" fontId="61" fillId="4" borderId="0" xfId="0" applyNumberFormat="1" applyFont="1" applyFill="1" applyAlignment="1"/>
    <xf numFmtId="0" fontId="61" fillId="4" borderId="0" xfId="0" applyFont="1" applyFill="1" applyAlignment="1"/>
    <xf numFmtId="165" fontId="6" fillId="9" borderId="0" xfId="0" applyNumberFormat="1" applyFont="1" applyFill="1" applyAlignment="1"/>
    <xf numFmtId="165" fontId="6" fillId="9" borderId="7" xfId="0" applyNumberFormat="1" applyFont="1" applyFill="1" applyBorder="1" applyAlignment="1"/>
    <xf numFmtId="167" fontId="6" fillId="9" borderId="0" xfId="1" applyNumberFormat="1" applyFont="1" applyFill="1" applyAlignment="1"/>
    <xf numFmtId="0" fontId="62" fillId="0" borderId="0" xfId="0" applyFont="1">
      <alignment vertical="top"/>
    </xf>
    <xf numFmtId="167" fontId="62" fillId="0" borderId="0" xfId="0" applyNumberFormat="1" applyFont="1">
      <alignment vertical="top"/>
    </xf>
    <xf numFmtId="0" fontId="5" fillId="0" borderId="38" xfId="5" applyFont="1" applyBorder="1" applyAlignment="1">
      <alignment horizontal="left" vertical="center" wrapText="1"/>
    </xf>
    <xf numFmtId="0" fontId="5" fillId="0" borderId="31" xfId="5" applyFont="1" applyBorder="1" applyAlignment="1">
      <alignment horizontal="left" vertical="center" wrapText="1"/>
    </xf>
    <xf numFmtId="0" fontId="5" fillId="0" borderId="20" xfId="5" applyFont="1" applyBorder="1" applyAlignment="1">
      <alignment horizontal="left" vertical="center" wrapText="1"/>
    </xf>
    <xf numFmtId="0" fontId="5" fillId="0" borderId="39" xfId="5" applyFont="1" applyBorder="1" applyAlignment="1">
      <alignment horizontal="left" vertical="center" wrapText="1"/>
    </xf>
    <xf numFmtId="0" fontId="5" fillId="0" borderId="40" xfId="5" applyFont="1" applyBorder="1" applyAlignment="1">
      <alignment horizontal="left" vertical="center" wrapText="1"/>
    </xf>
    <xf numFmtId="0" fontId="5" fillId="0" borderId="12" xfId="5" applyFont="1" applyBorder="1" applyAlignment="1">
      <alignment horizontal="left" vertical="center" wrapText="1"/>
    </xf>
    <xf numFmtId="0" fontId="5" fillId="0" borderId="32" xfId="5" applyFont="1" applyBorder="1" applyAlignment="1">
      <alignment horizontal="left" vertical="center" wrapText="1"/>
    </xf>
    <xf numFmtId="0" fontId="5" fillId="0" borderId="18" xfId="4" applyNumberFormat="1" applyFont="1" applyBorder="1" applyAlignment="1">
      <alignment horizontal="left" vertical="center" wrapText="1"/>
    </xf>
    <xf numFmtId="0" fontId="5" fillId="0" borderId="33" xfId="4" applyNumberFormat="1" applyFont="1" applyBorder="1" applyAlignment="1">
      <alignment horizontal="left" vertical="center" wrapText="1"/>
    </xf>
    <xf numFmtId="0" fontId="5" fillId="0" borderId="34" xfId="4" applyNumberFormat="1" applyFont="1" applyBorder="1" applyAlignment="1">
      <alignment horizontal="left" vertical="center" wrapText="1"/>
    </xf>
    <xf numFmtId="0" fontId="5" fillId="0" borderId="18" xfId="4" applyFont="1" applyBorder="1" applyAlignment="1">
      <alignment horizontal="left" vertical="center" wrapText="1"/>
    </xf>
    <xf numFmtId="0" fontId="5" fillId="0" borderId="33" xfId="4" applyFont="1" applyBorder="1" applyAlignment="1">
      <alignment horizontal="left" vertical="center" wrapText="1"/>
    </xf>
    <xf numFmtId="0" fontId="5" fillId="0" borderId="34" xfId="4" applyFont="1" applyBorder="1" applyAlignment="1">
      <alignment horizontal="left" vertical="center" wrapText="1"/>
    </xf>
    <xf numFmtId="0" fontId="5" fillId="0" borderId="13" xfId="5" applyFont="1" applyBorder="1" applyAlignment="1">
      <alignment horizontal="left" vertical="center" wrapText="1"/>
    </xf>
    <xf numFmtId="0" fontId="5" fillId="0" borderId="35" xfId="5" applyFont="1" applyBorder="1" applyAlignment="1">
      <alignment horizontal="left" vertical="center" wrapText="1"/>
    </xf>
    <xf numFmtId="164" fontId="5" fillId="0" borderId="19" xfId="4" applyNumberFormat="1" applyFont="1" applyBorder="1" applyAlignment="1">
      <alignment horizontal="left" vertical="center" wrapText="1"/>
    </xf>
    <xf numFmtId="164" fontId="5" fillId="0" borderId="36" xfId="4" applyNumberFormat="1" applyFont="1" applyBorder="1" applyAlignment="1">
      <alignment horizontal="left" vertical="center" wrapText="1"/>
    </xf>
    <xf numFmtId="164" fontId="5" fillId="0" borderId="37" xfId="4" applyNumberFormat="1" applyFont="1" applyBorder="1" applyAlignment="1">
      <alignment horizontal="left" vertical="center" wrapText="1"/>
    </xf>
    <xf numFmtId="166" fontId="6" fillId="0" borderId="8" xfId="0" applyNumberFormat="1" applyFont="1" applyBorder="1" applyAlignment="1">
      <alignment horizontal="center"/>
    </xf>
    <xf numFmtId="0" fontId="0" fillId="0" borderId="7" xfId="0" applyBorder="1" applyAlignment="1">
      <alignment horizontal="center"/>
    </xf>
    <xf numFmtId="0" fontId="0" fillId="0" borderId="24" xfId="0" applyBorder="1" applyAlignment="1">
      <alignment horizontal="center"/>
    </xf>
    <xf numFmtId="164" fontId="5" fillId="4" borderId="35" xfId="4" applyNumberFormat="1" applyFont="1" applyFill="1"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5" fillId="4" borderId="31" xfId="5" applyFont="1" applyFill="1"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5" fillId="4" borderId="32" xfId="4" applyFont="1" applyFill="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5" fillId="4" borderId="32" xfId="4" applyNumberFormat="1" applyFont="1" applyFill="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5" fillId="0" borderId="32" xfId="4" applyNumberFormat="1" applyFont="1" applyBorder="1" applyAlignment="1">
      <alignment horizontal="left" vertical="center" wrapText="1"/>
    </xf>
    <xf numFmtId="0" fontId="5" fillId="0" borderId="32" xfId="4" applyFont="1" applyBorder="1" applyAlignment="1">
      <alignment horizontal="left" vertical="center" wrapText="1"/>
    </xf>
    <xf numFmtId="164" fontId="5" fillId="0" borderId="35" xfId="4" applyNumberFormat="1" applyFont="1" applyBorder="1" applyAlignment="1">
      <alignment horizontal="left" vertical="center" wrapText="1"/>
    </xf>
    <xf numFmtId="164" fontId="5" fillId="0" borderId="35" xfId="5" applyNumberFormat="1" applyFont="1" applyBorder="1" applyAlignment="1">
      <alignment horizontal="left" vertical="center" wrapText="1"/>
    </xf>
    <xf numFmtId="0" fontId="23" fillId="0" borderId="0" xfId="0" applyFont="1" applyFill="1" applyBorder="1" applyAlignment="1">
      <alignment horizontal="right"/>
    </xf>
    <xf numFmtId="0" fontId="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31" fillId="0" borderId="0" xfId="0" applyFont="1" applyFill="1" applyBorder="1" applyAlignment="1">
      <alignment horizontal="left" vertical="top" wrapText="1"/>
    </xf>
    <xf numFmtId="0" fontId="0" fillId="0" borderId="0" xfId="0" applyFont="1" applyFill="1" applyBorder="1" applyAlignment="1">
      <alignment horizontal="left"/>
    </xf>
    <xf numFmtId="0" fontId="31" fillId="0" borderId="0" xfId="0" applyFont="1" applyFill="1" applyBorder="1" applyAlignment="1">
      <alignment horizontal="left" wrapText="1"/>
    </xf>
    <xf numFmtId="0" fontId="31" fillId="0" borderId="0" xfId="0" applyFont="1" applyFill="1" applyBorder="1" applyAlignment="1">
      <alignment horizontal="left"/>
    </xf>
    <xf numFmtId="0" fontId="22" fillId="0" borderId="0" xfId="0" applyFont="1" applyFill="1" applyBorder="1" applyAlignment="1">
      <alignment horizontal="left"/>
    </xf>
    <xf numFmtId="0" fontId="43" fillId="0" borderId="0" xfId="0" applyFont="1" applyBorder="1" applyAlignment="1">
      <alignment horizontal="center" wrapText="1"/>
    </xf>
    <xf numFmtId="0" fontId="38" fillId="0" borderId="0" xfId="0" applyFont="1" applyFill="1" applyBorder="1" applyAlignment="1">
      <alignment horizontal="left" vertical="top" wrapText="1"/>
    </xf>
    <xf numFmtId="0" fontId="35" fillId="0" borderId="0" xfId="0" applyFont="1" applyFill="1" applyBorder="1" applyAlignment="1">
      <alignment horizontal="left" vertical="top" wrapText="1"/>
    </xf>
    <xf numFmtId="10" fontId="35" fillId="9" borderId="0" xfId="7" applyNumberFormat="1" applyFont="1" applyFill="1"/>
    <xf numFmtId="10" fontId="41" fillId="9" borderId="0" xfId="7" applyNumberFormat="1" applyFont="1" applyFill="1"/>
    <xf numFmtId="10" fontId="6" fillId="9" borderId="0" xfId="7" applyNumberFormat="1" applyFont="1" applyFill="1"/>
  </cellXfs>
  <cellStyles count="11">
    <cellStyle name="Comma" xfId="1" builtinId="3"/>
    <cellStyle name="Currency" xfId="2" builtinId="4"/>
    <cellStyle name="Normal" xfId="0" builtinId="0"/>
    <cellStyle name="Normal_Attachment GG (2)" xfId="10"/>
    <cellStyle name="Normal_Attachment GG Blank Template 8 26 09 (3)" xfId="3"/>
    <cellStyle name="Normal_East_Central_West Project_costsharing_0207 with Summary_June07_Rev3" xfId="4"/>
    <cellStyle name="Normal_Schedule O Info for Mike" xfId="9"/>
    <cellStyle name="Normal_Sheet1" xfId="5"/>
    <cellStyle name="Normal_Sheet1_Capx_pricingzone_051201" xfId="6"/>
    <cellStyle name="Normal_Sheet3" xfId="8"/>
    <cellStyle name="Percent" xfId="7" builtinId="5"/>
  </cellStyles>
  <dxfs count="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FF8F"/>
      <color rgb="FFFF99FF"/>
      <color rgb="FF99FF66"/>
      <color rgb="FF00FFFF"/>
      <color rgb="FF66FF99"/>
      <color rgb="FFCCFFFF"/>
      <color rgb="FFB3FBB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41</xdr:row>
      <xdr:rowOff>150763</xdr:rowOff>
    </xdr:from>
    <xdr:to>
      <xdr:col>17</xdr:col>
      <xdr:colOff>503464</xdr:colOff>
      <xdr:row>78</xdr:row>
      <xdr:rowOff>38101</xdr:rowOff>
    </xdr:to>
    <xdr:pic>
      <xdr:nvPicPr>
        <xdr:cNvPr id="2" name="Picture 1"/>
        <xdr:cNvPicPr>
          <a:picLocks noChangeAspect="1"/>
        </xdr:cNvPicPr>
      </xdr:nvPicPr>
      <xdr:blipFill rotWithShape="1">
        <a:blip xmlns:r="http://schemas.openxmlformats.org/officeDocument/2006/relationships" r:embed="rId1"/>
        <a:srcRect b="7608"/>
        <a:stretch/>
      </xdr:blipFill>
      <xdr:spPr>
        <a:xfrm>
          <a:off x="0" y="9988727"/>
          <a:ext cx="12586607" cy="7439303"/>
        </a:xfrm>
        <a:prstGeom prst="rect">
          <a:avLst/>
        </a:prstGeom>
      </xdr:spPr>
    </xdr:pic>
    <xdr:clientData/>
  </xdr:twoCellAnchor>
  <xdr:twoCellAnchor editAs="oneCell">
    <xdr:from>
      <xdr:col>0</xdr:col>
      <xdr:colOff>0</xdr:colOff>
      <xdr:row>78</xdr:row>
      <xdr:rowOff>24273</xdr:rowOff>
    </xdr:from>
    <xdr:to>
      <xdr:col>17</xdr:col>
      <xdr:colOff>503464</xdr:colOff>
      <xdr:row>93</xdr:row>
      <xdr:rowOff>53068</xdr:rowOff>
    </xdr:to>
    <xdr:pic>
      <xdr:nvPicPr>
        <xdr:cNvPr id="3" name="Picture 2"/>
        <xdr:cNvPicPr>
          <a:picLocks noChangeAspect="1"/>
        </xdr:cNvPicPr>
      </xdr:nvPicPr>
      <xdr:blipFill rotWithShape="1">
        <a:blip xmlns:r="http://schemas.openxmlformats.org/officeDocument/2006/relationships" r:embed="rId2"/>
        <a:srcRect t="40386" b="21228"/>
        <a:stretch/>
      </xdr:blipFill>
      <xdr:spPr>
        <a:xfrm>
          <a:off x="0" y="17414202"/>
          <a:ext cx="12586607" cy="30904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8F"/>
  </sheetPr>
  <dimension ref="A1:Q919"/>
  <sheetViews>
    <sheetView showGridLines="0" tabSelected="1" zoomScale="90" zoomScaleNormal="90" workbookViewId="0"/>
  </sheetViews>
  <sheetFormatPr defaultRowHeight="15.75"/>
  <cols>
    <col min="1" max="1" width="2.625" style="2" customWidth="1"/>
    <col min="2" max="2" width="17.5" style="2" customWidth="1"/>
    <col min="3" max="3" width="13.625" style="2" bestFit="1" customWidth="1"/>
    <col min="4" max="4" width="11.625" style="2" bestFit="1" customWidth="1"/>
    <col min="5" max="5" width="15.25" style="2" customWidth="1"/>
    <col min="6" max="6" width="17.5" style="2" customWidth="1"/>
    <col min="7" max="7" width="14.125" style="2" customWidth="1"/>
    <col min="8" max="8" width="15.625" style="133" customWidth="1"/>
    <col min="9" max="9" width="16.125" style="2" customWidth="1"/>
    <col min="10" max="10" width="15.625" style="91" customWidth="1"/>
    <col min="11" max="11" width="14.625" style="2" customWidth="1"/>
    <col min="12" max="12" width="11.375" style="2" customWidth="1"/>
    <col min="13" max="13" width="17.125" style="2" customWidth="1"/>
    <col min="14" max="14" width="1.625" style="86" customWidth="1"/>
    <col min="15" max="15" width="9.375" style="2" bestFit="1" customWidth="1"/>
    <col min="16" max="16" width="12.25" style="2" bestFit="1" customWidth="1"/>
    <col min="17" max="17" width="11.375" style="2" bestFit="1" customWidth="1"/>
    <col min="18" max="16384" width="9" style="2"/>
  </cols>
  <sheetData>
    <row r="1" spans="2:16" ht="18.75">
      <c r="E1" s="38" t="s">
        <v>617</v>
      </c>
    </row>
    <row r="2" spans="2:16" ht="18.75">
      <c r="C2" s="76"/>
      <c r="D2" s="76"/>
      <c r="E2" s="130" t="s">
        <v>180</v>
      </c>
      <c r="F2" s="76"/>
      <c r="J2" s="105" t="s">
        <v>163</v>
      </c>
      <c r="K2" s="3" t="s">
        <v>42</v>
      </c>
      <c r="M2" s="3" t="s">
        <v>56</v>
      </c>
    </row>
    <row r="3" spans="2:16">
      <c r="B3" s="76"/>
      <c r="C3" s="76"/>
      <c r="D3" s="76"/>
      <c r="E3" s="76"/>
      <c r="F3" s="76"/>
      <c r="G3" s="3" t="s">
        <v>39</v>
      </c>
      <c r="H3" s="134" t="s">
        <v>40</v>
      </c>
      <c r="I3" s="98" t="s">
        <v>41</v>
      </c>
      <c r="J3" s="106" t="s">
        <v>164</v>
      </c>
      <c r="K3" s="4" t="s">
        <v>165</v>
      </c>
      <c r="L3" s="4" t="s">
        <v>55</v>
      </c>
      <c r="M3" s="4" t="s">
        <v>166</v>
      </c>
      <c r="N3" s="202"/>
    </row>
    <row r="4" spans="2:16">
      <c r="B4" s="76"/>
      <c r="C4" s="76"/>
      <c r="D4" s="76"/>
      <c r="E4" s="76"/>
      <c r="F4" s="76"/>
      <c r="G4" s="5"/>
      <c r="H4" s="658" t="s">
        <v>43</v>
      </c>
      <c r="I4" s="659"/>
      <c r="J4" s="660"/>
      <c r="K4" s="6" t="s">
        <v>44</v>
      </c>
      <c r="L4" s="5"/>
      <c r="M4" s="6" t="s">
        <v>45</v>
      </c>
      <c r="N4" s="202"/>
    </row>
    <row r="5" spans="2:16">
      <c r="B5" s="126"/>
      <c r="C5" s="127"/>
      <c r="D5" s="127"/>
      <c r="E5" s="121"/>
      <c r="F5" s="92" t="s">
        <v>162</v>
      </c>
      <c r="G5" s="8" t="s">
        <v>46</v>
      </c>
      <c r="H5" s="135"/>
      <c r="I5" s="5"/>
      <c r="J5" s="107" t="s">
        <v>47</v>
      </c>
      <c r="K5" s="8" t="s">
        <v>48</v>
      </c>
      <c r="L5" s="9"/>
      <c r="M5" s="8" t="s">
        <v>49</v>
      </c>
    </row>
    <row r="6" spans="2:16" ht="15.75" customHeight="1">
      <c r="B6" s="124"/>
      <c r="C6" s="16"/>
      <c r="D6" s="16"/>
      <c r="E6" s="122"/>
      <c r="F6" s="93" t="s">
        <v>8</v>
      </c>
      <c r="G6" s="11" t="s">
        <v>50</v>
      </c>
      <c r="H6" s="136" t="s">
        <v>51</v>
      </c>
      <c r="I6" s="12" t="s">
        <v>159</v>
      </c>
      <c r="J6" s="108" t="s">
        <v>50</v>
      </c>
      <c r="K6" s="12" t="s">
        <v>50</v>
      </c>
      <c r="L6" s="12" t="s">
        <v>52</v>
      </c>
      <c r="M6" s="12" t="s">
        <v>53</v>
      </c>
    </row>
    <row r="7" spans="2:16" ht="31.5">
      <c r="B7" s="128"/>
      <c r="C7" s="16"/>
      <c r="D7" s="16"/>
      <c r="E7" s="123" t="s">
        <v>13</v>
      </c>
      <c r="F7" s="164" t="s">
        <v>15</v>
      </c>
      <c r="G7" s="16" t="s">
        <v>54</v>
      </c>
      <c r="H7" s="137"/>
      <c r="I7" s="17"/>
      <c r="J7" s="109" t="s">
        <v>54</v>
      </c>
      <c r="K7" s="17"/>
      <c r="L7" s="17"/>
      <c r="M7" s="16" t="s">
        <v>54</v>
      </c>
    </row>
    <row r="8" spans="2:16">
      <c r="B8" s="28"/>
      <c r="C8" s="129"/>
      <c r="D8" s="129"/>
      <c r="E8" s="131" t="s">
        <v>16</v>
      </c>
      <c r="F8" s="582">
        <f>F57+F97+F137+F177+F219+F259+F301+F343+F383+F425+F467+F509+F551+F593+F635+F680+F726+F772+F818</f>
        <v>1317605.24</v>
      </c>
      <c r="G8" s="582">
        <f t="shared" ref="G8:M8" si="0">G57+G97+G137+G177+G219+G259+G301+G343+G383+G425+G467+G509+G551+G593+G635+G680+G726+G772+G818</f>
        <v>-30986.144164559428</v>
      </c>
      <c r="H8" s="582">
        <f t="shared" si="0"/>
        <v>1317605.24</v>
      </c>
      <c r="I8" s="582">
        <f t="shared" si="0"/>
        <v>1382955.56</v>
      </c>
      <c r="J8" s="582">
        <f t="shared" si="0"/>
        <v>65350.319999999949</v>
      </c>
      <c r="K8" s="582">
        <f t="shared" si="0"/>
        <v>34364.175835440525</v>
      </c>
      <c r="L8" s="582">
        <f t="shared" si="0"/>
        <v>344.60888599826205</v>
      </c>
      <c r="M8" s="582">
        <f t="shared" si="0"/>
        <v>34708.78472143878</v>
      </c>
      <c r="O8" s="172"/>
      <c r="P8" s="172"/>
    </row>
    <row r="9" spans="2:16">
      <c r="B9" s="28"/>
      <c r="C9" s="129"/>
      <c r="D9" s="129"/>
      <c r="E9" s="132" t="s">
        <v>17</v>
      </c>
      <c r="F9" s="99">
        <f>F58+F98+F138+F178+F220+F260+F302+F344+F384+F426+F468+F510+F552+F594+F636+F681+F727+F773+F819</f>
        <v>63390.709999999992</v>
      </c>
      <c r="G9" s="99">
        <f t="shared" ref="G9:M9" si="1">G58+G98+G138+G178+G220+G260+G302+G344+G384+G426+G468+G510+G552+G594+G636+G681+G727+G773+G819</f>
        <v>-1437.9826396143744</v>
      </c>
      <c r="H9" s="99">
        <f t="shared" si="1"/>
        <v>61247.47</v>
      </c>
      <c r="I9" s="99">
        <f t="shared" si="1"/>
        <v>64285.21</v>
      </c>
      <c r="J9" s="99">
        <f t="shared" si="1"/>
        <v>894.50000000000114</v>
      </c>
      <c r="K9" s="99">
        <f t="shared" si="1"/>
        <v>-543.48263961437328</v>
      </c>
      <c r="L9" s="99">
        <f t="shared" si="1"/>
        <v>16.607367690646889</v>
      </c>
      <c r="M9" s="99">
        <f t="shared" si="1"/>
        <v>-526.87527192372659</v>
      </c>
      <c r="O9" s="172"/>
      <c r="P9" s="172"/>
    </row>
    <row r="10" spans="2:16" s="81" customFormat="1">
      <c r="B10" s="28"/>
      <c r="C10" s="129"/>
      <c r="D10" s="129"/>
      <c r="E10" s="132" t="s">
        <v>201</v>
      </c>
      <c r="F10" s="99">
        <f>F59+F99+F139+F179+F221+F261+F303+F345+F385+F427+F469+F511+F553+F595+F637+F682+F728+F774+F820</f>
        <v>505901.95</v>
      </c>
      <c r="G10" s="99">
        <f t="shared" ref="G10:M10" si="2">G59+G99+G139+G179+G221+G261+G303+G345+G385+G427+G469+G511+G553+G595+G637+G682+G728+G774+G820</f>
        <v>-11659.574985933648</v>
      </c>
      <c r="H10" s="99">
        <f t="shared" si="2"/>
        <v>505901.95</v>
      </c>
      <c r="I10" s="99">
        <f t="shared" si="2"/>
        <v>530993.56999999995</v>
      </c>
      <c r="J10" s="99">
        <f t="shared" si="2"/>
        <v>25091.619999999988</v>
      </c>
      <c r="K10" s="99">
        <f t="shared" si="2"/>
        <v>13432.04501406634</v>
      </c>
      <c r="L10" s="99">
        <f t="shared" si="2"/>
        <v>132.42745626483219</v>
      </c>
      <c r="M10" s="99">
        <f t="shared" si="2"/>
        <v>13564.472470331173</v>
      </c>
      <c r="N10" s="86"/>
      <c r="O10" s="172"/>
      <c r="P10" s="172"/>
    </row>
    <row r="11" spans="2:16" s="81" customFormat="1">
      <c r="B11" s="28"/>
      <c r="C11" s="129"/>
      <c r="D11" s="129"/>
      <c r="E11" s="132" t="s">
        <v>260</v>
      </c>
      <c r="F11" s="99">
        <f t="shared" ref="F11:M11" si="3">F60+F100+F140+F180+F222+F262+F304+F346+F386+F428+F470+F512+F554+F596+F638+F683+F729+F775+F821</f>
        <v>695765.4</v>
      </c>
      <c r="G11" s="99">
        <f t="shared" si="3"/>
        <v>-16035.377474716352</v>
      </c>
      <c r="H11" s="99">
        <f t="shared" si="3"/>
        <v>697934.12</v>
      </c>
      <c r="I11" s="99">
        <f t="shared" si="3"/>
        <v>732550.11</v>
      </c>
      <c r="J11" s="99">
        <f t="shared" si="3"/>
        <v>36784.709999999977</v>
      </c>
      <c r="K11" s="99">
        <f t="shared" si="3"/>
        <v>20749.332525283626</v>
      </c>
      <c r="L11" s="99">
        <f t="shared" si="3"/>
        <v>182.12707168013739</v>
      </c>
      <c r="M11" s="99">
        <f t="shared" si="3"/>
        <v>20931.459596963763</v>
      </c>
      <c r="N11" s="86"/>
      <c r="O11" s="172"/>
      <c r="P11" s="172"/>
    </row>
    <row r="12" spans="2:16">
      <c r="B12" s="28"/>
      <c r="C12" s="129"/>
      <c r="D12" s="129"/>
      <c r="E12" s="132" t="s">
        <v>18</v>
      </c>
      <c r="F12" s="99">
        <f t="shared" ref="F12:M12" si="4">F61+F101+F141+F181+F223+F263+F305+F347+F387+F429+F471+F513+F555+F597+F639+F684+F730+F776+F822</f>
        <v>118547.09999999999</v>
      </c>
      <c r="G12" s="99">
        <f t="shared" si="4"/>
        <v>-2699.2625464656448</v>
      </c>
      <c r="H12" s="99">
        <f t="shared" si="4"/>
        <v>116802.66</v>
      </c>
      <c r="I12" s="99">
        <f t="shared" si="4"/>
        <v>122595.81999999999</v>
      </c>
      <c r="J12" s="99">
        <f t="shared" si="4"/>
        <v>4048.7200000000062</v>
      </c>
      <c r="K12" s="99">
        <f t="shared" si="4"/>
        <v>1349.4574535343613</v>
      </c>
      <c r="L12" s="99">
        <f t="shared" si="4"/>
        <v>31.048169638250361</v>
      </c>
      <c r="M12" s="99">
        <f t="shared" si="4"/>
        <v>1380.5056231726114</v>
      </c>
      <c r="O12" s="172"/>
      <c r="P12" s="172"/>
    </row>
    <row r="13" spans="2:16">
      <c r="B13" s="28"/>
      <c r="C13" s="129"/>
      <c r="D13" s="129"/>
      <c r="E13" s="132" t="s">
        <v>19</v>
      </c>
      <c r="F13" s="99">
        <f t="shared" ref="F13:M13" si="5">F62+F102+F142+F182+F224+F264+F306+F348+F388+F430+F472+F514+F556+F598+F640+F685+F731+F777+F823</f>
        <v>297248.49000000005</v>
      </c>
      <c r="G13" s="99">
        <f t="shared" si="5"/>
        <v>-6775.0911712174529</v>
      </c>
      <c r="H13" s="99">
        <f t="shared" si="5"/>
        <v>282465.60000000003</v>
      </c>
      <c r="I13" s="99">
        <f t="shared" si="5"/>
        <v>296475.26999999996</v>
      </c>
      <c r="J13" s="99">
        <f t="shared" si="5"/>
        <v>-773.22000000000571</v>
      </c>
      <c r="K13" s="99">
        <f t="shared" si="5"/>
        <v>-7548.3111712174587</v>
      </c>
      <c r="L13" s="99">
        <f t="shared" si="5"/>
        <v>77.851652206247053</v>
      </c>
      <c r="M13" s="99">
        <f t="shared" si="5"/>
        <v>-7470.4595190112123</v>
      </c>
      <c r="O13" s="172"/>
      <c r="P13" s="172"/>
    </row>
    <row r="14" spans="2:16">
      <c r="B14" s="28"/>
      <c r="C14" s="129"/>
      <c r="D14" s="129"/>
      <c r="E14" s="132" t="s">
        <v>20</v>
      </c>
      <c r="F14" s="99">
        <f t="shared" ref="F14:M14" si="6">F63+F103+F143+F183+F225+F265+F307+F349+F389+F431+F473+F515+F557+F599+F641+F686+F732+F778+F824</f>
        <v>342737.36000000004</v>
      </c>
      <c r="G14" s="99">
        <f t="shared" si="6"/>
        <v>-7801.2287047571881</v>
      </c>
      <c r="H14" s="99">
        <f t="shared" si="6"/>
        <v>328309.14999999997</v>
      </c>
      <c r="I14" s="99">
        <f t="shared" si="6"/>
        <v>344592.56</v>
      </c>
      <c r="J14" s="99">
        <f t="shared" si="6"/>
        <v>1855.1999999999894</v>
      </c>
      <c r="K14" s="99">
        <f t="shared" si="6"/>
        <v>-5946.0287047571992</v>
      </c>
      <c r="L14" s="99">
        <f t="shared" si="6"/>
        <v>89.752627323814622</v>
      </c>
      <c r="M14" s="99">
        <f t="shared" si="6"/>
        <v>-5856.2760774333847</v>
      </c>
      <c r="O14" s="172"/>
      <c r="P14" s="172"/>
    </row>
    <row r="15" spans="2:16">
      <c r="B15" s="28"/>
      <c r="C15" s="129"/>
      <c r="D15" s="129"/>
      <c r="E15" s="132" t="s">
        <v>21</v>
      </c>
      <c r="F15" s="99">
        <f t="shared" ref="F15:G15" si="7">F64+F104+F144+F184+F226+F266+F308+F350+F390+F432+F474+F516+F558+F600+F642+F687+F733+F779+F825</f>
        <v>803160.97</v>
      </c>
      <c r="G15" s="99">
        <f t="shared" si="7"/>
        <v>-18301.859420538018</v>
      </c>
      <c r="H15" s="99">
        <f t="shared" ref="H15:M15" si="8">H64+H104+H144+H184+H226+H266+H308+H350+H390+H432+H474+H516+H558+H600+H642+H687+H733+H779+H825</f>
        <v>782535.1</v>
      </c>
      <c r="I15" s="99">
        <f t="shared" si="8"/>
        <v>821347.11</v>
      </c>
      <c r="J15" s="99">
        <f t="shared" si="8"/>
        <v>18186.139999999985</v>
      </c>
      <c r="K15" s="99">
        <f t="shared" si="8"/>
        <v>-115.71942053803252</v>
      </c>
      <c r="L15" s="99">
        <f t="shared" si="8"/>
        <v>210.33989163286302</v>
      </c>
      <c r="M15" s="99">
        <f t="shared" si="8"/>
        <v>94.62047109482927</v>
      </c>
      <c r="O15" s="172"/>
      <c r="P15" s="172"/>
    </row>
    <row r="16" spans="2:16">
      <c r="B16" s="28"/>
      <c r="C16" s="129"/>
      <c r="D16" s="129"/>
      <c r="E16" s="132" t="s">
        <v>22</v>
      </c>
      <c r="F16" s="99">
        <f t="shared" ref="F16:G16" si="9">F65+F105+F145+F185+F227+F267+F309+F351+F391+F433+F475+F517+F559+F601+F643+F688+F734+F780+F826</f>
        <v>1065508.7900000003</v>
      </c>
      <c r="G16" s="99">
        <f t="shared" si="9"/>
        <v>-24303.07989917367</v>
      </c>
      <c r="H16" s="99">
        <f t="shared" ref="H16:M16" si="10">H65+H105+H145+H185+H227+H267+H309+H351+H391+H433+H475+H517+H559+H601+H643+H688+H734+H780+H826</f>
        <v>1017635.3900000001</v>
      </c>
      <c r="I16" s="99">
        <f t="shared" si="10"/>
        <v>1068107.8600000001</v>
      </c>
      <c r="J16" s="99">
        <f t="shared" si="10"/>
        <v>2599.0699999999651</v>
      </c>
      <c r="K16" s="99">
        <f t="shared" si="10"/>
        <v>-21704.009899173707</v>
      </c>
      <c r="L16" s="99">
        <f t="shared" si="10"/>
        <v>278.99990521329022</v>
      </c>
      <c r="M16" s="99">
        <f t="shared" si="10"/>
        <v>-21425.009993960415</v>
      </c>
      <c r="O16" s="172"/>
      <c r="P16" s="172"/>
    </row>
    <row r="17" spans="2:16">
      <c r="B17" s="28"/>
      <c r="C17" s="129"/>
      <c r="D17" s="129"/>
      <c r="E17" s="132" t="s">
        <v>23</v>
      </c>
      <c r="F17" s="99">
        <f t="shared" ref="F17:G17" si="11">F66+F106+F146+F186+F228+F268+F310+F352+F392+F434+F476+F518+F560+F602+F644+F689+F735+F781+F827</f>
        <v>3462191.9099999997</v>
      </c>
      <c r="G17" s="99">
        <f t="shared" si="11"/>
        <v>-29291.020533819792</v>
      </c>
      <c r="H17" s="99">
        <f t="shared" ref="H17:M17" si="12">H66+H106+H146+H186+H228+H268+H310+H352+H392+H434+H476+H518+H560+H602+H644+H689+H735+H781+H827</f>
        <v>3404946.26</v>
      </c>
      <c r="I17" s="99">
        <f t="shared" si="12"/>
        <v>3573824.09</v>
      </c>
      <c r="J17" s="99">
        <f t="shared" si="12"/>
        <v>111632.18000000008</v>
      </c>
      <c r="K17" s="99">
        <f t="shared" si="12"/>
        <v>82341.159466180281</v>
      </c>
      <c r="L17" s="99">
        <f t="shared" si="12"/>
        <v>2677.0672086349282</v>
      </c>
      <c r="M17" s="99">
        <f t="shared" si="12"/>
        <v>85018.226674815203</v>
      </c>
      <c r="O17" s="172"/>
      <c r="P17" s="172"/>
    </row>
    <row r="18" spans="2:16">
      <c r="B18" s="28"/>
      <c r="C18" s="129"/>
      <c r="D18" s="129"/>
      <c r="E18" s="132" t="s">
        <v>24</v>
      </c>
      <c r="F18" s="99">
        <f t="shared" ref="F18:G18" si="13">F67+F107+F147+F187+F229+F269+F311+F353+F393+F435+F477+F519+F561+F603+F645+F690+F736+F782+F828</f>
        <v>26860.89</v>
      </c>
      <c r="G18" s="99">
        <f t="shared" si="13"/>
        <v>-607.18588975155501</v>
      </c>
      <c r="H18" s="99">
        <f t="shared" ref="H18:M18" si="14">H67+H107+H147+H187+H229+H269+H311+H353+H393+H435+H477+H519+H561+H603+H645+H690+H736+H782+H828</f>
        <v>26425.93</v>
      </c>
      <c r="I18" s="99">
        <f t="shared" si="14"/>
        <v>27736.6</v>
      </c>
      <c r="J18" s="99">
        <f t="shared" si="14"/>
        <v>875.70999999999947</v>
      </c>
      <c r="K18" s="99">
        <f t="shared" si="14"/>
        <v>268.52411024844452</v>
      </c>
      <c r="L18" s="99">
        <f t="shared" si="14"/>
        <v>7.0373996735408006</v>
      </c>
      <c r="M18" s="99">
        <f t="shared" si="14"/>
        <v>275.56150992198531</v>
      </c>
      <c r="O18" s="172"/>
      <c r="P18" s="172"/>
    </row>
    <row r="19" spans="2:16">
      <c r="B19" s="28"/>
      <c r="C19" s="129"/>
      <c r="D19" s="129"/>
      <c r="E19" s="132" t="s">
        <v>25</v>
      </c>
      <c r="F19" s="99">
        <f>F68+F108+F148+F189+F230+F271+F313+F354+F395+F437+F479+F521+F563+F605+F647+F692+F738+F784+F830</f>
        <v>811447.33999999985</v>
      </c>
      <c r="G19" s="99">
        <f t="shared" ref="G19:M19" si="15">G68+G108+G148+G189+G230+G271+G313+G354+G395+G437+G479+G521+G563+G605+G647+G692+G738+G784+G830</f>
        <v>-18455.457636933792</v>
      </c>
      <c r="H19" s="99">
        <f t="shared" si="15"/>
        <v>791670.57</v>
      </c>
      <c r="I19" s="99">
        <f t="shared" si="15"/>
        <v>830935.69</v>
      </c>
      <c r="J19" s="99">
        <f t="shared" si="15"/>
        <v>19488.349999999955</v>
      </c>
      <c r="K19" s="99">
        <f t="shared" si="15"/>
        <v>1032.8923630661679</v>
      </c>
      <c r="L19" s="99">
        <f t="shared" si="15"/>
        <v>212.53461477868899</v>
      </c>
      <c r="M19" s="99">
        <f t="shared" si="15"/>
        <v>1245.426977844857</v>
      </c>
      <c r="O19" s="172"/>
      <c r="P19" s="172"/>
    </row>
    <row r="20" spans="2:16">
      <c r="B20" s="28"/>
      <c r="C20" s="129"/>
      <c r="D20" s="129"/>
      <c r="E20" s="132" t="s">
        <v>26</v>
      </c>
      <c r="F20" s="99">
        <f>F69+F109+F149+F188+F231+F270+F312+F355+F394+F436+F478+F520+F562+F604+F646+F691+F737+F783+F829</f>
        <v>813160.33</v>
      </c>
      <c r="G20" s="99">
        <f t="shared" ref="G20:M20" si="16">G69+G109+G149+G188+G231+G270+G312+G355+G394+G436+G478+G520+G562+G604+G646+G691+G737+G783+G829</f>
        <v>-18382.782204179817</v>
      </c>
      <c r="H20" s="99">
        <f t="shared" si="16"/>
        <v>762757.86</v>
      </c>
      <c r="I20" s="99">
        <f t="shared" si="16"/>
        <v>800588.96999999986</v>
      </c>
      <c r="J20" s="99">
        <f t="shared" si="16"/>
        <v>-12571.360000000022</v>
      </c>
      <c r="K20" s="99">
        <f t="shared" si="16"/>
        <v>-30954.142204179843</v>
      </c>
      <c r="L20" s="99">
        <f t="shared" si="16"/>
        <v>214.86070314260877</v>
      </c>
      <c r="M20" s="99">
        <f t="shared" si="16"/>
        <v>-30739.281501037232</v>
      </c>
      <c r="O20" s="172"/>
      <c r="P20" s="172"/>
    </row>
    <row r="21" spans="2:16">
      <c r="B21" s="28"/>
      <c r="C21" s="129"/>
      <c r="D21" s="129"/>
      <c r="E21" s="132" t="s">
        <v>119</v>
      </c>
      <c r="F21" s="99">
        <f>F190+F272+F314+F396+F438+F480+F522+F564+F606+F648+F693+F739+F785+F831</f>
        <v>55516.61</v>
      </c>
      <c r="G21" s="99">
        <f t="shared" ref="G21:M21" si="17">G190+G272+G314+G396+G438+G480+G522+G564+G606+G648+G693+G739+G785+G831</f>
        <v>-1263.3247517439106</v>
      </c>
      <c r="H21" s="99">
        <f t="shared" si="17"/>
        <v>54185.750000000007</v>
      </c>
      <c r="I21" s="99">
        <f t="shared" si="17"/>
        <v>56873.24</v>
      </c>
      <c r="J21" s="99">
        <f t="shared" si="17"/>
        <v>1356.630000000004</v>
      </c>
      <c r="K21" s="99">
        <f t="shared" si="17"/>
        <v>93.305248256093535</v>
      </c>
      <c r="L21" s="99">
        <f t="shared" si="17"/>
        <v>14.536867465559494</v>
      </c>
      <c r="M21" s="99">
        <f t="shared" si="17"/>
        <v>107.84211572165309</v>
      </c>
      <c r="O21" s="172"/>
      <c r="P21" s="172"/>
    </row>
    <row r="22" spans="2:16">
      <c r="B22" s="28"/>
      <c r="C22" s="129"/>
      <c r="D22" s="129"/>
      <c r="E22" s="132" t="s">
        <v>120</v>
      </c>
      <c r="F22" s="99">
        <f>F191+F273+F315+F397+F439+F481+F523+F565+F607+F649+F694+F740+F786+F832</f>
        <v>14404.61</v>
      </c>
      <c r="G22" s="99">
        <f t="shared" ref="G22:M22" si="18">G191+G273+G315+G397+G439+G481+G523+G565+G607+G649+G694+G740+G786+G832</f>
        <v>-327.66131994864674</v>
      </c>
      <c r="H22" s="99">
        <f t="shared" si="18"/>
        <v>14034.69</v>
      </c>
      <c r="I22" s="99">
        <f t="shared" si="18"/>
        <v>14730.77</v>
      </c>
      <c r="J22" s="99">
        <f t="shared" si="18"/>
        <v>326.159999999999</v>
      </c>
      <c r="K22" s="99">
        <f t="shared" si="18"/>
        <v>-1.5013199486477298</v>
      </c>
      <c r="L22" s="99">
        <f t="shared" si="18"/>
        <v>3.7719716109608066</v>
      </c>
      <c r="M22" s="99">
        <f t="shared" si="18"/>
        <v>2.2706516623130959</v>
      </c>
      <c r="O22" s="172"/>
      <c r="P22" s="172"/>
    </row>
    <row r="23" spans="2:16">
      <c r="B23" s="28"/>
      <c r="C23" s="129"/>
      <c r="D23" s="129"/>
      <c r="E23" s="132" t="s">
        <v>27</v>
      </c>
      <c r="F23" s="99">
        <f>F70+F110+F150+F192+F232+F274+F316+F356+F398+F440+F482+F524+F566+F608+F650+F695+F741+F787+F833</f>
        <v>40061.75</v>
      </c>
      <c r="G23" s="99">
        <f t="shared" ref="G23:M23" si="19">G70+G110+G150+G192+G232+G274+G316+G356+G398+G440+G482+G524+G566+G608+G650+G695+G741+G787+G833</f>
        <v>-914.32140980701945</v>
      </c>
      <c r="H23" s="99">
        <f t="shared" si="19"/>
        <v>40242.730000000003</v>
      </c>
      <c r="I23" s="99">
        <f t="shared" si="19"/>
        <v>42238.680000000008</v>
      </c>
      <c r="J23" s="99">
        <f t="shared" si="19"/>
        <v>2176.9299999999998</v>
      </c>
      <c r="K23" s="99">
        <f t="shared" si="19"/>
        <v>1262.6085901929807</v>
      </c>
      <c r="L23" s="99">
        <f t="shared" si="19"/>
        <v>10.491968718854737</v>
      </c>
      <c r="M23" s="99">
        <f t="shared" si="19"/>
        <v>1273.1005589118354</v>
      </c>
      <c r="O23" s="172"/>
      <c r="P23" s="172"/>
    </row>
    <row r="24" spans="2:16">
      <c r="B24" s="28"/>
      <c r="C24" s="129"/>
      <c r="D24" s="129"/>
      <c r="E24" s="132" t="s">
        <v>28</v>
      </c>
      <c r="F24" s="99">
        <f t="shared" ref="F24:M27" si="20">F71+F111+F151+F193+F233+F275+F317+F357+F399+F441+F483+F525+F567+F609+F651+F696+F742+F788+F834</f>
        <v>42439.01</v>
      </c>
      <c r="G24" s="99">
        <f t="shared" si="20"/>
        <v>-955.82540566442412</v>
      </c>
      <c r="H24" s="99">
        <f t="shared" si="20"/>
        <v>42149.47</v>
      </c>
      <c r="I24" s="99">
        <f t="shared" si="20"/>
        <v>44239.990000000005</v>
      </c>
      <c r="J24" s="99">
        <f t="shared" si="20"/>
        <v>1800.9799999999982</v>
      </c>
      <c r="K24" s="99">
        <f t="shared" si="20"/>
        <v>845.15459433557407</v>
      </c>
      <c r="L24" s="99">
        <f t="shared" si="20"/>
        <v>11.121011566616149</v>
      </c>
      <c r="M24" s="99">
        <f t="shared" si="20"/>
        <v>856.27560590219025</v>
      </c>
      <c r="O24" s="172"/>
      <c r="P24" s="172"/>
    </row>
    <row r="25" spans="2:16">
      <c r="B25" s="28"/>
      <c r="C25" s="129"/>
      <c r="D25" s="129"/>
      <c r="E25" s="132" t="s">
        <v>29</v>
      </c>
      <c r="F25" s="99">
        <f t="shared" si="20"/>
        <v>5444386.0699999994</v>
      </c>
      <c r="G25" s="99">
        <f t="shared" si="20"/>
        <v>-57747.05821756646</v>
      </c>
      <c r="H25" s="99">
        <f t="shared" si="20"/>
        <v>5282540.0999999996</v>
      </c>
      <c r="I25" s="99">
        <f t="shared" si="20"/>
        <v>5544542.4400000004</v>
      </c>
      <c r="J25" s="99">
        <f t="shared" si="20"/>
        <v>100156.3700000005</v>
      </c>
      <c r="K25" s="99">
        <f t="shared" si="20"/>
        <v>42409.311782434052</v>
      </c>
      <c r="L25" s="99">
        <f t="shared" si="20"/>
        <v>3964.6425473440545</v>
      </c>
      <c r="M25" s="99">
        <f t="shared" si="20"/>
        <v>46373.954329778106</v>
      </c>
      <c r="O25" s="172"/>
      <c r="P25" s="172"/>
    </row>
    <row r="26" spans="2:16">
      <c r="B26" s="28"/>
      <c r="C26" s="129"/>
      <c r="D26" s="129"/>
      <c r="E26" s="132" t="s">
        <v>30</v>
      </c>
      <c r="F26" s="99">
        <f t="shared" si="20"/>
        <v>38337260.920000002</v>
      </c>
      <c r="G26" s="99">
        <f t="shared" si="20"/>
        <v>-1136865.432468968</v>
      </c>
      <c r="H26" s="99">
        <f t="shared" si="20"/>
        <v>36623291.789999999</v>
      </c>
      <c r="I26" s="99">
        <f t="shared" si="20"/>
        <v>38439726.279999994</v>
      </c>
      <c r="J26" s="99">
        <f t="shared" si="20"/>
        <v>102465.35999999952</v>
      </c>
      <c r="K26" s="99">
        <f t="shared" si="20"/>
        <v>-1034400.0724689683</v>
      </c>
      <c r="L26" s="99">
        <f t="shared" si="20"/>
        <v>10975.232898613591</v>
      </c>
      <c r="M26" s="99">
        <f t="shared" si="20"/>
        <v>-1023424.8395703548</v>
      </c>
      <c r="O26" s="172"/>
      <c r="P26" s="172"/>
    </row>
    <row r="27" spans="2:16">
      <c r="B27" s="28"/>
      <c r="C27" s="129"/>
      <c r="D27" s="129"/>
      <c r="E27" s="132" t="s">
        <v>31</v>
      </c>
      <c r="F27" s="99">
        <f t="shared" si="20"/>
        <v>4186460.9600000004</v>
      </c>
      <c r="G27" s="99">
        <f t="shared" si="20"/>
        <v>-89255.386934390976</v>
      </c>
      <c r="H27" s="99">
        <f t="shared" si="20"/>
        <v>3897617.75</v>
      </c>
      <c r="I27" s="99">
        <f t="shared" si="20"/>
        <v>4090931.0000000005</v>
      </c>
      <c r="J27" s="99">
        <f t="shared" si="20"/>
        <v>-95529.960000000283</v>
      </c>
      <c r="K27" s="99">
        <f t="shared" si="20"/>
        <v>-184785.34693439119</v>
      </c>
      <c r="L27" s="99">
        <f t="shared" si="20"/>
        <v>544.79480905699018</v>
      </c>
      <c r="M27" s="99">
        <f t="shared" si="20"/>
        <v>-184240.55212533424</v>
      </c>
      <c r="O27" s="172"/>
      <c r="P27" s="172"/>
    </row>
    <row r="28" spans="2:16">
      <c r="B28" s="28"/>
      <c r="C28" s="129"/>
      <c r="D28" s="129"/>
      <c r="E28" s="132" t="s">
        <v>32</v>
      </c>
      <c r="F28" s="99">
        <f t="shared" ref="F28:M28" si="21">F75+F115+F155+F197+F237+F279+F321+F361+F403+F445+F487+F529+F571+F613+F655+F700+F746+F792+F838</f>
        <v>2212006.23</v>
      </c>
      <c r="G28" s="99">
        <f t="shared" si="21"/>
        <v>-7784.8643796595579</v>
      </c>
      <c r="H28" s="99">
        <f t="shared" si="21"/>
        <v>2112586.5299999998</v>
      </c>
      <c r="I28" s="99">
        <f t="shared" si="21"/>
        <v>2217366.1599999997</v>
      </c>
      <c r="J28" s="99">
        <f t="shared" si="21"/>
        <v>5359.9300000000221</v>
      </c>
      <c r="K28" s="99">
        <f t="shared" si="21"/>
        <v>-2424.9343796595349</v>
      </c>
      <c r="L28" s="99">
        <f t="shared" si="21"/>
        <v>2047.7922650792832</v>
      </c>
      <c r="M28" s="99">
        <f t="shared" si="21"/>
        <v>-377.14211458025227</v>
      </c>
      <c r="O28" s="172"/>
      <c r="P28" s="172"/>
    </row>
    <row r="29" spans="2:16">
      <c r="B29" s="28"/>
      <c r="C29" s="129"/>
      <c r="D29" s="129"/>
      <c r="E29" s="132" t="s">
        <v>33</v>
      </c>
      <c r="F29" s="99">
        <f t="shared" ref="F29:M29" si="22">F76+F116+F156+F198+F238+F280+F322+F362+F404+F446+F488+F530+F572+F614+F656+F701+F747+F793+F839</f>
        <v>1789614.2799999998</v>
      </c>
      <c r="G29" s="99">
        <f t="shared" si="22"/>
        <v>-73011.650620103203</v>
      </c>
      <c r="H29" s="99">
        <f t="shared" si="22"/>
        <v>1736238.0400000003</v>
      </c>
      <c r="I29" s="99">
        <f t="shared" si="22"/>
        <v>1822351.6099999999</v>
      </c>
      <c r="J29" s="99">
        <f t="shared" si="22"/>
        <v>32737.329999999947</v>
      </c>
      <c r="K29" s="99">
        <f t="shared" si="22"/>
        <v>-40274.320620103259</v>
      </c>
      <c r="L29" s="99">
        <f t="shared" si="22"/>
        <v>-68.747704291719572</v>
      </c>
      <c r="M29" s="99">
        <f t="shared" si="22"/>
        <v>-40343.068324394975</v>
      </c>
      <c r="O29" s="172"/>
      <c r="P29" s="172"/>
    </row>
    <row r="30" spans="2:16">
      <c r="B30" s="28"/>
      <c r="C30" s="129"/>
      <c r="D30" s="129"/>
      <c r="E30" s="132" t="s">
        <v>34</v>
      </c>
      <c r="F30" s="99">
        <f t="shared" ref="F30:M30" si="23">F77+F117+F157+F199+F239+F281+F323+F363+F405+F447+F489+F531+F573+F615+F657+F702+F748+F794+F840</f>
        <v>6715604.1999999993</v>
      </c>
      <c r="G30" s="99">
        <f t="shared" si="23"/>
        <v>-207766.82829097367</v>
      </c>
      <c r="H30" s="99">
        <f t="shared" si="23"/>
        <v>6707727.4100000001</v>
      </c>
      <c r="I30" s="99">
        <f t="shared" si="23"/>
        <v>7040415.9000000004</v>
      </c>
      <c r="J30" s="99">
        <f t="shared" si="23"/>
        <v>324811.70000000059</v>
      </c>
      <c r="K30" s="99">
        <f t="shared" si="23"/>
        <v>117044.87170902696</v>
      </c>
      <c r="L30" s="99">
        <f t="shared" si="23"/>
        <v>-908.34479764990988</v>
      </c>
      <c r="M30" s="99">
        <f t="shared" si="23"/>
        <v>116136.52691137709</v>
      </c>
      <c r="O30" s="172"/>
      <c r="P30" s="172"/>
    </row>
    <row r="31" spans="2:16">
      <c r="B31" s="28"/>
      <c r="C31" s="129"/>
      <c r="D31" s="129"/>
      <c r="E31" s="132" t="s">
        <v>35</v>
      </c>
      <c r="F31" s="99">
        <f t="shared" ref="F31:M31" si="24">F78+F118+F158+F200+F240+F282+F324+F364+F406+F448+F490+F532+F574+F616+F658+F703+F749+F795+F841</f>
        <v>366092.49</v>
      </c>
      <c r="G31" s="99">
        <f t="shared" si="24"/>
        <v>-15068.659978336356</v>
      </c>
      <c r="H31" s="99">
        <f t="shared" si="24"/>
        <v>363720.75</v>
      </c>
      <c r="I31" s="99">
        <f t="shared" si="24"/>
        <v>381760.5</v>
      </c>
      <c r="J31" s="99">
        <f t="shared" si="24"/>
        <v>15668.010000000035</v>
      </c>
      <c r="K31" s="99">
        <f t="shared" si="24"/>
        <v>599.35002166367701</v>
      </c>
      <c r="L31" s="99">
        <f t="shared" si="24"/>
        <v>-116.88391088156341</v>
      </c>
      <c r="M31" s="99">
        <f t="shared" si="24"/>
        <v>482.46611078211362</v>
      </c>
      <c r="O31" s="172"/>
      <c r="P31" s="172"/>
    </row>
    <row r="32" spans="2:16">
      <c r="B32" s="28"/>
      <c r="C32" s="129"/>
      <c r="D32" s="129"/>
      <c r="E32" s="132" t="s">
        <v>112</v>
      </c>
      <c r="F32" s="99">
        <f>F659+F704+F750+F796+F842</f>
        <v>409.16</v>
      </c>
      <c r="G32" s="99">
        <f t="shared" ref="G32:M32" si="25">G659+G704+G750+G796+G842</f>
        <v>389.98359837767629</v>
      </c>
      <c r="H32" s="99">
        <f t="shared" si="25"/>
        <v>388.52</v>
      </c>
      <c r="I32" s="99">
        <f t="shared" si="25"/>
        <v>407.79</v>
      </c>
      <c r="J32" s="99">
        <f t="shared" si="25"/>
        <v>-1.3700000000000045</v>
      </c>
      <c r="K32" s="99">
        <f t="shared" si="25"/>
        <v>388.61359837767628</v>
      </c>
      <c r="L32" s="99">
        <f t="shared" si="25"/>
        <v>0.55726783018012405</v>
      </c>
      <c r="M32" s="99">
        <f t="shared" si="25"/>
        <v>389.17086620785636</v>
      </c>
      <c r="O32" s="172"/>
      <c r="P32" s="172"/>
    </row>
    <row r="33" spans="2:16">
      <c r="B33" s="28"/>
      <c r="C33" s="129"/>
      <c r="D33" s="129"/>
      <c r="E33" s="132" t="s">
        <v>113</v>
      </c>
      <c r="F33" s="99">
        <f t="shared" ref="F33:M34" si="26">F660+F705+F751+F797+F843</f>
        <v>13.62</v>
      </c>
      <c r="G33" s="99">
        <f t="shared" si="26"/>
        <v>11.123488313523284</v>
      </c>
      <c r="H33" s="99">
        <f t="shared" si="26"/>
        <v>13.66</v>
      </c>
      <c r="I33" s="99">
        <f t="shared" si="26"/>
        <v>14.34</v>
      </c>
      <c r="J33" s="99">
        <f t="shared" si="26"/>
        <v>0.72000000000000064</v>
      </c>
      <c r="K33" s="99">
        <f t="shared" si="26"/>
        <v>11.843488313523284</v>
      </c>
      <c r="L33" s="99">
        <f t="shared" si="26"/>
        <v>1.7721238878037063E-2</v>
      </c>
      <c r="M33" s="99">
        <f t="shared" si="26"/>
        <v>11.861209552401322</v>
      </c>
      <c r="O33" s="172"/>
      <c r="P33" s="172"/>
    </row>
    <row r="34" spans="2:16">
      <c r="B34" s="28"/>
      <c r="C34" s="129"/>
      <c r="D34" s="129"/>
      <c r="E34" s="132" t="s">
        <v>121</v>
      </c>
      <c r="F34" s="99">
        <f t="shared" si="26"/>
        <v>27839.17</v>
      </c>
      <c r="G34" s="99">
        <f t="shared" si="26"/>
        <v>-4602.0785112666617</v>
      </c>
      <c r="H34" s="99">
        <f t="shared" si="26"/>
        <v>26038.68</v>
      </c>
      <c r="I34" s="99">
        <f t="shared" si="26"/>
        <v>27330.14</v>
      </c>
      <c r="J34" s="99">
        <f t="shared" si="26"/>
        <v>-509.02999999999884</v>
      </c>
      <c r="K34" s="99">
        <f t="shared" si="26"/>
        <v>-5111.1085112666606</v>
      </c>
      <c r="L34" s="99">
        <f t="shared" si="26"/>
        <v>-14.213262873164958</v>
      </c>
      <c r="M34" s="99">
        <f t="shared" si="26"/>
        <v>-5125.3217741398257</v>
      </c>
      <c r="O34" s="172"/>
      <c r="P34" s="172"/>
    </row>
    <row r="35" spans="2:16" s="172" customFormat="1">
      <c r="B35" s="28"/>
      <c r="C35" s="129"/>
      <c r="D35" s="129"/>
      <c r="E35" s="132" t="s">
        <v>122</v>
      </c>
      <c r="F35" s="99">
        <f>F707+F753+F799+F845</f>
        <v>0</v>
      </c>
      <c r="G35" s="99">
        <f t="shared" ref="G35:M35" si="27">G707+G753+G799+G845</f>
        <v>129.26896594193292</v>
      </c>
      <c r="H35" s="99">
        <f t="shared" si="27"/>
        <v>0</v>
      </c>
      <c r="I35" s="99">
        <f t="shared" si="27"/>
        <v>0</v>
      </c>
      <c r="J35" s="99">
        <f t="shared" si="27"/>
        <v>0</v>
      </c>
      <c r="K35" s="99">
        <f t="shared" si="27"/>
        <v>129.26896594193292</v>
      </c>
      <c r="L35" s="99">
        <f t="shared" si="27"/>
        <v>5.7404919674977885E-2</v>
      </c>
      <c r="M35" s="99">
        <f t="shared" si="27"/>
        <v>129.3263708616079</v>
      </c>
      <c r="N35" s="86"/>
    </row>
    <row r="36" spans="2:16" s="172" customFormat="1">
      <c r="B36" s="28"/>
      <c r="C36" s="129"/>
      <c r="D36" s="129"/>
      <c r="E36" s="132" t="s">
        <v>271</v>
      </c>
      <c r="F36" s="99">
        <f t="shared" ref="F36:M36" si="28">F846</f>
        <v>0</v>
      </c>
      <c r="G36" s="99">
        <f t="shared" si="28"/>
        <v>0</v>
      </c>
      <c r="H36" s="99">
        <f t="shared" si="28"/>
        <v>0</v>
      </c>
      <c r="I36" s="99">
        <f t="shared" si="28"/>
        <v>0</v>
      </c>
      <c r="J36" s="99">
        <f t="shared" si="28"/>
        <v>0</v>
      </c>
      <c r="K36" s="99">
        <f t="shared" si="28"/>
        <v>0</v>
      </c>
      <c r="L36" s="99">
        <f t="shared" si="28"/>
        <v>0</v>
      </c>
      <c r="M36" s="99">
        <f t="shared" si="28"/>
        <v>0</v>
      </c>
      <c r="N36" s="86"/>
    </row>
    <row r="37" spans="2:16" s="172" customFormat="1">
      <c r="B37" s="28"/>
      <c r="C37" s="129"/>
      <c r="D37" s="129"/>
      <c r="E37" s="132" t="s">
        <v>273</v>
      </c>
      <c r="F37" s="99">
        <f t="shared" ref="F37:G42" si="29">F847</f>
        <v>0</v>
      </c>
      <c r="G37" s="99">
        <f t="shared" si="29"/>
        <v>0</v>
      </c>
      <c r="H37" s="99">
        <f t="shared" ref="H37:L37" si="30">H847</f>
        <v>0</v>
      </c>
      <c r="I37" s="99">
        <f t="shared" si="30"/>
        <v>0</v>
      </c>
      <c r="J37" s="99">
        <f t="shared" si="30"/>
        <v>0</v>
      </c>
      <c r="K37" s="99">
        <f t="shared" si="30"/>
        <v>0</v>
      </c>
      <c r="L37" s="99">
        <f t="shared" si="30"/>
        <v>0</v>
      </c>
      <c r="M37" s="99">
        <f t="shared" ref="M37" si="31">M847</f>
        <v>0</v>
      </c>
      <c r="N37" s="86"/>
    </row>
    <row r="38" spans="2:16" s="172" customFormat="1">
      <c r="B38" s="28"/>
      <c r="C38" s="129"/>
      <c r="D38" s="129"/>
      <c r="E38" s="132" t="s">
        <v>277</v>
      </c>
      <c r="F38" s="99">
        <f t="shared" si="29"/>
        <v>0</v>
      </c>
      <c r="G38" s="99">
        <f t="shared" si="29"/>
        <v>0</v>
      </c>
      <c r="H38" s="99">
        <f t="shared" ref="H38:L38" si="32">H848</f>
        <v>0</v>
      </c>
      <c r="I38" s="99">
        <f t="shared" si="32"/>
        <v>0</v>
      </c>
      <c r="J38" s="99">
        <f t="shared" si="32"/>
        <v>0</v>
      </c>
      <c r="K38" s="99">
        <f t="shared" si="32"/>
        <v>0</v>
      </c>
      <c r="L38" s="99">
        <f t="shared" si="32"/>
        <v>0</v>
      </c>
      <c r="M38" s="99">
        <f t="shared" ref="M38" si="33">M848</f>
        <v>0</v>
      </c>
      <c r="N38" s="86"/>
    </row>
    <row r="39" spans="2:16" s="172" customFormat="1">
      <c r="B39" s="28"/>
      <c r="C39" s="129"/>
      <c r="D39" s="129"/>
      <c r="E39" s="132" t="s">
        <v>279</v>
      </c>
      <c r="F39" s="99">
        <f t="shared" si="29"/>
        <v>0</v>
      </c>
      <c r="G39" s="99">
        <f t="shared" si="29"/>
        <v>0</v>
      </c>
      <c r="H39" s="99">
        <f t="shared" ref="H39:L39" si="34">H849</f>
        <v>0</v>
      </c>
      <c r="I39" s="99">
        <f t="shared" si="34"/>
        <v>0</v>
      </c>
      <c r="J39" s="99">
        <f t="shared" si="34"/>
        <v>0</v>
      </c>
      <c r="K39" s="99">
        <f t="shared" si="34"/>
        <v>0</v>
      </c>
      <c r="L39" s="99">
        <f t="shared" si="34"/>
        <v>0</v>
      </c>
      <c r="M39" s="99">
        <f t="shared" ref="M39" si="35">M849</f>
        <v>0</v>
      </c>
      <c r="N39" s="86"/>
    </row>
    <row r="40" spans="2:16" s="172" customFormat="1">
      <c r="B40" s="28"/>
      <c r="C40" s="129"/>
      <c r="D40" s="129"/>
      <c r="E40" s="132" t="s">
        <v>274</v>
      </c>
      <c r="F40" s="99">
        <f t="shared" si="29"/>
        <v>0</v>
      </c>
      <c r="G40" s="99">
        <f t="shared" si="29"/>
        <v>0</v>
      </c>
      <c r="H40" s="99">
        <f t="shared" ref="H40:L40" si="36">H850</f>
        <v>0</v>
      </c>
      <c r="I40" s="99">
        <f t="shared" si="36"/>
        <v>0</v>
      </c>
      <c r="J40" s="99">
        <f t="shared" si="36"/>
        <v>0</v>
      </c>
      <c r="K40" s="99">
        <f t="shared" si="36"/>
        <v>0</v>
      </c>
      <c r="L40" s="99">
        <f t="shared" si="36"/>
        <v>0</v>
      </c>
      <c r="M40" s="99">
        <f t="shared" ref="M40" si="37">M850</f>
        <v>0</v>
      </c>
      <c r="N40" s="86"/>
    </row>
    <row r="41" spans="2:16" s="172" customFormat="1">
      <c r="B41" s="28"/>
      <c r="C41" s="129"/>
      <c r="D41" s="129"/>
      <c r="E41" s="132" t="s">
        <v>278</v>
      </c>
      <c r="F41" s="99">
        <f t="shared" si="29"/>
        <v>0</v>
      </c>
      <c r="G41" s="99">
        <f t="shared" si="29"/>
        <v>0</v>
      </c>
      <c r="H41" s="99">
        <f t="shared" ref="H41:L41" si="38">H851</f>
        <v>0</v>
      </c>
      <c r="I41" s="99">
        <f t="shared" si="38"/>
        <v>0</v>
      </c>
      <c r="J41" s="99">
        <f t="shared" si="38"/>
        <v>0</v>
      </c>
      <c r="K41" s="99">
        <f t="shared" si="38"/>
        <v>0</v>
      </c>
      <c r="L41" s="99">
        <f t="shared" si="38"/>
        <v>0</v>
      </c>
      <c r="M41" s="99">
        <f t="shared" ref="M41" si="39">M851</f>
        <v>0</v>
      </c>
      <c r="N41" s="86"/>
    </row>
    <row r="42" spans="2:16" s="172" customFormat="1">
      <c r="B42" s="28"/>
      <c r="C42" s="129"/>
      <c r="D42" s="129"/>
      <c r="E42" s="132" t="s">
        <v>284</v>
      </c>
      <c r="F42" s="583">
        <f t="shared" si="29"/>
        <v>0</v>
      </c>
      <c r="G42" s="99">
        <f t="shared" si="29"/>
        <v>0</v>
      </c>
      <c r="H42" s="99">
        <f t="shared" ref="H42:L42" si="40">H852</f>
        <v>0</v>
      </c>
      <c r="I42" s="99">
        <f t="shared" si="40"/>
        <v>0</v>
      </c>
      <c r="J42" s="99">
        <f t="shared" si="40"/>
        <v>0</v>
      </c>
      <c r="K42" s="99">
        <f t="shared" si="40"/>
        <v>0</v>
      </c>
      <c r="L42" s="99">
        <f t="shared" si="40"/>
        <v>0</v>
      </c>
      <c r="M42" s="99">
        <f t="shared" ref="M42" si="41">M852</f>
        <v>0</v>
      </c>
      <c r="N42" s="86"/>
    </row>
    <row r="43" spans="2:16">
      <c r="B43" s="124"/>
      <c r="C43" s="125"/>
      <c r="D43" s="125"/>
      <c r="E43" s="120"/>
      <c r="F43" s="165">
        <f t="shared" ref="F43:M43" si="42">SUM(F8:F42)</f>
        <v>69555635.560000002</v>
      </c>
      <c r="G43" s="165">
        <f t="shared" si="42"/>
        <v>-1781768.7635074563</v>
      </c>
      <c r="H43" s="165">
        <f t="shared" si="42"/>
        <v>66997013.170000002</v>
      </c>
      <c r="I43" s="165">
        <f t="shared" si="42"/>
        <v>70319917.260000005</v>
      </c>
      <c r="J43" s="165">
        <f t="shared" si="42"/>
        <v>764281.7000000003</v>
      </c>
      <c r="K43" s="165">
        <f t="shared" si="42"/>
        <v>-1017487.0635074561</v>
      </c>
      <c r="L43" s="165">
        <f t="shared" si="42"/>
        <v>20940.090011626398</v>
      </c>
      <c r="M43" s="596">
        <f t="shared" si="42"/>
        <v>-996546.97349582962</v>
      </c>
      <c r="O43" s="21"/>
      <c r="P43" s="91"/>
    </row>
    <row r="44" spans="2:16">
      <c r="D44" s="172"/>
      <c r="E44" s="172"/>
      <c r="F44" s="172"/>
      <c r="G44" s="172"/>
      <c r="H44" s="172"/>
      <c r="I44" s="172"/>
      <c r="J44" s="172"/>
      <c r="K44" s="172"/>
      <c r="L44" s="172"/>
      <c r="M44" s="172"/>
      <c r="N44" s="172"/>
    </row>
    <row r="45" spans="2:16">
      <c r="B45" s="82"/>
      <c r="C45" s="82"/>
      <c r="D45" s="82"/>
      <c r="E45" s="82"/>
      <c r="F45" s="458"/>
      <c r="G45" s="458"/>
      <c r="H45" s="458"/>
      <c r="I45" s="458"/>
      <c r="J45" s="458"/>
      <c r="K45" s="458"/>
      <c r="L45" s="458"/>
      <c r="M45" s="458"/>
    </row>
    <row r="46" spans="2:16">
      <c r="M46" s="21"/>
    </row>
    <row r="47" spans="2:16" ht="15.75" customHeight="1">
      <c r="B47" s="72" t="s">
        <v>0</v>
      </c>
      <c r="C47" s="641" t="s">
        <v>1</v>
      </c>
      <c r="D47" s="665"/>
      <c r="E47" s="665"/>
      <c r="F47" s="665"/>
      <c r="G47" s="665"/>
      <c r="H47" s="666"/>
      <c r="I47" s="1"/>
    </row>
    <row r="48" spans="2:16" ht="15.75" customHeight="1">
      <c r="B48" s="70" t="s">
        <v>2</v>
      </c>
      <c r="C48" s="646" t="s">
        <v>3</v>
      </c>
      <c r="D48" s="668"/>
      <c r="E48" s="668"/>
      <c r="F48" s="668"/>
      <c r="G48" s="668"/>
      <c r="H48" s="669"/>
      <c r="I48" s="1"/>
    </row>
    <row r="49" spans="1:14" ht="15.75" customHeight="1">
      <c r="A49" s="172"/>
      <c r="B49" s="70" t="s">
        <v>4</v>
      </c>
      <c r="C49" s="646" t="s">
        <v>5</v>
      </c>
      <c r="D49" s="668"/>
      <c r="E49" s="668"/>
      <c r="F49" s="668"/>
      <c r="G49" s="668"/>
      <c r="H49" s="669"/>
      <c r="I49" s="1"/>
    </row>
    <row r="50" spans="1:14" ht="15.75" customHeight="1">
      <c r="A50" s="172"/>
      <c r="B50" s="71" t="s">
        <v>6</v>
      </c>
      <c r="C50" s="676" t="s">
        <v>7</v>
      </c>
      <c r="D50" s="662"/>
      <c r="E50" s="662"/>
      <c r="F50" s="662"/>
      <c r="G50" s="662"/>
      <c r="H50" s="663"/>
      <c r="I50" s="1"/>
    </row>
    <row r="51" spans="1:14">
      <c r="A51" s="172"/>
      <c r="B51" s="76"/>
      <c r="C51" s="76"/>
      <c r="D51" s="76"/>
      <c r="E51" s="76"/>
      <c r="F51" s="76"/>
      <c r="J51" s="105" t="s">
        <v>163</v>
      </c>
      <c r="K51" s="3" t="s">
        <v>42</v>
      </c>
      <c r="M51" s="3" t="s">
        <v>56</v>
      </c>
    </row>
    <row r="52" spans="1:14">
      <c r="A52" s="172"/>
      <c r="B52" s="76"/>
      <c r="C52" s="76"/>
      <c r="D52" s="76"/>
      <c r="E52" s="76"/>
      <c r="F52" s="76"/>
      <c r="G52" s="3" t="s">
        <v>39</v>
      </c>
      <c r="H52" s="134" t="s">
        <v>40</v>
      </c>
      <c r="I52" s="98" t="s">
        <v>41</v>
      </c>
      <c r="J52" s="106" t="s">
        <v>164</v>
      </c>
      <c r="K52" s="4" t="s">
        <v>165</v>
      </c>
      <c r="L52" s="4" t="s">
        <v>55</v>
      </c>
      <c r="M52" s="4" t="s">
        <v>166</v>
      </c>
    </row>
    <row r="53" spans="1:14">
      <c r="A53" s="172"/>
      <c r="B53" s="76"/>
      <c r="C53" s="76"/>
      <c r="D53" s="76"/>
      <c r="E53" s="76"/>
      <c r="F53" s="76"/>
      <c r="G53" s="5"/>
      <c r="H53" s="658" t="s">
        <v>43</v>
      </c>
      <c r="I53" s="659"/>
      <c r="J53" s="660"/>
      <c r="K53" s="6" t="s">
        <v>44</v>
      </c>
      <c r="L53" s="5"/>
      <c r="M53" s="6" t="s">
        <v>45</v>
      </c>
    </row>
    <row r="54" spans="1:14">
      <c r="A54" s="172"/>
      <c r="B54" s="77"/>
      <c r="C54" s="7">
        <v>0</v>
      </c>
      <c r="D54" s="7">
        <v>1</v>
      </c>
      <c r="E54" s="7"/>
      <c r="F54" s="92" t="s">
        <v>162</v>
      </c>
      <c r="G54" s="8" t="s">
        <v>46</v>
      </c>
      <c r="H54" s="135"/>
      <c r="I54" s="5"/>
      <c r="J54" s="107" t="s">
        <v>47</v>
      </c>
      <c r="K54" s="8" t="s">
        <v>48</v>
      </c>
      <c r="L54" s="9"/>
      <c r="M54" s="8" t="s">
        <v>49</v>
      </c>
    </row>
    <row r="55" spans="1:14" ht="15.75" customHeight="1">
      <c r="A55" s="172"/>
      <c r="B55" s="10"/>
      <c r="C55" s="69" t="s">
        <v>9</v>
      </c>
      <c r="D55" s="69" t="s">
        <v>10</v>
      </c>
      <c r="E55" s="69" t="s">
        <v>11</v>
      </c>
      <c r="F55" s="93" t="s">
        <v>8</v>
      </c>
      <c r="G55" s="11" t="s">
        <v>50</v>
      </c>
      <c r="H55" s="136" t="s">
        <v>51</v>
      </c>
      <c r="I55" s="12" t="s">
        <v>159</v>
      </c>
      <c r="J55" s="108" t="s">
        <v>50</v>
      </c>
      <c r="K55" s="12" t="s">
        <v>50</v>
      </c>
      <c r="L55" s="12" t="s">
        <v>52</v>
      </c>
      <c r="M55" s="12" t="s">
        <v>53</v>
      </c>
    </row>
    <row r="56" spans="1:14" ht="31.5">
      <c r="A56" s="172"/>
      <c r="B56" s="13" t="s">
        <v>13</v>
      </c>
      <c r="C56" s="14" t="s">
        <v>14</v>
      </c>
      <c r="D56" s="14" t="s">
        <v>14</v>
      </c>
      <c r="E56" s="15" t="s">
        <v>14</v>
      </c>
      <c r="F56" s="94" t="s">
        <v>15</v>
      </c>
      <c r="G56" s="16" t="s">
        <v>54</v>
      </c>
      <c r="H56" s="137"/>
      <c r="I56" s="17"/>
      <c r="J56" s="109" t="s">
        <v>54</v>
      </c>
      <c r="K56" s="17"/>
      <c r="L56" s="17"/>
      <c r="M56" s="16" t="s">
        <v>54</v>
      </c>
    </row>
    <row r="57" spans="1:14" s="185" customFormat="1">
      <c r="B57" s="18" t="s">
        <v>16</v>
      </c>
      <c r="C57" s="222">
        <v>0</v>
      </c>
      <c r="D57" s="225">
        <v>0</v>
      </c>
      <c r="E57" s="227">
        <f>C57+D57</f>
        <v>0</v>
      </c>
      <c r="F57" s="226">
        <f>ROUND(+E57*F$81,2)</f>
        <v>0</v>
      </c>
      <c r="G57" s="180">
        <f>(F$81-F$82)*E57</f>
        <v>0</v>
      </c>
      <c r="H57" s="635">
        <f>ROUND(F57*'Actual Load'!$B$8/'Zonal Load'!$N$8,2)</f>
        <v>0</v>
      </c>
      <c r="I57" s="180">
        <f t="shared" ref="I57:I78" si="43">ROUND((H57*$H$912)/$H$910,2)</f>
        <v>0</v>
      </c>
      <c r="J57" s="180">
        <f t="shared" ref="J57:J72" si="44">I57-F57</f>
        <v>0</v>
      </c>
      <c r="K57" s="180">
        <f t="shared" ref="K57:K78" si="45">+G57+J57</f>
        <v>0</v>
      </c>
      <c r="L57" s="181">
        <f>E57*'Interest Over Collect'!$J$5</f>
        <v>0</v>
      </c>
      <c r="M57" s="180">
        <f t="shared" ref="M57:M64" si="46">+K57+L57</f>
        <v>0</v>
      </c>
      <c r="N57" s="86"/>
    </row>
    <row r="58" spans="1:14" s="185" customFormat="1">
      <c r="B58" s="23" t="s">
        <v>17</v>
      </c>
      <c r="C58" s="222">
        <v>0</v>
      </c>
      <c r="D58" s="225">
        <v>0</v>
      </c>
      <c r="E58" s="223">
        <f>C58+D58</f>
        <v>0</v>
      </c>
      <c r="F58" s="224">
        <f>ROUND(+E58*F$81,2)</f>
        <v>0</v>
      </c>
      <c r="G58" s="180">
        <f>(F$81-F$82)*E58</f>
        <v>0</v>
      </c>
      <c r="H58" s="635">
        <f>ROUND(F58*'Actual Load'!$B$14/'Zonal Load'!$N$14,2)</f>
        <v>0</v>
      </c>
      <c r="I58" s="180">
        <f t="shared" si="43"/>
        <v>0</v>
      </c>
      <c r="J58" s="180">
        <f t="shared" si="44"/>
        <v>0</v>
      </c>
      <c r="K58" s="180">
        <f t="shared" si="45"/>
        <v>0</v>
      </c>
      <c r="L58" s="181">
        <f>E58*'Interest Over Collect'!$J$5</f>
        <v>0</v>
      </c>
      <c r="M58" s="180">
        <f t="shared" si="46"/>
        <v>0</v>
      </c>
      <c r="N58" s="86"/>
    </row>
    <row r="59" spans="1:14" s="185" customFormat="1">
      <c r="B59" s="23" t="s">
        <v>201</v>
      </c>
      <c r="C59" s="222">
        <f>0%*0.421</f>
        <v>0</v>
      </c>
      <c r="D59" s="225">
        <f>0%*0.421</f>
        <v>0</v>
      </c>
      <c r="E59" s="223">
        <f t="shared" ref="E59:E78" si="47">C59+D59</f>
        <v>0</v>
      </c>
      <c r="F59" s="224">
        <f t="shared" ref="F59:F78" si="48">ROUND(+E59*F$81,2)</f>
        <v>0</v>
      </c>
      <c r="G59" s="180">
        <f t="shared" ref="G59:G78" si="49">(F$81-F$82)*E59</f>
        <v>0</v>
      </c>
      <c r="H59" s="635">
        <f>ROUND(F59*'Actual Load'!$B$9/'Zonal Load'!$N$9,2)</f>
        <v>0</v>
      </c>
      <c r="I59" s="180">
        <f t="shared" si="43"/>
        <v>0</v>
      </c>
      <c r="J59" s="180">
        <f t="shared" si="44"/>
        <v>0</v>
      </c>
      <c r="K59" s="180">
        <f t="shared" si="45"/>
        <v>0</v>
      </c>
      <c r="L59" s="181">
        <f>E59*'Interest Over Collect'!$J$5</f>
        <v>0</v>
      </c>
      <c r="M59" s="180">
        <f t="shared" si="46"/>
        <v>0</v>
      </c>
      <c r="N59" s="86"/>
    </row>
    <row r="60" spans="1:14" s="185" customFormat="1">
      <c r="B60" s="132" t="s">
        <v>260</v>
      </c>
      <c r="C60" s="222">
        <f>0%*0.579</f>
        <v>0</v>
      </c>
      <c r="D60" s="225">
        <f>0%*0.579</f>
        <v>0</v>
      </c>
      <c r="E60" s="223">
        <f>C60+D60</f>
        <v>0</v>
      </c>
      <c r="F60" s="224">
        <f t="shared" si="48"/>
        <v>0</v>
      </c>
      <c r="G60" s="180">
        <f>(F$81-F$82)*E60</f>
        <v>0</v>
      </c>
      <c r="H60" s="635">
        <f>ROUND(F60*'Actual Load'!$B$10/'Zonal Load'!$N$10,2)</f>
        <v>0</v>
      </c>
      <c r="I60" s="180">
        <f t="shared" si="43"/>
        <v>0</v>
      </c>
      <c r="J60" s="180">
        <f>I60-F60</f>
        <v>0</v>
      </c>
      <c r="K60" s="180">
        <f>+G60+J60</f>
        <v>0</v>
      </c>
      <c r="L60" s="181">
        <f>E60*'Interest Over Collect'!$J$5</f>
        <v>0</v>
      </c>
      <c r="M60" s="180">
        <f>+K60+L60</f>
        <v>0</v>
      </c>
      <c r="N60" s="86"/>
    </row>
    <row r="61" spans="1:14" s="185" customFormat="1">
      <c r="B61" s="23" t="s">
        <v>18</v>
      </c>
      <c r="C61" s="222">
        <v>0</v>
      </c>
      <c r="D61" s="225">
        <v>0</v>
      </c>
      <c r="E61" s="223">
        <f t="shared" si="47"/>
        <v>0</v>
      </c>
      <c r="F61" s="224">
        <f t="shared" si="48"/>
        <v>0</v>
      </c>
      <c r="G61" s="180">
        <f t="shared" si="49"/>
        <v>0</v>
      </c>
      <c r="H61" s="635">
        <f>ROUND(F61*'Actual Load'!$B$26/'Zonal Load'!$N$26,2)</f>
        <v>0</v>
      </c>
      <c r="I61" s="180">
        <f t="shared" si="43"/>
        <v>0</v>
      </c>
      <c r="J61" s="180">
        <f t="shared" si="44"/>
        <v>0</v>
      </c>
      <c r="K61" s="180">
        <f t="shared" si="45"/>
        <v>0</v>
      </c>
      <c r="L61" s="181">
        <f>E61*'Interest Over Collect'!$J$5</f>
        <v>0</v>
      </c>
      <c r="M61" s="180">
        <f t="shared" si="46"/>
        <v>0</v>
      </c>
      <c r="N61" s="86"/>
    </row>
    <row r="62" spans="1:14" s="185" customFormat="1">
      <c r="B62" s="23" t="s">
        <v>19</v>
      </c>
      <c r="C62" s="222">
        <v>0</v>
      </c>
      <c r="D62" s="225">
        <v>0</v>
      </c>
      <c r="E62" s="223">
        <f t="shared" si="47"/>
        <v>0</v>
      </c>
      <c r="F62" s="224">
        <f t="shared" si="48"/>
        <v>0</v>
      </c>
      <c r="G62" s="180">
        <f t="shared" si="49"/>
        <v>0</v>
      </c>
      <c r="H62" s="635">
        <f>ROUND(F62*'Actual Load'!$B$16/'Zonal Load'!$N$16,2)</f>
        <v>0</v>
      </c>
      <c r="I62" s="180">
        <f t="shared" si="43"/>
        <v>0</v>
      </c>
      <c r="J62" s="180">
        <f t="shared" si="44"/>
        <v>0</v>
      </c>
      <c r="K62" s="180">
        <f t="shared" si="45"/>
        <v>0</v>
      </c>
      <c r="L62" s="181">
        <f>E62*'Interest Over Collect'!$J$5</f>
        <v>0</v>
      </c>
      <c r="M62" s="180">
        <f t="shared" si="46"/>
        <v>0</v>
      </c>
      <c r="N62" s="86"/>
    </row>
    <row r="63" spans="1:14" s="185" customFormat="1">
      <c r="B63" s="23" t="s">
        <v>20</v>
      </c>
      <c r="C63" s="222">
        <v>0</v>
      </c>
      <c r="D63" s="225">
        <v>0</v>
      </c>
      <c r="E63" s="223">
        <f t="shared" si="47"/>
        <v>0</v>
      </c>
      <c r="F63" s="224">
        <f t="shared" si="48"/>
        <v>0</v>
      </c>
      <c r="G63" s="180">
        <f t="shared" si="49"/>
        <v>0</v>
      </c>
      <c r="H63" s="635">
        <f>ROUND(F63*'Actual Load'!$B$22/'Zonal Load'!$N$22,2)</f>
        <v>0</v>
      </c>
      <c r="I63" s="180">
        <f t="shared" si="43"/>
        <v>0</v>
      </c>
      <c r="J63" s="180">
        <f t="shared" si="44"/>
        <v>0</v>
      </c>
      <c r="K63" s="180">
        <f t="shared" si="45"/>
        <v>0</v>
      </c>
      <c r="L63" s="181">
        <f>E63*'Interest Over Collect'!$J$5</f>
        <v>0</v>
      </c>
      <c r="M63" s="180">
        <f t="shared" si="46"/>
        <v>0</v>
      </c>
      <c r="N63" s="86"/>
    </row>
    <row r="64" spans="1:14" s="185" customFormat="1">
      <c r="B64" s="23" t="s">
        <v>21</v>
      </c>
      <c r="C64" s="222">
        <v>0</v>
      </c>
      <c r="D64" s="225">
        <v>0</v>
      </c>
      <c r="E64" s="223">
        <f t="shared" si="47"/>
        <v>0</v>
      </c>
      <c r="F64" s="224">
        <f t="shared" si="48"/>
        <v>0</v>
      </c>
      <c r="G64" s="180">
        <f t="shared" si="49"/>
        <v>0</v>
      </c>
      <c r="H64" s="635">
        <f>ROUND(F64*'Actual Load'!$B$17/'Zonal Load'!$N$17,2)</f>
        <v>0</v>
      </c>
      <c r="I64" s="180">
        <f t="shared" si="43"/>
        <v>0</v>
      </c>
      <c r="J64" s="180">
        <f t="shared" si="44"/>
        <v>0</v>
      </c>
      <c r="K64" s="180">
        <f t="shared" si="45"/>
        <v>0</v>
      </c>
      <c r="L64" s="181">
        <f>E64*'Interest Over Collect'!$J$5</f>
        <v>0</v>
      </c>
      <c r="M64" s="180">
        <f t="shared" si="46"/>
        <v>0</v>
      </c>
      <c r="N64" s="86"/>
    </row>
    <row r="65" spans="1:14" s="185" customFormat="1">
      <c r="B65" s="23" t="s">
        <v>22</v>
      </c>
      <c r="C65" s="222">
        <v>0</v>
      </c>
      <c r="D65" s="225">
        <v>0</v>
      </c>
      <c r="E65" s="223">
        <f t="shared" si="47"/>
        <v>0</v>
      </c>
      <c r="F65" s="224">
        <f t="shared" si="48"/>
        <v>0</v>
      </c>
      <c r="G65" s="180">
        <f t="shared" si="49"/>
        <v>0</v>
      </c>
      <c r="H65" s="635">
        <f>ROUND(F65*'Actual Load'!$B$15/'Zonal Load'!$N$15,2)</f>
        <v>0</v>
      </c>
      <c r="I65" s="180">
        <f t="shared" si="43"/>
        <v>0</v>
      </c>
      <c r="J65" s="180">
        <f t="shared" si="44"/>
        <v>0</v>
      </c>
      <c r="K65" s="180">
        <f t="shared" si="45"/>
        <v>0</v>
      </c>
      <c r="L65" s="181">
        <f>E65*'Interest Over Collect'!$J$5</f>
        <v>0</v>
      </c>
      <c r="M65" s="180">
        <f>+K65+L65</f>
        <v>0</v>
      </c>
      <c r="N65" s="86"/>
    </row>
    <row r="66" spans="1:14" s="185" customFormat="1">
      <c r="B66" s="23" t="s">
        <v>23</v>
      </c>
      <c r="C66" s="222">
        <v>0</v>
      </c>
      <c r="D66" s="225">
        <v>0</v>
      </c>
      <c r="E66" s="223">
        <f t="shared" si="47"/>
        <v>0</v>
      </c>
      <c r="F66" s="224">
        <f t="shared" si="48"/>
        <v>0</v>
      </c>
      <c r="G66" s="180">
        <f t="shared" si="49"/>
        <v>0</v>
      </c>
      <c r="H66" s="635">
        <f>ROUND(F66*'Actual Load'!$B$4/'Zonal Load'!$N$4,2)</f>
        <v>0</v>
      </c>
      <c r="I66" s="180">
        <f t="shared" si="43"/>
        <v>0</v>
      </c>
      <c r="J66" s="180">
        <f t="shared" si="44"/>
        <v>0</v>
      </c>
      <c r="K66" s="180">
        <f t="shared" si="45"/>
        <v>0</v>
      </c>
      <c r="L66" s="181">
        <f>E66*'Interest Over Collect'!$J$5</f>
        <v>0</v>
      </c>
      <c r="M66" s="180">
        <f t="shared" ref="M66:M78" si="50">+K66+L66</f>
        <v>0</v>
      </c>
      <c r="N66" s="86"/>
    </row>
    <row r="67" spans="1:14" s="185" customFormat="1">
      <c r="B67" s="23" t="s">
        <v>24</v>
      </c>
      <c r="C67" s="222">
        <v>0</v>
      </c>
      <c r="D67" s="225">
        <v>0</v>
      </c>
      <c r="E67" s="223">
        <f t="shared" si="47"/>
        <v>0</v>
      </c>
      <c r="F67" s="224">
        <f t="shared" si="48"/>
        <v>0</v>
      </c>
      <c r="G67" s="180">
        <f t="shared" si="49"/>
        <v>0</v>
      </c>
      <c r="H67" s="635">
        <f>ROUND(F67*'Actual Load'!$B$11/'Zonal Load'!$N$11,2)</f>
        <v>0</v>
      </c>
      <c r="I67" s="180">
        <f t="shared" si="43"/>
        <v>0</v>
      </c>
      <c r="J67" s="180">
        <f t="shared" si="44"/>
        <v>0</v>
      </c>
      <c r="K67" s="180">
        <f t="shared" si="45"/>
        <v>0</v>
      </c>
      <c r="L67" s="181">
        <f>E67*'Interest Over Collect'!$J$5</f>
        <v>0</v>
      </c>
      <c r="M67" s="180">
        <f t="shared" si="50"/>
        <v>0</v>
      </c>
      <c r="N67" s="86"/>
    </row>
    <row r="68" spans="1:14" s="185" customFormat="1">
      <c r="B68" s="23" t="s">
        <v>25</v>
      </c>
      <c r="C68" s="222">
        <v>0</v>
      </c>
      <c r="D68" s="225">
        <v>0</v>
      </c>
      <c r="E68" s="223">
        <f t="shared" si="47"/>
        <v>0</v>
      </c>
      <c r="F68" s="224">
        <f t="shared" si="48"/>
        <v>0</v>
      </c>
      <c r="G68" s="180">
        <f t="shared" si="49"/>
        <v>0</v>
      </c>
      <c r="H68" s="635">
        <f>ROUND(F68*'Actual Load'!$B$6/'Zonal Load'!$N$6,2)</f>
        <v>0</v>
      </c>
      <c r="I68" s="180">
        <f t="shared" si="43"/>
        <v>0</v>
      </c>
      <c r="J68" s="180">
        <f t="shared" si="44"/>
        <v>0</v>
      </c>
      <c r="K68" s="180">
        <f t="shared" si="45"/>
        <v>0</v>
      </c>
      <c r="L68" s="181">
        <f>E68*'Interest Over Collect'!$J$5</f>
        <v>0</v>
      </c>
      <c r="M68" s="180">
        <f t="shared" si="50"/>
        <v>0</v>
      </c>
      <c r="N68" s="86"/>
    </row>
    <row r="69" spans="1:14" s="185" customFormat="1">
      <c r="B69" s="23" t="s">
        <v>26</v>
      </c>
      <c r="C69" s="222">
        <v>0</v>
      </c>
      <c r="D69" s="225">
        <v>0</v>
      </c>
      <c r="E69" s="223">
        <f t="shared" si="47"/>
        <v>0</v>
      </c>
      <c r="F69" s="224">
        <f t="shared" si="48"/>
        <v>0</v>
      </c>
      <c r="G69" s="180">
        <f t="shared" si="49"/>
        <v>0</v>
      </c>
      <c r="H69" s="635">
        <f>ROUND(F69*'Actual Load'!$B$7/'Zonal Load'!$N$7,2)</f>
        <v>0</v>
      </c>
      <c r="I69" s="180">
        <f t="shared" si="43"/>
        <v>0</v>
      </c>
      <c r="J69" s="180">
        <f t="shared" si="44"/>
        <v>0</v>
      </c>
      <c r="K69" s="180">
        <f t="shared" si="45"/>
        <v>0</v>
      </c>
      <c r="L69" s="181">
        <f>E69*'Interest Over Collect'!$J$5</f>
        <v>0</v>
      </c>
      <c r="M69" s="180">
        <f t="shared" si="50"/>
        <v>0</v>
      </c>
      <c r="N69" s="86"/>
    </row>
    <row r="70" spans="1:14" s="185" customFormat="1">
      <c r="B70" s="23" t="s">
        <v>27</v>
      </c>
      <c r="C70" s="222">
        <v>0</v>
      </c>
      <c r="D70" s="225">
        <v>0</v>
      </c>
      <c r="E70" s="223">
        <f t="shared" si="47"/>
        <v>0</v>
      </c>
      <c r="F70" s="224">
        <f t="shared" si="48"/>
        <v>0</v>
      </c>
      <c r="G70" s="180">
        <f t="shared" si="49"/>
        <v>0</v>
      </c>
      <c r="H70" s="635">
        <f>ROUND(F70*'Actual Load'!$B$12/'Zonal Load'!$N$12,2)</f>
        <v>0</v>
      </c>
      <c r="I70" s="180">
        <f t="shared" si="43"/>
        <v>0</v>
      </c>
      <c r="J70" s="180">
        <f t="shared" si="44"/>
        <v>0</v>
      </c>
      <c r="K70" s="180">
        <f t="shared" si="45"/>
        <v>0</v>
      </c>
      <c r="L70" s="181">
        <f>E70*'Interest Over Collect'!$J$5</f>
        <v>0</v>
      </c>
      <c r="M70" s="180">
        <f t="shared" si="50"/>
        <v>0</v>
      </c>
      <c r="N70" s="86"/>
    </row>
    <row r="71" spans="1:14" s="185" customFormat="1">
      <c r="B71" s="23" t="s">
        <v>28</v>
      </c>
      <c r="C71" s="222">
        <v>0</v>
      </c>
      <c r="D71" s="225">
        <v>0</v>
      </c>
      <c r="E71" s="223">
        <f t="shared" si="47"/>
        <v>0</v>
      </c>
      <c r="F71" s="224">
        <f t="shared" si="48"/>
        <v>0</v>
      </c>
      <c r="G71" s="180">
        <f t="shared" si="49"/>
        <v>0</v>
      </c>
      <c r="H71" s="635">
        <f>ROUND(F71*'Actual Load'!$B$24/'Zonal Load'!$N$24,2)</f>
        <v>0</v>
      </c>
      <c r="I71" s="180">
        <f t="shared" si="43"/>
        <v>0</v>
      </c>
      <c r="J71" s="180">
        <f t="shared" si="44"/>
        <v>0</v>
      </c>
      <c r="K71" s="180">
        <f t="shared" si="45"/>
        <v>0</v>
      </c>
      <c r="L71" s="181">
        <f>E71*'Interest Over Collect'!$J$5</f>
        <v>0</v>
      </c>
      <c r="M71" s="180">
        <f t="shared" si="50"/>
        <v>0</v>
      </c>
      <c r="N71" s="86"/>
    </row>
    <row r="72" spans="1:14" s="185" customFormat="1">
      <c r="B72" s="23" t="s">
        <v>29</v>
      </c>
      <c r="C72" s="222">
        <v>0</v>
      </c>
      <c r="D72" s="225">
        <v>0</v>
      </c>
      <c r="E72" s="223">
        <f t="shared" si="47"/>
        <v>0</v>
      </c>
      <c r="F72" s="224">
        <f t="shared" si="48"/>
        <v>0</v>
      </c>
      <c r="G72" s="180">
        <f t="shared" si="49"/>
        <v>0</v>
      </c>
      <c r="H72" s="635">
        <f>ROUND(F72*'Actual Load'!$B$5/'Zonal Load'!$N$5,2)</f>
        <v>0</v>
      </c>
      <c r="I72" s="180">
        <f t="shared" si="43"/>
        <v>0</v>
      </c>
      <c r="J72" s="180">
        <f t="shared" si="44"/>
        <v>0</v>
      </c>
      <c r="K72" s="180">
        <f t="shared" si="45"/>
        <v>0</v>
      </c>
      <c r="L72" s="181">
        <f>E72*'Interest Over Collect'!$J$5</f>
        <v>0</v>
      </c>
      <c r="M72" s="180">
        <f t="shared" si="50"/>
        <v>0</v>
      </c>
      <c r="N72" s="86"/>
    </row>
    <row r="73" spans="1:14" s="185" customFormat="1">
      <c r="B73" s="23" t="s">
        <v>30</v>
      </c>
      <c r="C73" s="222">
        <v>0</v>
      </c>
      <c r="D73" s="225">
        <v>1</v>
      </c>
      <c r="E73" s="223">
        <f t="shared" si="47"/>
        <v>1</v>
      </c>
      <c r="F73" s="224">
        <f t="shared" si="48"/>
        <v>930790.55</v>
      </c>
      <c r="G73" s="180">
        <f t="shared" si="49"/>
        <v>40719.921637718333</v>
      </c>
      <c r="H73" s="635">
        <f>ROUND(F73*'Actual Load'!$B$21/'Zonal Load'!$N$21,2)</f>
        <v>889177.08</v>
      </c>
      <c r="I73" s="180">
        <f t="shared" si="43"/>
        <v>933278.3</v>
      </c>
      <c r="J73" s="180">
        <f t="shared" ref="J73:J78" si="51">I73-F73</f>
        <v>2487.75</v>
      </c>
      <c r="K73" s="180">
        <f t="shared" si="45"/>
        <v>43207.671637718333</v>
      </c>
      <c r="L73" s="181">
        <f>E73*'Interest Over Collect'!$J$5</f>
        <v>889.5</v>
      </c>
      <c r="M73" s="180">
        <f t="shared" si="50"/>
        <v>44097.171637718333</v>
      </c>
      <c r="N73" s="86"/>
    </row>
    <row r="74" spans="1:14" s="185" customFormat="1">
      <c r="B74" s="23" t="s">
        <v>31</v>
      </c>
      <c r="C74" s="222">
        <v>0</v>
      </c>
      <c r="D74" s="225">
        <v>0</v>
      </c>
      <c r="E74" s="223">
        <f t="shared" si="47"/>
        <v>0</v>
      </c>
      <c r="F74" s="224">
        <f t="shared" si="48"/>
        <v>0</v>
      </c>
      <c r="G74" s="180">
        <f t="shared" si="49"/>
        <v>0</v>
      </c>
      <c r="H74" s="635">
        <f>ROUND(F74*'Actual Load'!$B$19/'Zonal Load'!$N$19,2)</f>
        <v>0</v>
      </c>
      <c r="I74" s="180">
        <f t="shared" si="43"/>
        <v>0</v>
      </c>
      <c r="J74" s="180">
        <f t="shared" si="51"/>
        <v>0</v>
      </c>
      <c r="K74" s="180">
        <f t="shared" si="45"/>
        <v>0</v>
      </c>
      <c r="L74" s="181">
        <f>E74*'Interest Over Collect'!$J$5</f>
        <v>0</v>
      </c>
      <c r="M74" s="180">
        <f t="shared" si="50"/>
        <v>0</v>
      </c>
      <c r="N74" s="86"/>
    </row>
    <row r="75" spans="1:14" s="185" customFormat="1">
      <c r="B75" s="23" t="s">
        <v>32</v>
      </c>
      <c r="C75" s="222">
        <v>0</v>
      </c>
      <c r="D75" s="225">
        <v>0</v>
      </c>
      <c r="E75" s="223">
        <f t="shared" si="47"/>
        <v>0</v>
      </c>
      <c r="F75" s="224">
        <f t="shared" si="48"/>
        <v>0</v>
      </c>
      <c r="G75" s="180">
        <f t="shared" si="49"/>
        <v>0</v>
      </c>
      <c r="H75" s="635">
        <f>ROUND(F75*'Actual Load'!$B$25/'Zonal Load'!$N$25,2)</f>
        <v>0</v>
      </c>
      <c r="I75" s="180">
        <f t="shared" si="43"/>
        <v>0</v>
      </c>
      <c r="J75" s="180">
        <f t="shared" si="51"/>
        <v>0</v>
      </c>
      <c r="K75" s="180">
        <f t="shared" si="45"/>
        <v>0</v>
      </c>
      <c r="L75" s="181">
        <f>E75*'Interest Over Collect'!$J$5</f>
        <v>0</v>
      </c>
      <c r="M75" s="180">
        <f t="shared" si="50"/>
        <v>0</v>
      </c>
      <c r="N75" s="86"/>
    </row>
    <row r="76" spans="1:14" s="185" customFormat="1">
      <c r="B76" s="23" t="s">
        <v>33</v>
      </c>
      <c r="C76" s="222">
        <v>0</v>
      </c>
      <c r="D76" s="225">
        <v>0</v>
      </c>
      <c r="E76" s="223">
        <f t="shared" si="47"/>
        <v>0</v>
      </c>
      <c r="F76" s="224">
        <f t="shared" si="48"/>
        <v>0</v>
      </c>
      <c r="G76" s="180">
        <f t="shared" si="49"/>
        <v>0</v>
      </c>
      <c r="H76" s="635">
        <f>ROUND(F76*'Actual Load'!$B$13/'Zonal Load'!$N$13,2)</f>
        <v>0</v>
      </c>
      <c r="I76" s="180">
        <f t="shared" si="43"/>
        <v>0</v>
      </c>
      <c r="J76" s="180">
        <f t="shared" si="51"/>
        <v>0</v>
      </c>
      <c r="K76" s="180">
        <f t="shared" si="45"/>
        <v>0</v>
      </c>
      <c r="L76" s="181">
        <f>E76*'Interest Over Collect'!$J$5</f>
        <v>0</v>
      </c>
      <c r="M76" s="180">
        <f t="shared" si="50"/>
        <v>0</v>
      </c>
      <c r="N76" s="86"/>
    </row>
    <row r="77" spans="1:14" s="185" customFormat="1">
      <c r="B77" s="23" t="s">
        <v>34</v>
      </c>
      <c r="C77" s="222">
        <v>0</v>
      </c>
      <c r="D77" s="225">
        <v>0</v>
      </c>
      <c r="E77" s="223">
        <f t="shared" si="47"/>
        <v>0</v>
      </c>
      <c r="F77" s="224">
        <f t="shared" si="48"/>
        <v>0</v>
      </c>
      <c r="G77" s="180">
        <f t="shared" si="49"/>
        <v>0</v>
      </c>
      <c r="H77" s="635">
        <f>ROUND(F77*'Actual Load'!$B$23/'Zonal Load'!$N$23,2)</f>
        <v>0</v>
      </c>
      <c r="I77" s="180">
        <f t="shared" si="43"/>
        <v>0</v>
      </c>
      <c r="J77" s="180">
        <f t="shared" si="51"/>
        <v>0</v>
      </c>
      <c r="K77" s="180">
        <f t="shared" si="45"/>
        <v>0</v>
      </c>
      <c r="L77" s="181">
        <f>E77*'Interest Over Collect'!$J$5</f>
        <v>0</v>
      </c>
      <c r="M77" s="180">
        <f t="shared" si="50"/>
        <v>0</v>
      </c>
      <c r="N77" s="86"/>
    </row>
    <row r="78" spans="1:14" s="185" customFormat="1">
      <c r="B78" s="24" t="s">
        <v>35</v>
      </c>
      <c r="C78" s="222">
        <v>0</v>
      </c>
      <c r="D78" s="225">
        <v>0</v>
      </c>
      <c r="E78" s="223">
        <f t="shared" si="47"/>
        <v>0</v>
      </c>
      <c r="F78" s="224">
        <f t="shared" si="48"/>
        <v>0</v>
      </c>
      <c r="G78" s="180">
        <f t="shared" si="49"/>
        <v>0</v>
      </c>
      <c r="H78" s="635">
        <f>ROUND(F78*'Actual Load'!$B$20/'Zonal Load'!$N$20,2)</f>
        <v>0</v>
      </c>
      <c r="I78" s="180">
        <f t="shared" si="43"/>
        <v>0</v>
      </c>
      <c r="J78" s="180">
        <f t="shared" si="51"/>
        <v>0</v>
      </c>
      <c r="K78" s="180">
        <f t="shared" si="45"/>
        <v>0</v>
      </c>
      <c r="L78" s="181">
        <f>E78*'Interest Over Collect'!$J$5</f>
        <v>0</v>
      </c>
      <c r="M78" s="180">
        <f t="shared" si="50"/>
        <v>0</v>
      </c>
      <c r="N78" s="86"/>
    </row>
    <row r="79" spans="1:14">
      <c r="A79" s="172"/>
      <c r="B79" s="25"/>
      <c r="C79" s="26">
        <f>SUM(C57:C78)</f>
        <v>0</v>
      </c>
      <c r="D79" s="27">
        <f>SUM(D57:D78)</f>
        <v>1</v>
      </c>
      <c r="E79" s="101">
        <f>SUM(E57:E78)</f>
        <v>1</v>
      </c>
      <c r="F79" s="95">
        <f>SUM(F57:F78)</f>
        <v>930790.55</v>
      </c>
      <c r="G79" s="78">
        <f t="shared" ref="G79:M79" si="52">SUM(G57:G78)</f>
        <v>40719.921637718333</v>
      </c>
      <c r="H79" s="138">
        <f t="shared" si="52"/>
        <v>889177.08</v>
      </c>
      <c r="I79" s="79">
        <f t="shared" si="52"/>
        <v>933278.3</v>
      </c>
      <c r="J79" s="110">
        <f t="shared" si="52"/>
        <v>2487.75</v>
      </c>
      <c r="K79" s="561">
        <f t="shared" si="52"/>
        <v>43207.671637718333</v>
      </c>
      <c r="L79" s="79">
        <f t="shared" si="52"/>
        <v>889.5</v>
      </c>
      <c r="M79" s="79">
        <f t="shared" si="52"/>
        <v>44097.171637718333</v>
      </c>
    </row>
    <row r="80" spans="1:14">
      <c r="A80" s="172"/>
      <c r="G80" s="21"/>
      <c r="I80" s="80"/>
    </row>
    <row r="81" spans="1:14">
      <c r="A81" s="172"/>
      <c r="E81" s="555" t="s">
        <v>618</v>
      </c>
      <c r="F81" s="178">
        <v>930790.55077103665</v>
      </c>
      <c r="H81" s="139"/>
      <c r="I81" s="29"/>
      <c r="K81" s="65"/>
      <c r="L81" s="81"/>
    </row>
    <row r="82" spans="1:14">
      <c r="A82" s="172"/>
      <c r="E82" s="556" t="s">
        <v>619</v>
      </c>
      <c r="F82" s="179">
        <v>890070.62913331832</v>
      </c>
      <c r="G82" s="632">
        <f>F81-F82</f>
        <v>40719.921637718333</v>
      </c>
      <c r="H82" s="633"/>
      <c r="L82" s="81"/>
    </row>
    <row r="83" spans="1:14">
      <c r="A83" s="172"/>
      <c r="E83" s="97" t="s">
        <v>160</v>
      </c>
      <c r="F83" s="186">
        <f>I79</f>
        <v>933278.3</v>
      </c>
      <c r="G83" s="632">
        <f>F83-F81</f>
        <v>2487.7492289633956</v>
      </c>
      <c r="H83" s="634"/>
      <c r="L83" s="81"/>
    </row>
    <row r="84" spans="1:14">
      <c r="A84" s="172"/>
      <c r="G84" s="632">
        <f>G82+G83</f>
        <v>43207.670866681729</v>
      </c>
      <c r="H84" s="633">
        <f>F83-F82</f>
        <v>43207.670866681729</v>
      </c>
    </row>
    <row r="85" spans="1:14">
      <c r="A85" s="172"/>
      <c r="B85" s="82"/>
      <c r="C85" s="82"/>
      <c r="D85" s="82"/>
      <c r="E85" s="82"/>
      <c r="F85" s="82"/>
      <c r="G85" s="82"/>
      <c r="H85" s="82"/>
      <c r="I85" s="82"/>
      <c r="J85" s="111"/>
      <c r="K85" s="82"/>
      <c r="L85" s="82"/>
      <c r="M85" s="82"/>
    </row>
    <row r="86" spans="1:14">
      <c r="A86" s="172"/>
    </row>
    <row r="87" spans="1:14" ht="15.75" customHeight="1">
      <c r="A87" s="172"/>
      <c r="B87" s="72" t="s">
        <v>0</v>
      </c>
      <c r="C87" s="641" t="s">
        <v>36</v>
      </c>
      <c r="D87" s="665"/>
      <c r="E87" s="665"/>
      <c r="F87" s="665"/>
      <c r="G87" s="665"/>
      <c r="H87" s="666"/>
      <c r="I87" s="1"/>
    </row>
    <row r="88" spans="1:14" ht="15.75" customHeight="1">
      <c r="A88" s="172"/>
      <c r="B88" s="70" t="s">
        <v>2</v>
      </c>
      <c r="C88" s="646" t="s">
        <v>37</v>
      </c>
      <c r="D88" s="668"/>
      <c r="E88" s="668"/>
      <c r="F88" s="668"/>
      <c r="G88" s="668"/>
      <c r="H88" s="669"/>
      <c r="I88" s="1"/>
    </row>
    <row r="89" spans="1:14" ht="15.75" customHeight="1">
      <c r="A89" s="172"/>
      <c r="B89" s="70" t="s">
        <v>4</v>
      </c>
      <c r="C89" s="646" t="s">
        <v>38</v>
      </c>
      <c r="D89" s="668"/>
      <c r="E89" s="668"/>
      <c r="F89" s="668"/>
      <c r="G89" s="668"/>
      <c r="H89" s="669"/>
      <c r="I89" s="1"/>
    </row>
    <row r="90" spans="1:14" ht="15.75" customHeight="1">
      <c r="A90" s="172"/>
      <c r="B90" s="71" t="s">
        <v>6</v>
      </c>
      <c r="C90" s="676" t="s">
        <v>7</v>
      </c>
      <c r="D90" s="662"/>
      <c r="E90" s="662"/>
      <c r="F90" s="662"/>
      <c r="G90" s="662"/>
      <c r="H90" s="663"/>
      <c r="I90" s="1"/>
    </row>
    <row r="91" spans="1:14">
      <c r="A91" s="172"/>
      <c r="B91" s="76"/>
      <c r="C91" s="76"/>
      <c r="D91" s="76"/>
      <c r="E91" s="76"/>
      <c r="F91" s="76"/>
      <c r="J91" s="105" t="s">
        <v>163</v>
      </c>
      <c r="K91" s="3" t="s">
        <v>42</v>
      </c>
      <c r="M91" s="3" t="s">
        <v>56</v>
      </c>
    </row>
    <row r="92" spans="1:14">
      <c r="A92" s="172"/>
      <c r="B92" s="76"/>
      <c r="C92" s="76"/>
      <c r="D92" s="76"/>
      <c r="E92" s="76"/>
      <c r="F92" s="76"/>
      <c r="G92" s="3" t="s">
        <v>39</v>
      </c>
      <c r="H92" s="134" t="s">
        <v>40</v>
      </c>
      <c r="I92" s="98" t="s">
        <v>41</v>
      </c>
      <c r="J92" s="106" t="s">
        <v>164</v>
      </c>
      <c r="K92" s="4" t="s">
        <v>165</v>
      </c>
      <c r="L92" s="4" t="s">
        <v>55</v>
      </c>
      <c r="M92" s="4" t="s">
        <v>166</v>
      </c>
      <c r="N92" s="202"/>
    </row>
    <row r="93" spans="1:14">
      <c r="A93" s="172"/>
      <c r="B93" s="76"/>
      <c r="C93" s="76"/>
      <c r="D93" s="76"/>
      <c r="E93" s="76"/>
      <c r="F93" s="76"/>
      <c r="G93" s="5"/>
      <c r="H93" s="658" t="s">
        <v>43</v>
      </c>
      <c r="I93" s="659"/>
      <c r="J93" s="660"/>
      <c r="K93" s="6" t="s">
        <v>44</v>
      </c>
      <c r="L93" s="5"/>
      <c r="M93" s="6" t="s">
        <v>45</v>
      </c>
      <c r="N93" s="202"/>
    </row>
    <row r="94" spans="1:14">
      <c r="A94" s="172"/>
      <c r="B94" s="77"/>
      <c r="C94" s="7">
        <v>0</v>
      </c>
      <c r="D94" s="7">
        <v>1</v>
      </c>
      <c r="E94" s="7"/>
      <c r="F94" s="92" t="s">
        <v>162</v>
      </c>
      <c r="G94" s="8" t="s">
        <v>46</v>
      </c>
      <c r="H94" s="135"/>
      <c r="I94" s="5"/>
      <c r="J94" s="107" t="s">
        <v>47</v>
      </c>
      <c r="K94" s="8" t="s">
        <v>48</v>
      </c>
      <c r="L94" s="9"/>
      <c r="M94" s="8" t="s">
        <v>49</v>
      </c>
    </row>
    <row r="95" spans="1:14" ht="15.75" customHeight="1">
      <c r="A95" s="172"/>
      <c r="B95" s="10"/>
      <c r="C95" s="69" t="s">
        <v>9</v>
      </c>
      <c r="D95" s="69" t="s">
        <v>10</v>
      </c>
      <c r="E95" s="69" t="s">
        <v>11</v>
      </c>
      <c r="F95" s="93" t="s">
        <v>8</v>
      </c>
      <c r="G95" s="11" t="s">
        <v>50</v>
      </c>
      <c r="H95" s="136" t="s">
        <v>51</v>
      </c>
      <c r="I95" s="12" t="s">
        <v>159</v>
      </c>
      <c r="J95" s="108" t="s">
        <v>50</v>
      </c>
      <c r="K95" s="12" t="s">
        <v>50</v>
      </c>
      <c r="L95" s="12" t="s">
        <v>52</v>
      </c>
      <c r="M95" s="12" t="s">
        <v>53</v>
      </c>
    </row>
    <row r="96" spans="1:14" ht="31.5">
      <c r="A96" s="172"/>
      <c r="B96" s="13" t="s">
        <v>13</v>
      </c>
      <c r="C96" s="14" t="s">
        <v>14</v>
      </c>
      <c r="D96" s="14" t="s">
        <v>14</v>
      </c>
      <c r="E96" s="15" t="s">
        <v>14</v>
      </c>
      <c r="F96" s="94" t="s">
        <v>15</v>
      </c>
      <c r="G96" s="16" t="s">
        <v>54</v>
      </c>
      <c r="H96" s="137"/>
      <c r="I96" s="17"/>
      <c r="J96" s="109" t="s">
        <v>54</v>
      </c>
      <c r="K96" s="17"/>
      <c r="L96" s="17"/>
      <c r="M96" s="16" t="s">
        <v>54</v>
      </c>
    </row>
    <row r="97" spans="1:14" s="185" customFormat="1">
      <c r="B97" s="18" t="s">
        <v>16</v>
      </c>
      <c r="C97" s="222">
        <v>0</v>
      </c>
      <c r="D97" s="225">
        <v>0</v>
      </c>
      <c r="E97" s="223">
        <f t="shared" ref="E97:E118" si="53">C97+D97</f>
        <v>0</v>
      </c>
      <c r="F97" s="226">
        <f>ROUND(+E97*F$121,2)</f>
        <v>0</v>
      </c>
      <c r="G97" s="180">
        <f t="shared" ref="G97:G118" si="54">(F$121-F$122)*E97</f>
        <v>0</v>
      </c>
      <c r="H97" s="635">
        <f>ROUND(F97*'Actual Load'!$B$8/'Zonal Load'!$N$8,2)</f>
        <v>0</v>
      </c>
      <c r="I97" s="180">
        <f t="shared" ref="I97:I118" si="55">ROUND((H97*$H$912)/$H$910,2)</f>
        <v>0</v>
      </c>
      <c r="J97" s="180">
        <f t="shared" ref="J97:J118" si="56">I97-F97</f>
        <v>0</v>
      </c>
      <c r="K97" s="180">
        <f t="shared" ref="K97:K118" si="57">+G97+J97</f>
        <v>0</v>
      </c>
      <c r="L97" s="181">
        <f>E97*'Interest Over Collect'!$J$6</f>
        <v>0</v>
      </c>
      <c r="M97" s="180">
        <f t="shared" ref="M97:M104" si="58">+K97+L97</f>
        <v>0</v>
      </c>
      <c r="N97" s="86"/>
    </row>
    <row r="98" spans="1:14" s="185" customFormat="1">
      <c r="B98" s="23" t="s">
        <v>17</v>
      </c>
      <c r="C98" s="222">
        <v>0</v>
      </c>
      <c r="D98" s="225">
        <v>0</v>
      </c>
      <c r="E98" s="223">
        <f t="shared" si="53"/>
        <v>0</v>
      </c>
      <c r="F98" s="224">
        <f>ROUND(+E98*F$121,2)</f>
        <v>0</v>
      </c>
      <c r="G98" s="180">
        <f t="shared" si="54"/>
        <v>0</v>
      </c>
      <c r="H98" s="635">
        <f>ROUND(F98*'Actual Load'!$B$14/'Zonal Load'!$N$14,2)</f>
        <v>0</v>
      </c>
      <c r="I98" s="180">
        <f t="shared" si="55"/>
        <v>0</v>
      </c>
      <c r="J98" s="180">
        <f t="shared" si="56"/>
        <v>0</v>
      </c>
      <c r="K98" s="180">
        <f t="shared" si="57"/>
        <v>0</v>
      </c>
      <c r="L98" s="181">
        <f>E98*'Interest Over Collect'!$J$6</f>
        <v>0</v>
      </c>
      <c r="M98" s="180">
        <f t="shared" si="58"/>
        <v>0</v>
      </c>
      <c r="N98" s="86"/>
    </row>
    <row r="99" spans="1:14" s="185" customFormat="1">
      <c r="B99" s="23" t="s">
        <v>201</v>
      </c>
      <c r="C99" s="222">
        <f>0%*0.421</f>
        <v>0</v>
      </c>
      <c r="D99" s="225">
        <f>0%*0.421</f>
        <v>0</v>
      </c>
      <c r="E99" s="223">
        <f t="shared" si="53"/>
        <v>0</v>
      </c>
      <c r="F99" s="224">
        <f t="shared" ref="F99:F118" si="59">ROUND(+E99*F$121,2)</f>
        <v>0</v>
      </c>
      <c r="G99" s="180">
        <f t="shared" si="54"/>
        <v>0</v>
      </c>
      <c r="H99" s="635">
        <f>ROUND(F99*'Actual Load'!$B$9/'Zonal Load'!$N$9,2)</f>
        <v>0</v>
      </c>
      <c r="I99" s="180">
        <f t="shared" si="55"/>
        <v>0</v>
      </c>
      <c r="J99" s="180">
        <f t="shared" si="56"/>
        <v>0</v>
      </c>
      <c r="K99" s="180">
        <f t="shared" si="57"/>
        <v>0</v>
      </c>
      <c r="L99" s="181">
        <f>E99*'Interest Over Collect'!$J$6</f>
        <v>0</v>
      </c>
      <c r="M99" s="180">
        <f t="shared" si="58"/>
        <v>0</v>
      </c>
      <c r="N99" s="86"/>
    </row>
    <row r="100" spans="1:14" s="185" customFormat="1">
      <c r="B100" s="132" t="s">
        <v>260</v>
      </c>
      <c r="C100" s="222">
        <f>0%*0.579</f>
        <v>0</v>
      </c>
      <c r="D100" s="225">
        <f>0%*0.579</f>
        <v>0</v>
      </c>
      <c r="E100" s="223">
        <f>C100+D100</f>
        <v>0</v>
      </c>
      <c r="F100" s="224">
        <f t="shared" si="59"/>
        <v>0</v>
      </c>
      <c r="G100" s="180">
        <f>(F$121-F$122)*E100</f>
        <v>0</v>
      </c>
      <c r="H100" s="635">
        <f>ROUND(F100*'Actual Load'!$B$10/'Zonal Load'!$N$10,2)</f>
        <v>0</v>
      </c>
      <c r="I100" s="180">
        <f t="shared" si="55"/>
        <v>0</v>
      </c>
      <c r="J100" s="180">
        <f>I100-F100</f>
        <v>0</v>
      </c>
      <c r="K100" s="180">
        <f>+G100+J100</f>
        <v>0</v>
      </c>
      <c r="L100" s="181">
        <f>E100*'Interest Over Collect'!$J$6</f>
        <v>0</v>
      </c>
      <c r="M100" s="180">
        <f>+K100+L100</f>
        <v>0</v>
      </c>
      <c r="N100" s="86"/>
    </row>
    <row r="101" spans="1:14" s="185" customFormat="1">
      <c r="B101" s="23" t="s">
        <v>18</v>
      </c>
      <c r="C101" s="222">
        <v>0</v>
      </c>
      <c r="D101" s="225">
        <v>0</v>
      </c>
      <c r="E101" s="223">
        <f t="shared" si="53"/>
        <v>0</v>
      </c>
      <c r="F101" s="224">
        <f t="shared" si="59"/>
        <v>0</v>
      </c>
      <c r="G101" s="180">
        <f t="shared" si="54"/>
        <v>0</v>
      </c>
      <c r="H101" s="635">
        <f>ROUND(F101*'Actual Load'!$B$26/'Zonal Load'!$N$26,2)</f>
        <v>0</v>
      </c>
      <c r="I101" s="180">
        <f t="shared" si="55"/>
        <v>0</v>
      </c>
      <c r="J101" s="180">
        <f t="shared" si="56"/>
        <v>0</v>
      </c>
      <c r="K101" s="180">
        <f t="shared" si="57"/>
        <v>0</v>
      </c>
      <c r="L101" s="181">
        <f>E101*'Interest Over Collect'!$J$6</f>
        <v>0</v>
      </c>
      <c r="M101" s="180">
        <f t="shared" si="58"/>
        <v>0</v>
      </c>
      <c r="N101" s="86"/>
    </row>
    <row r="102" spans="1:14" s="185" customFormat="1">
      <c r="B102" s="23" t="s">
        <v>19</v>
      </c>
      <c r="C102" s="222">
        <v>0</v>
      </c>
      <c r="D102" s="225">
        <v>0</v>
      </c>
      <c r="E102" s="223">
        <f t="shared" si="53"/>
        <v>0</v>
      </c>
      <c r="F102" s="224">
        <f t="shared" si="59"/>
        <v>0</v>
      </c>
      <c r="G102" s="180">
        <f t="shared" si="54"/>
        <v>0</v>
      </c>
      <c r="H102" s="635">
        <f>ROUND(F102*'Actual Load'!$B$16/'Zonal Load'!$N$16,2)</f>
        <v>0</v>
      </c>
      <c r="I102" s="180">
        <f t="shared" si="55"/>
        <v>0</v>
      </c>
      <c r="J102" s="180">
        <f t="shared" si="56"/>
        <v>0</v>
      </c>
      <c r="K102" s="180">
        <f t="shared" si="57"/>
        <v>0</v>
      </c>
      <c r="L102" s="181">
        <f>E102*'Interest Over Collect'!$J$6</f>
        <v>0</v>
      </c>
      <c r="M102" s="180">
        <f t="shared" si="58"/>
        <v>0</v>
      </c>
      <c r="N102" s="86"/>
    </row>
    <row r="103" spans="1:14" s="185" customFormat="1">
      <c r="B103" s="23" t="s">
        <v>20</v>
      </c>
      <c r="C103" s="222">
        <v>0</v>
      </c>
      <c r="D103" s="225">
        <v>0</v>
      </c>
      <c r="E103" s="223">
        <f t="shared" si="53"/>
        <v>0</v>
      </c>
      <c r="F103" s="224">
        <f t="shared" si="59"/>
        <v>0</v>
      </c>
      <c r="G103" s="180">
        <f t="shared" si="54"/>
        <v>0</v>
      </c>
      <c r="H103" s="635">
        <f>ROUND(F103*'Actual Load'!$B$22/'Zonal Load'!$N$22,2)</f>
        <v>0</v>
      </c>
      <c r="I103" s="180">
        <f t="shared" si="55"/>
        <v>0</v>
      </c>
      <c r="J103" s="180">
        <f t="shared" si="56"/>
        <v>0</v>
      </c>
      <c r="K103" s="180">
        <f t="shared" si="57"/>
        <v>0</v>
      </c>
      <c r="L103" s="181">
        <f>E103*'Interest Over Collect'!$J$6</f>
        <v>0</v>
      </c>
      <c r="M103" s="180">
        <f t="shared" si="58"/>
        <v>0</v>
      </c>
      <c r="N103" s="86"/>
    </row>
    <row r="104" spans="1:14" s="185" customFormat="1">
      <c r="B104" s="23" t="s">
        <v>21</v>
      </c>
      <c r="C104" s="222">
        <v>0</v>
      </c>
      <c r="D104" s="225">
        <v>0</v>
      </c>
      <c r="E104" s="223">
        <f t="shared" si="53"/>
        <v>0</v>
      </c>
      <c r="F104" s="224">
        <f t="shared" si="59"/>
        <v>0</v>
      </c>
      <c r="G104" s="180">
        <f t="shared" si="54"/>
        <v>0</v>
      </c>
      <c r="H104" s="635">
        <f>ROUND(F104*'Actual Load'!$B$17/'Zonal Load'!$N$17,2)</f>
        <v>0</v>
      </c>
      <c r="I104" s="180">
        <f t="shared" si="55"/>
        <v>0</v>
      </c>
      <c r="J104" s="180">
        <f t="shared" si="56"/>
        <v>0</v>
      </c>
      <c r="K104" s="180">
        <f t="shared" si="57"/>
        <v>0</v>
      </c>
      <c r="L104" s="181">
        <f>E104*'Interest Over Collect'!$J$6</f>
        <v>0</v>
      </c>
      <c r="M104" s="180">
        <f t="shared" si="58"/>
        <v>0</v>
      </c>
      <c r="N104" s="86"/>
    </row>
    <row r="105" spans="1:14" s="185" customFormat="1">
      <c r="B105" s="23" t="s">
        <v>22</v>
      </c>
      <c r="C105" s="222">
        <v>0</v>
      </c>
      <c r="D105" s="225">
        <v>0</v>
      </c>
      <c r="E105" s="223">
        <f t="shared" si="53"/>
        <v>0</v>
      </c>
      <c r="F105" s="224">
        <f t="shared" si="59"/>
        <v>0</v>
      </c>
      <c r="G105" s="180">
        <f t="shared" si="54"/>
        <v>0</v>
      </c>
      <c r="H105" s="635">
        <f>ROUND(F105*'Actual Load'!$B$15/'Zonal Load'!$N$15,2)</f>
        <v>0</v>
      </c>
      <c r="I105" s="180">
        <f t="shared" si="55"/>
        <v>0</v>
      </c>
      <c r="J105" s="180">
        <f t="shared" si="56"/>
        <v>0</v>
      </c>
      <c r="K105" s="180">
        <f t="shared" si="57"/>
        <v>0</v>
      </c>
      <c r="L105" s="181">
        <f>E105*'Interest Over Collect'!$J$6</f>
        <v>0</v>
      </c>
      <c r="M105" s="180">
        <f>+K105+L105</f>
        <v>0</v>
      </c>
      <c r="N105" s="86"/>
    </row>
    <row r="106" spans="1:14" s="185" customFormat="1">
      <c r="B106" s="23" t="s">
        <v>23</v>
      </c>
      <c r="C106" s="222">
        <v>0</v>
      </c>
      <c r="D106" s="225">
        <v>0</v>
      </c>
      <c r="E106" s="223">
        <f t="shared" si="53"/>
        <v>0</v>
      </c>
      <c r="F106" s="224">
        <f t="shared" si="59"/>
        <v>0</v>
      </c>
      <c r="G106" s="180">
        <f t="shared" si="54"/>
        <v>0</v>
      </c>
      <c r="H106" s="635">
        <f>ROUND(F106*'Actual Load'!$B$4/'Zonal Load'!$N$4,2)</f>
        <v>0</v>
      </c>
      <c r="I106" s="180">
        <f t="shared" si="55"/>
        <v>0</v>
      </c>
      <c r="J106" s="180">
        <f t="shared" si="56"/>
        <v>0</v>
      </c>
      <c r="K106" s="180">
        <f t="shared" si="57"/>
        <v>0</v>
      </c>
      <c r="L106" s="181">
        <f>E106*'Interest Over Collect'!$J$6</f>
        <v>0</v>
      </c>
      <c r="M106" s="180">
        <f t="shared" ref="M106:M118" si="60">+K106+L106</f>
        <v>0</v>
      </c>
      <c r="N106" s="86"/>
    </row>
    <row r="107" spans="1:14" s="185" customFormat="1">
      <c r="B107" s="23" t="s">
        <v>24</v>
      </c>
      <c r="C107" s="222">
        <v>0</v>
      </c>
      <c r="D107" s="225">
        <v>0</v>
      </c>
      <c r="E107" s="223">
        <f t="shared" si="53"/>
        <v>0</v>
      </c>
      <c r="F107" s="224">
        <f t="shared" si="59"/>
        <v>0</v>
      </c>
      <c r="G107" s="180">
        <f t="shared" si="54"/>
        <v>0</v>
      </c>
      <c r="H107" s="635">
        <f>ROUND(F107*'Actual Load'!$B$11/'Zonal Load'!$N$11,2)</f>
        <v>0</v>
      </c>
      <c r="I107" s="180">
        <f t="shared" si="55"/>
        <v>0</v>
      </c>
      <c r="J107" s="180">
        <f t="shared" si="56"/>
        <v>0</v>
      </c>
      <c r="K107" s="180">
        <f t="shared" si="57"/>
        <v>0</v>
      </c>
      <c r="L107" s="181">
        <f>E107*'Interest Over Collect'!$J$6</f>
        <v>0</v>
      </c>
      <c r="M107" s="180">
        <f t="shared" si="60"/>
        <v>0</v>
      </c>
      <c r="N107" s="86"/>
    </row>
    <row r="108" spans="1:14" s="185" customFormat="1">
      <c r="B108" s="23" t="s">
        <v>25</v>
      </c>
      <c r="C108" s="222">
        <v>0</v>
      </c>
      <c r="D108" s="225">
        <v>0</v>
      </c>
      <c r="E108" s="223">
        <f t="shared" si="53"/>
        <v>0</v>
      </c>
      <c r="F108" s="224">
        <f t="shared" si="59"/>
        <v>0</v>
      </c>
      <c r="G108" s="180">
        <f t="shared" si="54"/>
        <v>0</v>
      </c>
      <c r="H108" s="635">
        <f>ROUND(F108*'Actual Load'!$B$6/'Zonal Load'!$N$6,2)</f>
        <v>0</v>
      </c>
      <c r="I108" s="180">
        <f t="shared" si="55"/>
        <v>0</v>
      </c>
      <c r="J108" s="180">
        <f t="shared" si="56"/>
        <v>0</v>
      </c>
      <c r="K108" s="180">
        <f t="shared" si="57"/>
        <v>0</v>
      </c>
      <c r="L108" s="181">
        <f>E108*'Interest Over Collect'!$J$6</f>
        <v>0</v>
      </c>
      <c r="M108" s="180">
        <f t="shared" si="60"/>
        <v>0</v>
      </c>
      <c r="N108" s="86"/>
    </row>
    <row r="109" spans="1:14" s="185" customFormat="1">
      <c r="B109" s="23" t="s">
        <v>26</v>
      </c>
      <c r="C109" s="222">
        <v>0</v>
      </c>
      <c r="D109" s="225">
        <v>0</v>
      </c>
      <c r="E109" s="223">
        <f t="shared" si="53"/>
        <v>0</v>
      </c>
      <c r="F109" s="224">
        <f t="shared" si="59"/>
        <v>0</v>
      </c>
      <c r="G109" s="180">
        <f t="shared" si="54"/>
        <v>0</v>
      </c>
      <c r="H109" s="635">
        <f>ROUND(F109*'Actual Load'!$B$7/'Zonal Load'!$N$7,2)</f>
        <v>0</v>
      </c>
      <c r="I109" s="180">
        <f t="shared" si="55"/>
        <v>0</v>
      </c>
      <c r="J109" s="180">
        <f t="shared" si="56"/>
        <v>0</v>
      </c>
      <c r="K109" s="180">
        <f t="shared" si="57"/>
        <v>0</v>
      </c>
      <c r="L109" s="181">
        <f>E109*'Interest Over Collect'!$J$6</f>
        <v>0</v>
      </c>
      <c r="M109" s="180">
        <f t="shared" si="60"/>
        <v>0</v>
      </c>
      <c r="N109" s="86"/>
    </row>
    <row r="110" spans="1:14" s="185" customFormat="1">
      <c r="B110" s="23" t="s">
        <v>27</v>
      </c>
      <c r="C110" s="222">
        <v>0</v>
      </c>
      <c r="D110" s="225">
        <v>0</v>
      </c>
      <c r="E110" s="223">
        <f t="shared" si="53"/>
        <v>0</v>
      </c>
      <c r="F110" s="224">
        <f t="shared" si="59"/>
        <v>0</v>
      </c>
      <c r="G110" s="180">
        <f t="shared" si="54"/>
        <v>0</v>
      </c>
      <c r="H110" s="635">
        <f>ROUND(F110*'Actual Load'!$B$12/'Zonal Load'!$N$12,2)</f>
        <v>0</v>
      </c>
      <c r="I110" s="180">
        <f t="shared" si="55"/>
        <v>0</v>
      </c>
      <c r="J110" s="180">
        <f t="shared" si="56"/>
        <v>0</v>
      </c>
      <c r="K110" s="180">
        <f t="shared" si="57"/>
        <v>0</v>
      </c>
      <c r="L110" s="181">
        <f>E110*'Interest Over Collect'!$J$6</f>
        <v>0</v>
      </c>
      <c r="M110" s="180">
        <f t="shared" si="60"/>
        <v>0</v>
      </c>
      <c r="N110" s="86"/>
    </row>
    <row r="111" spans="1:14" s="185" customFormat="1">
      <c r="B111" s="23" t="s">
        <v>28</v>
      </c>
      <c r="C111" s="222">
        <v>0</v>
      </c>
      <c r="D111" s="225">
        <v>0</v>
      </c>
      <c r="E111" s="223">
        <f t="shared" si="53"/>
        <v>0</v>
      </c>
      <c r="F111" s="224">
        <f t="shared" si="59"/>
        <v>0</v>
      </c>
      <c r="G111" s="180">
        <f t="shared" si="54"/>
        <v>0</v>
      </c>
      <c r="H111" s="635">
        <f>ROUND(F111*'Actual Load'!$B$24/'Zonal Load'!$N$24,2)</f>
        <v>0</v>
      </c>
      <c r="I111" s="180">
        <f t="shared" si="55"/>
        <v>0</v>
      </c>
      <c r="J111" s="180">
        <f t="shared" si="56"/>
        <v>0</v>
      </c>
      <c r="K111" s="180">
        <f t="shared" si="57"/>
        <v>0</v>
      </c>
      <c r="L111" s="181">
        <f>E111*'Interest Over Collect'!$J$6</f>
        <v>0</v>
      </c>
      <c r="M111" s="180">
        <f t="shared" si="60"/>
        <v>0</v>
      </c>
      <c r="N111" s="86"/>
    </row>
    <row r="112" spans="1:14" s="185" customFormat="1">
      <c r="B112" s="23" t="s">
        <v>29</v>
      </c>
      <c r="C112" s="222">
        <v>0</v>
      </c>
      <c r="D112" s="225">
        <v>0</v>
      </c>
      <c r="E112" s="223">
        <f t="shared" si="53"/>
        <v>0</v>
      </c>
      <c r="F112" s="224">
        <f t="shared" si="59"/>
        <v>0</v>
      </c>
      <c r="G112" s="180">
        <f t="shared" si="54"/>
        <v>0</v>
      </c>
      <c r="H112" s="635">
        <f>ROUND(F112*'Actual Load'!$B$5/'Zonal Load'!$N$5,2)</f>
        <v>0</v>
      </c>
      <c r="I112" s="180">
        <f t="shared" si="55"/>
        <v>0</v>
      </c>
      <c r="J112" s="180">
        <f t="shared" si="56"/>
        <v>0</v>
      </c>
      <c r="K112" s="180">
        <f t="shared" si="57"/>
        <v>0</v>
      </c>
      <c r="L112" s="181">
        <f>E112*'Interest Over Collect'!$J$6</f>
        <v>0</v>
      </c>
      <c r="M112" s="180">
        <f t="shared" si="60"/>
        <v>0</v>
      </c>
      <c r="N112" s="86"/>
    </row>
    <row r="113" spans="1:14" s="185" customFormat="1">
      <c r="B113" s="23" t="s">
        <v>30</v>
      </c>
      <c r="C113" s="222">
        <v>0</v>
      </c>
      <c r="D113" s="225">
        <v>1</v>
      </c>
      <c r="E113" s="223">
        <f t="shared" si="53"/>
        <v>1</v>
      </c>
      <c r="F113" s="224">
        <f t="shared" si="59"/>
        <v>459778.48</v>
      </c>
      <c r="G113" s="180">
        <f t="shared" si="54"/>
        <v>20096.937704852491</v>
      </c>
      <c r="H113" s="635">
        <f>ROUND(F113*'Actual Load'!$B$21/'Zonal Load'!$N$21,2)</f>
        <v>439222.86</v>
      </c>
      <c r="I113" s="180">
        <f t="shared" si="55"/>
        <v>461007.35</v>
      </c>
      <c r="J113" s="180">
        <f t="shared" si="56"/>
        <v>1228.8699999999953</v>
      </c>
      <c r="K113" s="180">
        <f t="shared" si="57"/>
        <v>21325.807704852486</v>
      </c>
      <c r="L113" s="181">
        <f>E113*'Interest Over Collect'!$J$6</f>
        <v>439.38</v>
      </c>
      <c r="M113" s="180">
        <f t="shared" si="60"/>
        <v>21765.187704852488</v>
      </c>
      <c r="N113" s="86"/>
    </row>
    <row r="114" spans="1:14" s="185" customFormat="1">
      <c r="B114" s="23" t="s">
        <v>31</v>
      </c>
      <c r="C114" s="222">
        <v>0</v>
      </c>
      <c r="D114" s="225">
        <v>0</v>
      </c>
      <c r="E114" s="223">
        <f t="shared" si="53"/>
        <v>0</v>
      </c>
      <c r="F114" s="224">
        <f t="shared" si="59"/>
        <v>0</v>
      </c>
      <c r="G114" s="180">
        <f t="shared" si="54"/>
        <v>0</v>
      </c>
      <c r="H114" s="635">
        <f>ROUND(F114*'Actual Load'!$B$19/'Zonal Load'!$N$19,2)</f>
        <v>0</v>
      </c>
      <c r="I114" s="180">
        <f t="shared" si="55"/>
        <v>0</v>
      </c>
      <c r="J114" s="180">
        <f t="shared" si="56"/>
        <v>0</v>
      </c>
      <c r="K114" s="180">
        <f t="shared" si="57"/>
        <v>0</v>
      </c>
      <c r="L114" s="181">
        <f>E114*'Interest Over Collect'!$J$6</f>
        <v>0</v>
      </c>
      <c r="M114" s="180">
        <f t="shared" si="60"/>
        <v>0</v>
      </c>
      <c r="N114" s="86"/>
    </row>
    <row r="115" spans="1:14" s="185" customFormat="1">
      <c r="B115" s="23" t="s">
        <v>32</v>
      </c>
      <c r="C115" s="222">
        <v>0</v>
      </c>
      <c r="D115" s="225">
        <v>0</v>
      </c>
      <c r="E115" s="223">
        <f t="shared" si="53"/>
        <v>0</v>
      </c>
      <c r="F115" s="224">
        <f t="shared" si="59"/>
        <v>0</v>
      </c>
      <c r="G115" s="180">
        <f t="shared" si="54"/>
        <v>0</v>
      </c>
      <c r="H115" s="635">
        <f>ROUND(F115*'Actual Load'!$B$25/'Zonal Load'!$N$25,2)</f>
        <v>0</v>
      </c>
      <c r="I115" s="180">
        <f t="shared" si="55"/>
        <v>0</v>
      </c>
      <c r="J115" s="180">
        <f t="shared" si="56"/>
        <v>0</v>
      </c>
      <c r="K115" s="180">
        <f t="shared" si="57"/>
        <v>0</v>
      </c>
      <c r="L115" s="181">
        <f>E115*'Interest Over Collect'!$J$6</f>
        <v>0</v>
      </c>
      <c r="M115" s="180">
        <f t="shared" si="60"/>
        <v>0</v>
      </c>
      <c r="N115" s="86"/>
    </row>
    <row r="116" spans="1:14" s="185" customFormat="1">
      <c r="B116" s="23" t="s">
        <v>33</v>
      </c>
      <c r="C116" s="222">
        <v>0</v>
      </c>
      <c r="D116" s="225">
        <v>0</v>
      </c>
      <c r="E116" s="223">
        <f t="shared" si="53"/>
        <v>0</v>
      </c>
      <c r="F116" s="224">
        <f t="shared" si="59"/>
        <v>0</v>
      </c>
      <c r="G116" s="180">
        <f t="shared" si="54"/>
        <v>0</v>
      </c>
      <c r="H116" s="635">
        <f>ROUND(F116*'Actual Load'!$B$13/'Zonal Load'!$N$13,2)</f>
        <v>0</v>
      </c>
      <c r="I116" s="180">
        <f t="shared" si="55"/>
        <v>0</v>
      </c>
      <c r="J116" s="180">
        <f t="shared" si="56"/>
        <v>0</v>
      </c>
      <c r="K116" s="180">
        <f t="shared" si="57"/>
        <v>0</v>
      </c>
      <c r="L116" s="181">
        <f>E116*'Interest Over Collect'!$J$6</f>
        <v>0</v>
      </c>
      <c r="M116" s="180">
        <f t="shared" si="60"/>
        <v>0</v>
      </c>
      <c r="N116" s="86"/>
    </row>
    <row r="117" spans="1:14" s="185" customFormat="1">
      <c r="B117" s="23" t="s">
        <v>34</v>
      </c>
      <c r="C117" s="222">
        <v>0</v>
      </c>
      <c r="D117" s="225">
        <v>0</v>
      </c>
      <c r="E117" s="223">
        <f t="shared" si="53"/>
        <v>0</v>
      </c>
      <c r="F117" s="224">
        <f t="shared" si="59"/>
        <v>0</v>
      </c>
      <c r="G117" s="180">
        <f t="shared" si="54"/>
        <v>0</v>
      </c>
      <c r="H117" s="635">
        <f>ROUND(F117*'Actual Load'!$B$23/'Zonal Load'!$N$23,2)</f>
        <v>0</v>
      </c>
      <c r="I117" s="180">
        <f t="shared" si="55"/>
        <v>0</v>
      </c>
      <c r="J117" s="180">
        <f t="shared" si="56"/>
        <v>0</v>
      </c>
      <c r="K117" s="180">
        <f t="shared" si="57"/>
        <v>0</v>
      </c>
      <c r="L117" s="181">
        <f>E117*'Interest Over Collect'!$J$6</f>
        <v>0</v>
      </c>
      <c r="M117" s="180">
        <f t="shared" si="60"/>
        <v>0</v>
      </c>
      <c r="N117" s="86"/>
    </row>
    <row r="118" spans="1:14" s="185" customFormat="1">
      <c r="B118" s="24" t="s">
        <v>35</v>
      </c>
      <c r="C118" s="222">
        <v>0</v>
      </c>
      <c r="D118" s="225">
        <v>0</v>
      </c>
      <c r="E118" s="223">
        <f t="shared" si="53"/>
        <v>0</v>
      </c>
      <c r="F118" s="224">
        <f t="shared" si="59"/>
        <v>0</v>
      </c>
      <c r="G118" s="180">
        <f t="shared" si="54"/>
        <v>0</v>
      </c>
      <c r="H118" s="635">
        <f>ROUND(F118*'Actual Load'!$B$20/'Zonal Load'!$N$20,2)</f>
        <v>0</v>
      </c>
      <c r="I118" s="180">
        <f t="shared" si="55"/>
        <v>0</v>
      </c>
      <c r="J118" s="180">
        <f t="shared" si="56"/>
        <v>0</v>
      </c>
      <c r="K118" s="180">
        <f t="shared" si="57"/>
        <v>0</v>
      </c>
      <c r="L118" s="181">
        <f>E118*'Interest Over Collect'!$J$6</f>
        <v>0</v>
      </c>
      <c r="M118" s="180">
        <f t="shared" si="60"/>
        <v>0</v>
      </c>
      <c r="N118" s="86"/>
    </row>
    <row r="119" spans="1:14">
      <c r="A119" s="172"/>
      <c r="B119" s="25"/>
      <c r="C119" s="26">
        <f>SUM(C97:C118)</f>
        <v>0</v>
      </c>
      <c r="D119" s="27">
        <f>SUM(D97:D118)</f>
        <v>1</v>
      </c>
      <c r="E119" s="101">
        <f>SUM(E97:E118)</f>
        <v>1</v>
      </c>
      <c r="F119" s="95">
        <f>SUM(F97:F118)</f>
        <v>459778.48</v>
      </c>
      <c r="G119" s="78">
        <f t="shared" ref="G119:M119" si="61">SUM(G97:G118)</f>
        <v>20096.937704852491</v>
      </c>
      <c r="H119" s="138">
        <f t="shared" si="61"/>
        <v>439222.86</v>
      </c>
      <c r="I119" s="79">
        <f t="shared" si="61"/>
        <v>461007.35</v>
      </c>
      <c r="J119" s="79">
        <f t="shared" si="61"/>
        <v>1228.8699999999953</v>
      </c>
      <c r="K119" s="561">
        <f t="shared" si="61"/>
        <v>21325.807704852486</v>
      </c>
      <c r="L119" s="79">
        <f t="shared" si="61"/>
        <v>439.38</v>
      </c>
      <c r="M119" s="79">
        <f t="shared" si="61"/>
        <v>21765.187704852488</v>
      </c>
    </row>
    <row r="120" spans="1:14">
      <c r="A120" s="172"/>
      <c r="G120" s="21"/>
      <c r="I120" s="80"/>
    </row>
    <row r="121" spans="1:14">
      <c r="A121" s="172"/>
      <c r="E121" s="96" t="s">
        <v>618</v>
      </c>
      <c r="F121" s="178">
        <v>459778.48317807046</v>
      </c>
      <c r="H121" s="139"/>
      <c r="I121" s="29"/>
      <c r="K121" s="65"/>
      <c r="L121" s="81"/>
    </row>
    <row r="122" spans="1:14">
      <c r="A122" s="172"/>
      <c r="E122" s="97" t="s">
        <v>619</v>
      </c>
      <c r="F122" s="179">
        <v>439681.54547321796</v>
      </c>
      <c r="G122" s="632">
        <f>F121-F122</f>
        <v>20096.937704852491</v>
      </c>
      <c r="H122" s="633"/>
      <c r="L122" s="81"/>
    </row>
    <row r="123" spans="1:14">
      <c r="A123" s="172"/>
      <c r="E123" s="97" t="s">
        <v>160</v>
      </c>
      <c r="F123" s="186">
        <f>I119</f>
        <v>461007.35</v>
      </c>
      <c r="G123" s="632">
        <f>F123-F121</f>
        <v>1228.8668219295214</v>
      </c>
      <c r="H123" s="634"/>
      <c r="L123" s="81"/>
    </row>
    <row r="124" spans="1:14">
      <c r="A124" s="172"/>
      <c r="G124" s="632">
        <f>G122+G123</f>
        <v>21325.804526782013</v>
      </c>
      <c r="H124" s="633">
        <f>F123-F122</f>
        <v>21325.804526782013</v>
      </c>
    </row>
    <row r="125" spans="1:14">
      <c r="A125" s="172"/>
      <c r="B125" s="82"/>
      <c r="C125" s="82"/>
      <c r="D125" s="82"/>
      <c r="E125" s="82"/>
      <c r="F125" s="82"/>
      <c r="G125" s="82"/>
      <c r="H125" s="82"/>
      <c r="I125" s="82"/>
      <c r="J125" s="111"/>
      <c r="K125" s="82"/>
      <c r="L125" s="82"/>
      <c r="M125" s="82"/>
    </row>
    <row r="126" spans="1:14">
      <c r="A126" s="172"/>
    </row>
    <row r="127" spans="1:14" ht="15.75" customHeight="1">
      <c r="A127" s="172"/>
      <c r="B127" s="72" t="s">
        <v>0</v>
      </c>
      <c r="C127" s="641" t="s">
        <v>115</v>
      </c>
      <c r="D127" s="665"/>
      <c r="E127" s="665"/>
      <c r="F127" s="665"/>
      <c r="G127" s="665"/>
      <c r="H127" s="666"/>
      <c r="I127" s="1"/>
    </row>
    <row r="128" spans="1:14" ht="15.75" customHeight="1">
      <c r="A128" s="172"/>
      <c r="B128" s="70" t="s">
        <v>2</v>
      </c>
      <c r="C128" s="646" t="s">
        <v>116</v>
      </c>
      <c r="D128" s="668"/>
      <c r="E128" s="668"/>
      <c r="F128" s="668"/>
      <c r="G128" s="668"/>
      <c r="H128" s="669"/>
      <c r="I128" s="1"/>
    </row>
    <row r="129" spans="1:14" ht="15.75" customHeight="1">
      <c r="A129" s="172"/>
      <c r="B129" s="70" t="s">
        <v>4</v>
      </c>
      <c r="C129" s="646" t="s">
        <v>117</v>
      </c>
      <c r="D129" s="668"/>
      <c r="E129" s="668"/>
      <c r="F129" s="668"/>
      <c r="G129" s="668"/>
      <c r="H129" s="669"/>
      <c r="I129" s="1"/>
    </row>
    <row r="130" spans="1:14" ht="15.75" customHeight="1">
      <c r="A130" s="172"/>
      <c r="B130" s="71" t="s">
        <v>6</v>
      </c>
      <c r="C130" s="676" t="s">
        <v>7</v>
      </c>
      <c r="D130" s="662"/>
      <c r="E130" s="662"/>
      <c r="F130" s="662"/>
      <c r="G130" s="662"/>
      <c r="H130" s="663"/>
      <c r="I130" s="1"/>
    </row>
    <row r="131" spans="1:14">
      <c r="A131" s="172"/>
      <c r="B131" s="76"/>
      <c r="C131" s="76"/>
      <c r="D131" s="76"/>
      <c r="E131" s="76"/>
      <c r="F131" s="76"/>
      <c r="J131" s="105" t="s">
        <v>163</v>
      </c>
      <c r="K131" s="3" t="s">
        <v>42</v>
      </c>
      <c r="M131" s="3" t="s">
        <v>56</v>
      </c>
    </row>
    <row r="132" spans="1:14">
      <c r="A132" s="172"/>
      <c r="B132" s="76"/>
      <c r="C132" s="76"/>
      <c r="D132" s="76"/>
      <c r="E132" s="76"/>
      <c r="F132" s="76"/>
      <c r="G132" s="3" t="s">
        <v>39</v>
      </c>
      <c r="H132" s="134" t="s">
        <v>40</v>
      </c>
      <c r="I132" s="98" t="s">
        <v>41</v>
      </c>
      <c r="J132" s="106" t="s">
        <v>164</v>
      </c>
      <c r="K132" s="4" t="s">
        <v>165</v>
      </c>
      <c r="L132" s="4" t="s">
        <v>55</v>
      </c>
      <c r="M132" s="4" t="s">
        <v>166</v>
      </c>
      <c r="N132" s="202"/>
    </row>
    <row r="133" spans="1:14">
      <c r="A133" s="172"/>
      <c r="B133" s="76"/>
      <c r="C133" s="76"/>
      <c r="D133" s="76"/>
      <c r="E133" s="76"/>
      <c r="F133" s="76"/>
      <c r="G133" s="5"/>
      <c r="H133" s="658" t="s">
        <v>43</v>
      </c>
      <c r="I133" s="659"/>
      <c r="J133" s="660"/>
      <c r="K133" s="6" t="s">
        <v>44</v>
      </c>
      <c r="L133" s="5"/>
      <c r="M133" s="6" t="s">
        <v>45</v>
      </c>
      <c r="N133" s="202"/>
    </row>
    <row r="134" spans="1:14">
      <c r="A134" s="172"/>
      <c r="B134" s="77"/>
      <c r="C134" s="7">
        <v>0.2</v>
      </c>
      <c r="D134" s="7">
        <v>0.8</v>
      </c>
      <c r="E134" s="7"/>
      <c r="F134" s="92" t="s">
        <v>162</v>
      </c>
      <c r="G134" s="8" t="s">
        <v>46</v>
      </c>
      <c r="H134" s="135"/>
      <c r="I134" s="5"/>
      <c r="J134" s="107" t="s">
        <v>47</v>
      </c>
      <c r="K134" s="8" t="s">
        <v>48</v>
      </c>
      <c r="L134" s="9"/>
      <c r="M134" s="8" t="s">
        <v>49</v>
      </c>
    </row>
    <row r="135" spans="1:14">
      <c r="A135" s="172"/>
      <c r="B135" s="10"/>
      <c r="C135" s="69" t="s">
        <v>9</v>
      </c>
      <c r="D135" s="69" t="s">
        <v>10</v>
      </c>
      <c r="E135" s="69" t="s">
        <v>11</v>
      </c>
      <c r="F135" s="93" t="s">
        <v>8</v>
      </c>
      <c r="G135" s="11" t="s">
        <v>50</v>
      </c>
      <c r="H135" s="136" t="s">
        <v>51</v>
      </c>
      <c r="I135" s="12" t="s">
        <v>159</v>
      </c>
      <c r="J135" s="108" t="s">
        <v>50</v>
      </c>
      <c r="K135" s="12" t="s">
        <v>50</v>
      </c>
      <c r="L135" s="12" t="s">
        <v>52</v>
      </c>
      <c r="M135" s="12" t="s">
        <v>53</v>
      </c>
    </row>
    <row r="136" spans="1:14" ht="31.5">
      <c r="A136" s="172"/>
      <c r="B136" s="13" t="s">
        <v>13</v>
      </c>
      <c r="C136" s="14" t="s">
        <v>14</v>
      </c>
      <c r="D136" s="14" t="s">
        <v>14</v>
      </c>
      <c r="E136" s="15" t="s">
        <v>14</v>
      </c>
      <c r="F136" s="94" t="s">
        <v>15</v>
      </c>
      <c r="G136" s="16" t="s">
        <v>54</v>
      </c>
      <c r="H136" s="137"/>
      <c r="I136" s="17"/>
      <c r="J136" s="109" t="s">
        <v>54</v>
      </c>
      <c r="K136" s="17"/>
      <c r="L136" s="17"/>
      <c r="M136" s="16" t="s">
        <v>54</v>
      </c>
    </row>
    <row r="137" spans="1:14" s="185" customFormat="1">
      <c r="B137" s="18" t="s">
        <v>16</v>
      </c>
      <c r="C137" s="225">
        <f>0.011821133757974%*2</f>
        <v>2.3642267515948002E-4</v>
      </c>
      <c r="D137" s="225">
        <v>0</v>
      </c>
      <c r="E137" s="223">
        <f t="shared" ref="E137:E158" si="62">C137+D137</f>
        <v>2.3642267515948002E-4</v>
      </c>
      <c r="F137" s="226">
        <f>ROUND(+E137*F$161,2)</f>
        <v>146.1</v>
      </c>
      <c r="G137" s="180">
        <f t="shared" ref="G137:G158" si="63">(F$161-F$162)*E137</f>
        <v>6.2263830252842212</v>
      </c>
      <c r="H137" s="635">
        <f>ROUND(F137*'Actual Load'!$B$8/'Zonal Load'!$N$8,2)</f>
        <v>146.1</v>
      </c>
      <c r="I137" s="180">
        <f t="shared" ref="I137:I158" si="64">ROUND((H137*$H$912)/$H$910,2)</f>
        <v>153.35</v>
      </c>
      <c r="J137" s="180">
        <f t="shared" ref="J137:J158" si="65">I137-F137</f>
        <v>7.25</v>
      </c>
      <c r="K137" s="180">
        <f t="shared" ref="K137:K158" si="66">+G137+J137</f>
        <v>13.476383025284221</v>
      </c>
      <c r="L137" s="181">
        <f>E137*'Interest Over Collect'!$J$7</f>
        <v>0.13962177504218251</v>
      </c>
      <c r="M137" s="180">
        <f t="shared" ref="M137:M144" si="67">+K137+L137</f>
        <v>13.616004800326404</v>
      </c>
      <c r="N137" s="86"/>
    </row>
    <row r="138" spans="1:14" s="185" customFormat="1">
      <c r="B138" s="23" t="s">
        <v>17</v>
      </c>
      <c r="C138" s="225">
        <f>0.000617840076840076%*2</f>
        <v>1.2356801536801521E-5</v>
      </c>
      <c r="D138" s="225">
        <v>0</v>
      </c>
      <c r="E138" s="223">
        <f t="shared" si="62"/>
        <v>1.2356801536801521E-5</v>
      </c>
      <c r="F138" s="224">
        <f>ROUND(+E138*F$161,2)</f>
        <v>7.64</v>
      </c>
      <c r="G138" s="180">
        <f t="shared" si="63"/>
        <v>0.32542639695472508</v>
      </c>
      <c r="H138" s="635">
        <f>ROUND(F138*'Actual Load'!$B$14/'Zonal Load'!$N$14,2)</f>
        <v>7.38</v>
      </c>
      <c r="I138" s="180">
        <f t="shared" si="64"/>
        <v>7.75</v>
      </c>
      <c r="J138" s="180">
        <f t="shared" si="65"/>
        <v>0.11000000000000032</v>
      </c>
      <c r="K138" s="180">
        <f t="shared" si="66"/>
        <v>0.4354263969547254</v>
      </c>
      <c r="L138" s="181">
        <f>E138*'Interest Over Collect'!$J$7</f>
        <v>7.2974327155735054E-3</v>
      </c>
      <c r="M138" s="180">
        <f t="shared" si="67"/>
        <v>0.44272382967029889</v>
      </c>
      <c r="N138" s="86"/>
    </row>
    <row r="139" spans="1:14" s="185" customFormat="1">
      <c r="B139" s="23" t="s">
        <v>201</v>
      </c>
      <c r="C139" s="225">
        <f>(0.0107846485010274%*2)*0.421</f>
        <v>9.0806740378650692E-5</v>
      </c>
      <c r="D139" s="225">
        <f>0%*0.421</f>
        <v>0</v>
      </c>
      <c r="E139" s="223">
        <f t="shared" si="62"/>
        <v>9.0806740378650692E-5</v>
      </c>
      <c r="F139" s="224">
        <f t="shared" ref="F139:F158" si="68">ROUND(+E139*F$161,2)</f>
        <v>56.12</v>
      </c>
      <c r="G139" s="180">
        <f t="shared" si="63"/>
        <v>2.3914692044391699</v>
      </c>
      <c r="H139" s="635">
        <f>ROUND(F139*'Actual Load'!$B$9/'Zonal Load'!$N$9,2)</f>
        <v>56.12</v>
      </c>
      <c r="I139" s="180">
        <f t="shared" si="64"/>
        <v>58.9</v>
      </c>
      <c r="J139" s="180">
        <f t="shared" si="65"/>
        <v>2.7800000000000011</v>
      </c>
      <c r="K139" s="180">
        <f t="shared" si="66"/>
        <v>5.1714692044391715</v>
      </c>
      <c r="L139" s="181">
        <f>E139*'Interest Over Collect'!$J$7</f>
        <v>5.3626828598015951E-2</v>
      </c>
      <c r="M139" s="180">
        <f t="shared" si="67"/>
        <v>5.2250960330371878</v>
      </c>
      <c r="N139" s="86"/>
    </row>
    <row r="140" spans="1:14" s="185" customFormat="1">
      <c r="B140" s="132" t="s">
        <v>260</v>
      </c>
      <c r="C140" s="225">
        <f>(0.0107846485010274%*2)*0.579</f>
        <v>1.2488622964189726E-4</v>
      </c>
      <c r="D140" s="225">
        <f>0%*0.579</f>
        <v>0</v>
      </c>
      <c r="E140" s="223">
        <f>C140+D140</f>
        <v>1.2488622964189726E-4</v>
      </c>
      <c r="F140" s="224">
        <f t="shared" si="68"/>
        <v>77.180000000000007</v>
      </c>
      <c r="G140" s="180">
        <f>(F$161-F$162)*E140</f>
        <v>3.2889802122809484</v>
      </c>
      <c r="H140" s="635">
        <f>ROUND(F140*'Actual Load'!$B$10/'Zonal Load'!$N$10,2)</f>
        <v>77.42</v>
      </c>
      <c r="I140" s="180">
        <f t="shared" si="64"/>
        <v>81.260000000000005</v>
      </c>
      <c r="J140" s="180">
        <f>I140-F140</f>
        <v>4.0799999999999983</v>
      </c>
      <c r="K140" s="180">
        <f>+G140+J140</f>
        <v>7.3689802122809471</v>
      </c>
      <c r="L140" s="181">
        <f>E140*'Interest Over Collect'!$J$7</f>
        <v>7.3752811777318836E-2</v>
      </c>
      <c r="M140" s="180">
        <f>+K140+L140</f>
        <v>7.4427330240582661</v>
      </c>
      <c r="N140" s="86"/>
    </row>
    <row r="141" spans="1:14" s="185" customFormat="1">
      <c r="B141" s="23" t="s">
        <v>18</v>
      </c>
      <c r="C141" s="225">
        <f>0.00111095238254239%*2</f>
        <v>2.2219047650847801E-5</v>
      </c>
      <c r="D141" s="225">
        <v>0</v>
      </c>
      <c r="E141" s="223">
        <f t="shared" si="62"/>
        <v>2.2219047650847801E-5</v>
      </c>
      <c r="F141" s="224">
        <f t="shared" si="68"/>
        <v>13.73</v>
      </c>
      <c r="G141" s="180">
        <f t="shared" si="63"/>
        <v>0.58515665232998149</v>
      </c>
      <c r="H141" s="635">
        <f>ROUND(F141*'Actual Load'!$B$26/'Zonal Load'!$N$26,2)</f>
        <v>13.53</v>
      </c>
      <c r="I141" s="180">
        <f t="shared" si="64"/>
        <v>14.2</v>
      </c>
      <c r="J141" s="180">
        <f t="shared" si="65"/>
        <v>0.46999999999999886</v>
      </c>
      <c r="K141" s="180">
        <f t="shared" si="66"/>
        <v>1.0551566523299805</v>
      </c>
      <c r="L141" s="181">
        <f>E141*'Interest Over Collect'!$J$7</f>
        <v>1.3121680780684677E-2</v>
      </c>
      <c r="M141" s="180">
        <f t="shared" si="67"/>
        <v>1.0682783331106651</v>
      </c>
      <c r="N141" s="86"/>
    </row>
    <row r="142" spans="1:14" s="185" customFormat="1">
      <c r="B142" s="23" t="s">
        <v>19</v>
      </c>
      <c r="C142" s="225">
        <f>0.00278170302754758%*2</f>
        <v>5.5634060550951598E-5</v>
      </c>
      <c r="D142" s="225">
        <v>0</v>
      </c>
      <c r="E142" s="223">
        <f t="shared" si="62"/>
        <v>5.5634060550951598E-5</v>
      </c>
      <c r="F142" s="224">
        <f t="shared" si="68"/>
        <v>34.380000000000003</v>
      </c>
      <c r="G142" s="180">
        <f t="shared" si="63"/>
        <v>1.4651681358753534</v>
      </c>
      <c r="H142" s="635">
        <f>ROUND(F142*'Actual Load'!$B$16/'Zonal Load'!$N$16,2)</f>
        <v>32.67</v>
      </c>
      <c r="I142" s="180">
        <f t="shared" si="64"/>
        <v>34.29</v>
      </c>
      <c r="J142" s="180">
        <f t="shared" si="65"/>
        <v>-9.0000000000003411E-2</v>
      </c>
      <c r="K142" s="180">
        <f t="shared" si="66"/>
        <v>1.37516813587535</v>
      </c>
      <c r="L142" s="181">
        <f>E142*'Interest Over Collect'!$J$7</f>
        <v>3.2855250798969976E-2</v>
      </c>
      <c r="M142" s="180">
        <f t="shared" si="67"/>
        <v>1.4080233866743199</v>
      </c>
      <c r="N142" s="86"/>
    </row>
    <row r="143" spans="1:14" s="185" customFormat="1">
      <c r="B143" s="23" t="s">
        <v>20</v>
      </c>
      <c r="C143" s="225">
        <f>0.00309053986609718%*2</f>
        <v>6.1810797321943596E-5</v>
      </c>
      <c r="D143" s="225">
        <v>0</v>
      </c>
      <c r="E143" s="223">
        <f t="shared" si="62"/>
        <v>6.1810797321943596E-5</v>
      </c>
      <c r="F143" s="224">
        <f t="shared" si="68"/>
        <v>38.200000000000003</v>
      </c>
      <c r="G143" s="180">
        <f t="shared" si="63"/>
        <v>1.6278375116304959</v>
      </c>
      <c r="H143" s="635">
        <f>ROUND(F143*'Actual Load'!$B$22/'Zonal Load'!$N$22,2)</f>
        <v>36.590000000000003</v>
      </c>
      <c r="I143" s="180">
        <f t="shared" si="64"/>
        <v>38.4</v>
      </c>
      <c r="J143" s="180">
        <f t="shared" si="65"/>
        <v>0.19999999999999574</v>
      </c>
      <c r="K143" s="180">
        <f t="shared" si="66"/>
        <v>1.8278375116304917</v>
      </c>
      <c r="L143" s="181">
        <f>E143*'Interest Over Collect'!$J$7</f>
        <v>3.6502984466447008E-2</v>
      </c>
      <c r="M143" s="180">
        <f t="shared" si="67"/>
        <v>1.8643404960969387</v>
      </c>
      <c r="N143" s="86"/>
    </row>
    <row r="144" spans="1:14" s="185" customFormat="1">
      <c r="B144" s="23" t="s">
        <v>21</v>
      </c>
      <c r="C144" s="225">
        <f>0.007689504908766%*2</f>
        <v>1.5379009817531998E-4</v>
      </c>
      <c r="D144" s="225">
        <v>0</v>
      </c>
      <c r="E144" s="223">
        <f t="shared" si="62"/>
        <v>1.5379009817531998E-4</v>
      </c>
      <c r="F144" s="224">
        <f t="shared" si="68"/>
        <v>95.04</v>
      </c>
      <c r="G144" s="180">
        <f t="shared" si="63"/>
        <v>4.0501870477934583</v>
      </c>
      <c r="H144" s="635">
        <f>ROUND(F144*'Actual Load'!$B$17/'Zonal Load'!$N$17,2)</f>
        <v>92.6</v>
      </c>
      <c r="I144" s="180">
        <f t="shared" si="64"/>
        <v>97.19</v>
      </c>
      <c r="J144" s="180">
        <f t="shared" si="65"/>
        <v>2.1499999999999915</v>
      </c>
      <c r="K144" s="180">
        <f t="shared" si="66"/>
        <v>6.2001870477934498</v>
      </c>
      <c r="L144" s="181">
        <f>E144*'Interest Over Collect'!$J$7</f>
        <v>9.0822280378416956E-2</v>
      </c>
      <c r="M144" s="180">
        <f t="shared" si="67"/>
        <v>6.2910093281718664</v>
      </c>
      <c r="N144" s="86"/>
    </row>
    <row r="145" spans="1:14" s="185" customFormat="1">
      <c r="B145" s="23" t="s">
        <v>22</v>
      </c>
      <c r="C145" s="225">
        <f>0.0100941972679958%*2</f>
        <v>2.0188394535991601E-4</v>
      </c>
      <c r="D145" s="225">
        <v>0</v>
      </c>
      <c r="E145" s="223">
        <f t="shared" si="62"/>
        <v>2.0188394535991601E-4</v>
      </c>
      <c r="F145" s="224">
        <f t="shared" si="68"/>
        <v>124.76</v>
      </c>
      <c r="G145" s="180">
        <f t="shared" si="63"/>
        <v>5.3167775452099439</v>
      </c>
      <c r="H145" s="635">
        <f>ROUND(F145*'Actual Load'!$B$15/'Zonal Load'!$N$15,2)</f>
        <v>119.15</v>
      </c>
      <c r="I145" s="180">
        <f t="shared" si="64"/>
        <v>125.06</v>
      </c>
      <c r="J145" s="180">
        <f t="shared" si="65"/>
        <v>0.29999999999999716</v>
      </c>
      <c r="K145" s="180">
        <f t="shared" si="66"/>
        <v>5.6167775452099411</v>
      </c>
      <c r="L145" s="181">
        <f>E145*'Interest Over Collect'!$J$7</f>
        <v>0.11922458277175199</v>
      </c>
      <c r="M145" s="180">
        <f>+K145+L145</f>
        <v>5.7360021279816928</v>
      </c>
      <c r="N145" s="86"/>
    </row>
    <row r="146" spans="1:14" s="185" customFormat="1">
      <c r="B146" s="23" t="s">
        <v>23</v>
      </c>
      <c r="C146" s="225">
        <f>0.00317585938669022%*2</f>
        <v>6.3517187733804395E-5</v>
      </c>
      <c r="D146" s="225">
        <v>0</v>
      </c>
      <c r="E146" s="223">
        <f t="shared" si="62"/>
        <v>6.3517187733804395E-5</v>
      </c>
      <c r="F146" s="224">
        <f t="shared" si="68"/>
        <v>39.25</v>
      </c>
      <c r="G146" s="180">
        <f t="shared" si="63"/>
        <v>1.672776687992285</v>
      </c>
      <c r="H146" s="635">
        <f>ROUND(F146*'Actual Load'!$B$4/'Zonal Load'!$N$4,2)</f>
        <v>38.6</v>
      </c>
      <c r="I146" s="180">
        <f t="shared" si="64"/>
        <v>40.51</v>
      </c>
      <c r="J146" s="180">
        <f t="shared" si="65"/>
        <v>1.259999999999998</v>
      </c>
      <c r="K146" s="180">
        <f t="shared" si="66"/>
        <v>2.9327766879922832</v>
      </c>
      <c r="L146" s="181">
        <f>E146*'Interest Over Collect'!$J$7</f>
        <v>3.7510710388075519E-2</v>
      </c>
      <c r="M146" s="180">
        <f t="shared" ref="M146:M158" si="69">+K146+L146</f>
        <v>2.9702873983803588</v>
      </c>
      <c r="N146" s="86"/>
    </row>
    <row r="147" spans="1:14" s="185" customFormat="1">
      <c r="B147" s="23" t="s">
        <v>24</v>
      </c>
      <c r="C147" s="225">
        <f>0.00022366718416561%*2</f>
        <v>4.4733436833121996E-6</v>
      </c>
      <c r="D147" s="225">
        <v>0</v>
      </c>
      <c r="E147" s="223">
        <f t="shared" si="62"/>
        <v>4.4733436833121996E-6</v>
      </c>
      <c r="F147" s="224">
        <f t="shared" si="68"/>
        <v>2.76</v>
      </c>
      <c r="G147" s="180">
        <f t="shared" si="63"/>
        <v>0.11780913635821637</v>
      </c>
      <c r="H147" s="635">
        <f>ROUND(F147*'Actual Load'!$B$11/'Zonal Load'!$N$11,2)</f>
        <v>2.72</v>
      </c>
      <c r="I147" s="180">
        <f t="shared" si="64"/>
        <v>2.85</v>
      </c>
      <c r="J147" s="180">
        <f t="shared" si="65"/>
        <v>9.0000000000000302E-2</v>
      </c>
      <c r="K147" s="180">
        <f t="shared" si="66"/>
        <v>0.20780913635821668</v>
      </c>
      <c r="L147" s="181">
        <f>E147*'Interest Over Collect'!$J$7</f>
        <v>2.6417778456168522E-3</v>
      </c>
      <c r="M147" s="180">
        <f t="shared" si="69"/>
        <v>0.21045091420383355</v>
      </c>
      <c r="N147" s="86"/>
    </row>
    <row r="148" spans="1:14" s="185" customFormat="1">
      <c r="B148" s="23" t="s">
        <v>25</v>
      </c>
      <c r="C148" s="225">
        <f>0.00758599886735162%*2</f>
        <v>1.5171997734703241E-4</v>
      </c>
      <c r="D148" s="225">
        <v>0</v>
      </c>
      <c r="E148" s="223">
        <f t="shared" si="62"/>
        <v>1.5171997734703241E-4</v>
      </c>
      <c r="F148" s="224">
        <f t="shared" si="68"/>
        <v>93.76</v>
      </c>
      <c r="G148" s="180">
        <f t="shared" si="63"/>
        <v>3.995668735720209</v>
      </c>
      <c r="H148" s="635">
        <f>ROUND(F148*'Actual Load'!$B$6/'Zonal Load'!$N$6,2)</f>
        <v>91.47</v>
      </c>
      <c r="I148" s="180">
        <f t="shared" si="64"/>
        <v>96.01</v>
      </c>
      <c r="J148" s="180">
        <f t="shared" si="65"/>
        <v>2.25</v>
      </c>
      <c r="K148" s="180">
        <f t="shared" si="66"/>
        <v>6.2456687357202085</v>
      </c>
      <c r="L148" s="181">
        <f>E148*'Interest Over Collect'!$J$7</f>
        <v>8.9599749822063451E-2</v>
      </c>
      <c r="M148" s="180">
        <f t="shared" si="69"/>
        <v>6.3352684855422723</v>
      </c>
      <c r="N148" s="86"/>
    </row>
    <row r="149" spans="1:14" s="185" customFormat="1">
      <c r="B149" s="23" t="s">
        <v>26</v>
      </c>
      <c r="C149" s="225">
        <f>0.00748513685298871%*2</f>
        <v>1.497027370597742E-4</v>
      </c>
      <c r="D149" s="225">
        <v>0</v>
      </c>
      <c r="E149" s="223">
        <f t="shared" si="62"/>
        <v>1.497027370597742E-4</v>
      </c>
      <c r="F149" s="224">
        <f t="shared" si="68"/>
        <v>92.51</v>
      </c>
      <c r="G149" s="180">
        <f t="shared" si="63"/>
        <v>3.9425430756115434</v>
      </c>
      <c r="H149" s="635">
        <f>ROUND(F149*'Actual Load'!$B$7/'Zonal Load'!$N$7,2)</f>
        <v>86.78</v>
      </c>
      <c r="I149" s="180">
        <f t="shared" si="64"/>
        <v>91.08</v>
      </c>
      <c r="J149" s="180">
        <f t="shared" si="65"/>
        <v>-1.4300000000000068</v>
      </c>
      <c r="K149" s="180">
        <f t="shared" si="66"/>
        <v>2.5125430756115366</v>
      </c>
      <c r="L149" s="181">
        <f>E149*'Interest Over Collect'!$J$7</f>
        <v>8.8408448398020242E-2</v>
      </c>
      <c r="M149" s="180">
        <f t="shared" si="69"/>
        <v>2.6009515240095569</v>
      </c>
      <c r="N149" s="86"/>
    </row>
    <row r="150" spans="1:14" s="185" customFormat="1">
      <c r="B150" s="23" t="s">
        <v>27</v>
      </c>
      <c r="C150" s="225">
        <f>0.000351168284317986%*2</f>
        <v>7.0233656863597203E-6</v>
      </c>
      <c r="D150" s="225">
        <v>0</v>
      </c>
      <c r="E150" s="223">
        <f t="shared" si="62"/>
        <v>7.0233656863597203E-6</v>
      </c>
      <c r="F150" s="224">
        <f t="shared" si="68"/>
        <v>4.34</v>
      </c>
      <c r="G150" s="180">
        <f t="shared" si="63"/>
        <v>0.18496603534502534</v>
      </c>
      <c r="H150" s="635">
        <f>ROUND(F150*'Actual Load'!$B$12/'Zonal Load'!$N$12,2)</f>
        <v>4.3600000000000003</v>
      </c>
      <c r="I150" s="180">
        <f t="shared" si="64"/>
        <v>4.58</v>
      </c>
      <c r="J150" s="180">
        <f t="shared" si="65"/>
        <v>0.24000000000000021</v>
      </c>
      <c r="K150" s="180">
        <f t="shared" si="66"/>
        <v>0.42496603534502553</v>
      </c>
      <c r="L150" s="181">
        <f>E150*'Interest Over Collect'!$J$7</f>
        <v>4.1477188397365961E-3</v>
      </c>
      <c r="M150" s="180">
        <f t="shared" si="69"/>
        <v>0.42911375418476211</v>
      </c>
      <c r="N150" s="86"/>
    </row>
    <row r="151" spans="1:14" s="185" customFormat="1">
      <c r="B151" s="23" t="s">
        <v>28</v>
      </c>
      <c r="C151" s="225">
        <f>0.000370617604680213%*2</f>
        <v>7.4123520936042607E-6</v>
      </c>
      <c r="D151" s="225">
        <v>0</v>
      </c>
      <c r="E151" s="223">
        <f t="shared" si="62"/>
        <v>7.4123520936042607E-6</v>
      </c>
      <c r="F151" s="224">
        <f t="shared" si="68"/>
        <v>4.58</v>
      </c>
      <c r="G151" s="180">
        <f t="shared" si="63"/>
        <v>0.19521030807182679</v>
      </c>
      <c r="H151" s="635">
        <f>ROUND(F151*'Actual Load'!$B$24/'Zonal Load'!$N$24,2)</f>
        <v>4.55</v>
      </c>
      <c r="I151" s="180">
        <f t="shared" si="64"/>
        <v>4.78</v>
      </c>
      <c r="J151" s="180">
        <f t="shared" si="65"/>
        <v>0.20000000000000018</v>
      </c>
      <c r="K151" s="180">
        <f t="shared" si="66"/>
        <v>0.395210308071827</v>
      </c>
      <c r="L151" s="181">
        <f>E151*'Interest Over Collect'!$J$7</f>
        <v>4.3774386523989317E-3</v>
      </c>
      <c r="M151" s="180">
        <f t="shared" si="69"/>
        <v>0.39958774672422592</v>
      </c>
      <c r="N151" s="86"/>
    </row>
    <row r="152" spans="1:14" s="185" customFormat="1">
      <c r="B152" s="23" t="s">
        <v>29</v>
      </c>
      <c r="C152" s="225">
        <f>0.0112768499302261%*2</f>
        <v>2.2553699860452199E-4</v>
      </c>
      <c r="D152" s="225">
        <v>0</v>
      </c>
      <c r="E152" s="223">
        <f t="shared" si="62"/>
        <v>2.2553699860452199E-4</v>
      </c>
      <c r="F152" s="224">
        <f t="shared" si="68"/>
        <v>139.38</v>
      </c>
      <c r="G152" s="180">
        <f t="shared" si="63"/>
        <v>5.9396998986560128</v>
      </c>
      <c r="H152" s="635">
        <f>ROUND(F152*'Actual Load'!$B$5/'Zonal Load'!$N$5,2)</f>
        <v>135.24</v>
      </c>
      <c r="I152" s="180">
        <f t="shared" si="64"/>
        <v>141.94999999999999</v>
      </c>
      <c r="J152" s="180">
        <f t="shared" si="65"/>
        <v>2.5699999999999932</v>
      </c>
      <c r="K152" s="180">
        <f t="shared" si="66"/>
        <v>8.509699898656006</v>
      </c>
      <c r="L152" s="181">
        <f>E152*'Interest Over Collect'!$J$7</f>
        <v>0.1331931298958865</v>
      </c>
      <c r="M152" s="180">
        <f t="shared" si="69"/>
        <v>8.6428930285518923</v>
      </c>
      <c r="N152" s="86"/>
    </row>
    <row r="153" spans="1:14" s="185" customFormat="1">
      <c r="B153" s="23" t="s">
        <v>30</v>
      </c>
      <c r="C153" s="225">
        <f>0.00848913654918854%*2</f>
        <v>1.697827309837708E-4</v>
      </c>
      <c r="D153" s="225">
        <f>49.9085239803374%*2</f>
        <v>0.99817047960674798</v>
      </c>
      <c r="E153" s="223">
        <f t="shared" si="62"/>
        <v>0.99834026233773177</v>
      </c>
      <c r="F153" s="224">
        <f t="shared" si="68"/>
        <v>616946.52</v>
      </c>
      <c r="G153" s="180">
        <f t="shared" si="63"/>
        <v>26292.101037619952</v>
      </c>
      <c r="H153" s="635">
        <f>ROUND(F153*'Actual Load'!$B$21/'Zonal Load'!$N$21,2)</f>
        <v>589364.29</v>
      </c>
      <c r="I153" s="180">
        <f t="shared" si="64"/>
        <v>618595.46</v>
      </c>
      <c r="J153" s="180">
        <f t="shared" si="65"/>
        <v>1648.9399999999441</v>
      </c>
      <c r="K153" s="180">
        <f t="shared" si="66"/>
        <v>27941.041037619896</v>
      </c>
      <c r="L153" s="181">
        <f>E153*'Interest Over Collect'!$J$7</f>
        <v>589.57982532617086</v>
      </c>
      <c r="M153" s="180">
        <f t="shared" si="69"/>
        <v>28530.620862946067</v>
      </c>
      <c r="N153" s="86"/>
    </row>
    <row r="154" spans="1:14" s="185" customFormat="1">
      <c r="B154" s="23" t="s">
        <v>31</v>
      </c>
      <c r="C154" s="225">
        <f>0.00181623984528443%*2</f>
        <v>3.6324796905688601E-5</v>
      </c>
      <c r="D154" s="225">
        <v>0</v>
      </c>
      <c r="E154" s="223">
        <f t="shared" si="62"/>
        <v>3.6324796905688601E-5</v>
      </c>
      <c r="F154" s="224">
        <f t="shared" si="68"/>
        <v>22.45</v>
      </c>
      <c r="G154" s="180">
        <f t="shared" si="63"/>
        <v>0.95664300684319248</v>
      </c>
      <c r="H154" s="635">
        <f>ROUND(F154*'Actual Load'!$B$19/'Zonal Load'!$N$19,2)</f>
        <v>20.9</v>
      </c>
      <c r="I154" s="180">
        <f t="shared" si="64"/>
        <v>21.94</v>
      </c>
      <c r="J154" s="180">
        <f t="shared" si="65"/>
        <v>-0.50999999999999801</v>
      </c>
      <c r="K154" s="180">
        <f t="shared" si="66"/>
        <v>0.44664300684319447</v>
      </c>
      <c r="L154" s="181">
        <f>E154*'Interest Over Collect'!$J$7</f>
        <v>2.1451972060623457E-2</v>
      </c>
      <c r="M154" s="180">
        <f t="shared" si="69"/>
        <v>0.4680949789038179</v>
      </c>
      <c r="N154" s="86"/>
    </row>
    <row r="155" spans="1:14" s="185" customFormat="1">
      <c r="B155" s="23" t="s">
        <v>32</v>
      </c>
      <c r="C155" s="225">
        <f>0.000276288400923413%*2</f>
        <v>5.5257680184682596E-6</v>
      </c>
      <c r="D155" s="225">
        <v>0</v>
      </c>
      <c r="E155" s="223">
        <f t="shared" si="62"/>
        <v>5.5257680184682596E-6</v>
      </c>
      <c r="F155" s="224">
        <f t="shared" si="68"/>
        <v>3.41</v>
      </c>
      <c r="G155" s="180">
        <f t="shared" si="63"/>
        <v>0.14552558534684026</v>
      </c>
      <c r="H155" s="635">
        <f>ROUND(F155*'Actual Load'!$B$25/'Zonal Load'!$N$25,2)</f>
        <v>3.26</v>
      </c>
      <c r="I155" s="180">
        <f t="shared" si="64"/>
        <v>3.42</v>
      </c>
      <c r="J155" s="180">
        <f t="shared" si="65"/>
        <v>9.9999999999997868E-3</v>
      </c>
      <c r="K155" s="180">
        <f t="shared" si="66"/>
        <v>0.15552558534684005</v>
      </c>
      <c r="L155" s="181">
        <f>E155*'Interest Over Collect'!$J$7</f>
        <v>3.2632975609866153E-3</v>
      </c>
      <c r="M155" s="180">
        <f t="shared" si="69"/>
        <v>0.15878888290782667</v>
      </c>
      <c r="N155" s="86"/>
    </row>
    <row r="156" spans="1:14" s="185" customFormat="1">
      <c r="B156" s="23" t="s">
        <v>33</v>
      </c>
      <c r="C156" s="225">
        <f>0.00107968163212288%*2</f>
        <v>2.1593632642457598E-5</v>
      </c>
      <c r="D156" s="225">
        <v>0</v>
      </c>
      <c r="E156" s="223">
        <f t="shared" si="62"/>
        <v>2.1593632642457598E-5</v>
      </c>
      <c r="F156" s="224">
        <f t="shared" si="68"/>
        <v>13.34</v>
      </c>
      <c r="G156" s="180">
        <f t="shared" si="63"/>
        <v>0.56868584051224025</v>
      </c>
      <c r="H156" s="635">
        <f>ROUND(F156*'Actual Load'!$B$13/'Zonal Load'!$N$13,2)</f>
        <v>12.94</v>
      </c>
      <c r="I156" s="180">
        <f t="shared" si="64"/>
        <v>13.58</v>
      </c>
      <c r="J156" s="180">
        <f t="shared" si="65"/>
        <v>0.24000000000000021</v>
      </c>
      <c r="K156" s="180">
        <f t="shared" si="66"/>
        <v>0.80868584051224046</v>
      </c>
      <c r="L156" s="181">
        <f>E156*'Interest Over Collect'!$J$7</f>
        <v>1.2752335693329758E-2</v>
      </c>
      <c r="M156" s="180">
        <f t="shared" si="69"/>
        <v>0.82143817620557025</v>
      </c>
      <c r="N156" s="86"/>
    </row>
    <row r="157" spans="1:14" s="185" customFormat="1">
      <c r="B157" s="23" t="s">
        <v>34</v>
      </c>
      <c r="C157" s="225">
        <f>0.000757027529112798%*2</f>
        <v>1.5140550582255961E-5</v>
      </c>
      <c r="D157" s="225">
        <v>0</v>
      </c>
      <c r="E157" s="223">
        <f t="shared" si="62"/>
        <v>1.5140550582255961E-5</v>
      </c>
      <c r="F157" s="224">
        <f t="shared" si="68"/>
        <v>9.36</v>
      </c>
      <c r="G157" s="180">
        <f t="shared" si="63"/>
        <v>0.39873868729056888</v>
      </c>
      <c r="H157" s="635">
        <f>ROUND(F157*'Actual Load'!$B$23/'Zonal Load'!$N$23,2)</f>
        <v>9.35</v>
      </c>
      <c r="I157" s="180">
        <f t="shared" si="64"/>
        <v>9.81</v>
      </c>
      <c r="J157" s="180">
        <f t="shared" si="65"/>
        <v>0.45000000000000107</v>
      </c>
      <c r="K157" s="180">
        <f t="shared" si="66"/>
        <v>0.84873868729057</v>
      </c>
      <c r="L157" s="181">
        <f>E157*'Interest Over Collect'!$J$7</f>
        <v>8.9414035518570797E-3</v>
      </c>
      <c r="M157" s="180">
        <f t="shared" si="69"/>
        <v>0.85768009084242713</v>
      </c>
      <c r="N157" s="86"/>
    </row>
    <row r="158" spans="1:14" s="185" customFormat="1">
      <c r="B158" s="24" t="s">
        <v>35</v>
      </c>
      <c r="C158" s="225">
        <f>0.000597827806705142%*2</f>
        <v>1.195655613410284E-5</v>
      </c>
      <c r="D158" s="225">
        <v>0</v>
      </c>
      <c r="E158" s="223">
        <f t="shared" si="62"/>
        <v>1.195655613410284E-5</v>
      </c>
      <c r="F158" s="224">
        <f t="shared" si="68"/>
        <v>7.39</v>
      </c>
      <c r="G158" s="180">
        <f t="shared" si="63"/>
        <v>0.31488560944510885</v>
      </c>
      <c r="H158" s="635">
        <f>ROUND(F158*'Actual Load'!$B$20/'Zonal Load'!$N$20,2)</f>
        <v>7.34</v>
      </c>
      <c r="I158" s="180">
        <f t="shared" si="64"/>
        <v>7.7</v>
      </c>
      <c r="J158" s="180">
        <f t="shared" si="65"/>
        <v>0.3100000000000005</v>
      </c>
      <c r="K158" s="180">
        <f t="shared" si="66"/>
        <v>0.6248856094451094</v>
      </c>
      <c r="L158" s="181">
        <f>E158*'Interest Over Collect'!$J$7</f>
        <v>7.061063790555773E-3</v>
      </c>
      <c r="M158" s="180">
        <f t="shared" si="69"/>
        <v>0.63194667323566522</v>
      </c>
      <c r="N158" s="86"/>
    </row>
    <row r="159" spans="1:14">
      <c r="A159" s="172"/>
      <c r="B159" s="25"/>
      <c r="C159" s="26">
        <f t="shared" ref="C159:M159" si="70">SUM(C137:C158)</f>
        <v>1.8295203932509614E-3</v>
      </c>
      <c r="D159" s="27">
        <f t="shared" si="70"/>
        <v>0.99817047960674798</v>
      </c>
      <c r="E159" s="101">
        <f t="shared" si="70"/>
        <v>0.999999999999999</v>
      </c>
      <c r="F159" s="95">
        <f t="shared" si="70"/>
        <v>617972.19999999995</v>
      </c>
      <c r="G159" s="78">
        <f t="shared" si="70"/>
        <v>26335.811575958945</v>
      </c>
      <c r="H159" s="138">
        <f t="shared" si="70"/>
        <v>590363.36</v>
      </c>
      <c r="I159" s="79">
        <f t="shared" si="70"/>
        <v>619644.06999999995</v>
      </c>
      <c r="J159" s="79">
        <f t="shared" si="70"/>
        <v>1671.8699999999442</v>
      </c>
      <c r="K159" s="561">
        <f t="shared" si="70"/>
        <v>28007.681575958886</v>
      </c>
      <c r="L159" s="79">
        <f t="shared" si="70"/>
        <v>590.55999999999938</v>
      </c>
      <c r="M159" s="79">
        <f t="shared" si="70"/>
        <v>28598.241575958884</v>
      </c>
    </row>
    <row r="160" spans="1:14">
      <c r="A160" s="172"/>
      <c r="G160" s="21"/>
      <c r="I160" s="80"/>
    </row>
    <row r="161" spans="1:14">
      <c r="A161" s="172"/>
      <c r="E161" s="96" t="s">
        <v>618</v>
      </c>
      <c r="F161" s="178">
        <v>617972.19631568203</v>
      </c>
      <c r="H161" s="139"/>
      <c r="I161" s="29"/>
      <c r="J161" s="112"/>
      <c r="K161" s="81"/>
      <c r="L161" s="84"/>
    </row>
    <row r="162" spans="1:14">
      <c r="A162" s="172"/>
      <c r="E162" s="97" t="s">
        <v>619</v>
      </c>
      <c r="F162" s="179">
        <v>591636.38473972306</v>
      </c>
      <c r="G162" s="632">
        <f>F161-F162</f>
        <v>26335.811575958971</v>
      </c>
      <c r="H162" s="633"/>
      <c r="L162" s="81"/>
    </row>
    <row r="163" spans="1:14">
      <c r="A163" s="172"/>
      <c r="E163" s="97" t="s">
        <v>160</v>
      </c>
      <c r="F163" s="186">
        <f>I159</f>
        <v>619644.06999999995</v>
      </c>
      <c r="G163" s="632">
        <f>F163-F161</f>
        <v>1671.8736843179213</v>
      </c>
      <c r="H163" s="634"/>
      <c r="L163" s="81"/>
    </row>
    <row r="164" spans="1:14">
      <c r="A164" s="172"/>
      <c r="G164" s="632">
        <f>G162+G163</f>
        <v>28007.685260276892</v>
      </c>
      <c r="H164" s="633">
        <f>F163-F162</f>
        <v>28007.685260276892</v>
      </c>
    </row>
    <row r="165" spans="1:14">
      <c r="A165" s="172"/>
      <c r="B165" s="82"/>
      <c r="C165" s="82"/>
      <c r="D165" s="82"/>
      <c r="E165" s="82"/>
      <c r="F165" s="82"/>
      <c r="G165" s="82"/>
      <c r="H165" s="82"/>
      <c r="I165" s="82"/>
      <c r="J165" s="111"/>
      <c r="K165" s="82"/>
      <c r="L165" s="82"/>
      <c r="M165" s="82"/>
    </row>
    <row r="166" spans="1:14">
      <c r="A166" s="172"/>
    </row>
    <row r="167" spans="1:14" ht="15.75" customHeight="1">
      <c r="A167" s="172"/>
      <c r="B167" s="72" t="s">
        <v>0</v>
      </c>
      <c r="C167" s="641">
        <v>1953</v>
      </c>
      <c r="D167" s="665"/>
      <c r="E167" s="665"/>
      <c r="F167" s="665"/>
      <c r="G167" s="665"/>
      <c r="H167" s="666"/>
      <c r="I167" s="1"/>
    </row>
    <row r="168" spans="1:14" ht="15.75" customHeight="1">
      <c r="A168" s="172"/>
      <c r="B168" s="70" t="s">
        <v>2</v>
      </c>
      <c r="C168" s="646" t="s">
        <v>118</v>
      </c>
      <c r="D168" s="668"/>
      <c r="E168" s="668"/>
      <c r="F168" s="668"/>
      <c r="G168" s="668"/>
      <c r="H168" s="669"/>
      <c r="I168" s="1"/>
    </row>
    <row r="169" spans="1:14" ht="15.75" customHeight="1">
      <c r="A169" s="172"/>
      <c r="B169" s="70" t="s">
        <v>4</v>
      </c>
      <c r="C169" s="646" t="s">
        <v>38</v>
      </c>
      <c r="D169" s="668"/>
      <c r="E169" s="668"/>
      <c r="F169" s="668"/>
      <c r="G169" s="668"/>
      <c r="H169" s="669"/>
      <c r="I169" s="1"/>
    </row>
    <row r="170" spans="1:14" ht="15.75" customHeight="1">
      <c r="A170" s="172"/>
      <c r="B170" s="71" t="s">
        <v>6</v>
      </c>
      <c r="C170" s="676" t="s">
        <v>7</v>
      </c>
      <c r="D170" s="662"/>
      <c r="E170" s="662"/>
      <c r="F170" s="662"/>
      <c r="G170" s="662"/>
      <c r="H170" s="663"/>
      <c r="I170" s="1"/>
    </row>
    <row r="171" spans="1:14">
      <c r="A171" s="172"/>
      <c r="B171" s="76"/>
      <c r="C171" s="76"/>
      <c r="D171" s="76"/>
      <c r="E171" s="76"/>
      <c r="F171" s="76"/>
      <c r="J171" s="105" t="s">
        <v>163</v>
      </c>
      <c r="K171" s="3" t="s">
        <v>42</v>
      </c>
      <c r="M171" s="3" t="s">
        <v>56</v>
      </c>
    </row>
    <row r="172" spans="1:14">
      <c r="A172" s="172"/>
      <c r="B172" s="76"/>
      <c r="C172" s="76"/>
      <c r="D172" s="76"/>
      <c r="E172" s="76"/>
      <c r="F172" s="76"/>
      <c r="G172" s="3" t="s">
        <v>39</v>
      </c>
      <c r="H172" s="134" t="s">
        <v>40</v>
      </c>
      <c r="I172" s="98" t="s">
        <v>41</v>
      </c>
      <c r="J172" s="106" t="s">
        <v>164</v>
      </c>
      <c r="K172" s="4" t="s">
        <v>165</v>
      </c>
      <c r="L172" s="4" t="s">
        <v>55</v>
      </c>
      <c r="M172" s="4" t="s">
        <v>166</v>
      </c>
      <c r="N172" s="202"/>
    </row>
    <row r="173" spans="1:14">
      <c r="A173" s="172"/>
      <c r="B173" s="76"/>
      <c r="C173" s="76"/>
      <c r="D173" s="76"/>
      <c r="E173" s="76"/>
      <c r="F173" s="76"/>
      <c r="G173" s="5"/>
      <c r="H173" s="658" t="s">
        <v>43</v>
      </c>
      <c r="I173" s="659"/>
      <c r="J173" s="660"/>
      <c r="K173" s="6" t="s">
        <v>44</v>
      </c>
      <c r="L173" s="5"/>
      <c r="M173" s="6" t="s">
        <v>45</v>
      </c>
      <c r="N173" s="202"/>
    </row>
    <row r="174" spans="1:14">
      <c r="A174" s="172"/>
      <c r="B174" s="77"/>
      <c r="C174" s="7">
        <v>0.2</v>
      </c>
      <c r="D174" s="7">
        <v>0.8</v>
      </c>
      <c r="E174" s="7"/>
      <c r="F174" s="92" t="s">
        <v>162</v>
      </c>
      <c r="G174" s="8" t="s">
        <v>46</v>
      </c>
      <c r="H174" s="135"/>
      <c r="I174" s="5"/>
      <c r="J174" s="107" t="s">
        <v>47</v>
      </c>
      <c r="K174" s="8" t="s">
        <v>48</v>
      </c>
      <c r="L174" s="9"/>
      <c r="M174" s="8" t="s">
        <v>49</v>
      </c>
    </row>
    <row r="175" spans="1:14">
      <c r="A175" s="172"/>
      <c r="B175" s="10"/>
      <c r="C175" s="69" t="s">
        <v>9</v>
      </c>
      <c r="D175" s="69" t="s">
        <v>10</v>
      </c>
      <c r="E175" s="69" t="s">
        <v>11</v>
      </c>
      <c r="F175" s="93" t="s">
        <v>8</v>
      </c>
      <c r="G175" s="11" t="s">
        <v>50</v>
      </c>
      <c r="H175" s="136" t="s">
        <v>51</v>
      </c>
      <c r="I175" s="12" t="s">
        <v>159</v>
      </c>
      <c r="J175" s="108" t="s">
        <v>50</v>
      </c>
      <c r="K175" s="12" t="s">
        <v>50</v>
      </c>
      <c r="L175" s="12" t="s">
        <v>52</v>
      </c>
      <c r="M175" s="12" t="s">
        <v>53</v>
      </c>
    </row>
    <row r="176" spans="1:14" ht="63" customHeight="1">
      <c r="A176" s="172"/>
      <c r="B176" s="13" t="s">
        <v>13</v>
      </c>
      <c r="C176" s="14" t="s">
        <v>14</v>
      </c>
      <c r="D176" s="14" t="s">
        <v>14</v>
      </c>
      <c r="E176" s="15" t="s">
        <v>14</v>
      </c>
      <c r="F176" s="94" t="s">
        <v>15</v>
      </c>
      <c r="G176" s="16" t="s">
        <v>54</v>
      </c>
      <c r="H176" s="137"/>
      <c r="I176" s="17"/>
      <c r="J176" s="109" t="s">
        <v>54</v>
      </c>
      <c r="K176" s="17"/>
      <c r="L176" s="17"/>
      <c r="M176" s="16" t="s">
        <v>54</v>
      </c>
    </row>
    <row r="177" spans="1:14" s="185" customFormat="1">
      <c r="B177" s="18" t="s">
        <v>16</v>
      </c>
      <c r="C177" s="225">
        <v>0</v>
      </c>
      <c r="D177" s="225">
        <v>0</v>
      </c>
      <c r="E177" s="223">
        <f t="shared" ref="E177:E200" si="71">C177+D177</f>
        <v>0</v>
      </c>
      <c r="F177" s="226">
        <f>ROUND(+E177*F$203,2)</f>
        <v>0</v>
      </c>
      <c r="G177" s="180">
        <f t="shared" ref="G177:G200" si="72">(F$203-F$204)*E177</f>
        <v>0</v>
      </c>
      <c r="H177" s="635">
        <f>ROUND(F177*'Actual Load'!$B$8/'Zonal Load'!$N$8,2)</f>
        <v>0</v>
      </c>
      <c r="I177" s="180">
        <f t="shared" ref="I177:I200" si="73">ROUND((H177*$H$912)/$H$910,2)</f>
        <v>0</v>
      </c>
      <c r="J177" s="180">
        <f t="shared" ref="J177:J200" si="74">I177-F177</f>
        <v>0</v>
      </c>
      <c r="K177" s="180">
        <f t="shared" ref="K177:K200" si="75">+G177+J177</f>
        <v>0</v>
      </c>
      <c r="L177" s="181">
        <f>E177*'Interest Over Collect'!$J$8</f>
        <v>0</v>
      </c>
      <c r="M177" s="180">
        <f>+K177+L177</f>
        <v>0</v>
      </c>
      <c r="N177" s="86"/>
    </row>
    <row r="178" spans="1:14" s="185" customFormat="1">
      <c r="B178" s="23" t="s">
        <v>17</v>
      </c>
      <c r="C178" s="225">
        <v>0</v>
      </c>
      <c r="D178" s="225">
        <v>0</v>
      </c>
      <c r="E178" s="223">
        <f t="shared" si="71"/>
        <v>0</v>
      </c>
      <c r="F178" s="224">
        <f>ROUND(+E178*F$203,2)</f>
        <v>0</v>
      </c>
      <c r="G178" s="180">
        <f t="shared" si="72"/>
        <v>0</v>
      </c>
      <c r="H178" s="635">
        <f>ROUND(F178*'Actual Load'!$B$14/'Zonal Load'!$N$14,2)</f>
        <v>0</v>
      </c>
      <c r="I178" s="180">
        <f t="shared" si="73"/>
        <v>0</v>
      </c>
      <c r="J178" s="180">
        <f t="shared" si="74"/>
        <v>0</v>
      </c>
      <c r="K178" s="180">
        <f t="shared" si="75"/>
        <v>0</v>
      </c>
      <c r="L178" s="181">
        <f>E178*'Interest Over Collect'!$J$8</f>
        <v>0</v>
      </c>
      <c r="M178" s="180">
        <f t="shared" ref="M178:M200" si="76">+K178+L178</f>
        <v>0</v>
      </c>
      <c r="N178" s="86"/>
    </row>
    <row r="179" spans="1:14" s="185" customFormat="1">
      <c r="B179" s="23" t="s">
        <v>201</v>
      </c>
      <c r="C179" s="225">
        <f>0%*0.421</f>
        <v>0</v>
      </c>
      <c r="D179" s="225">
        <f>0%*0.421</f>
        <v>0</v>
      </c>
      <c r="E179" s="223">
        <f t="shared" si="71"/>
        <v>0</v>
      </c>
      <c r="F179" s="224">
        <f t="shared" ref="F179:F200" si="77">ROUND(+E179*F$203,2)</f>
        <v>0</v>
      </c>
      <c r="G179" s="180">
        <f t="shared" si="72"/>
        <v>0</v>
      </c>
      <c r="H179" s="635">
        <f>ROUND(F179*'Actual Load'!$B$9/'Zonal Load'!$N$9,2)</f>
        <v>0</v>
      </c>
      <c r="I179" s="180">
        <f t="shared" si="73"/>
        <v>0</v>
      </c>
      <c r="J179" s="180">
        <f t="shared" si="74"/>
        <v>0</v>
      </c>
      <c r="K179" s="180">
        <f t="shared" si="75"/>
        <v>0</v>
      </c>
      <c r="L179" s="181">
        <f>E179*'Interest Over Collect'!$J$8</f>
        <v>0</v>
      </c>
      <c r="M179" s="180">
        <f t="shared" si="76"/>
        <v>0</v>
      </c>
      <c r="N179" s="86"/>
    </row>
    <row r="180" spans="1:14" s="185" customFormat="1">
      <c r="B180" s="132" t="s">
        <v>260</v>
      </c>
      <c r="C180" s="225">
        <f>0%*0.579</f>
        <v>0</v>
      </c>
      <c r="D180" s="225">
        <f>0%*0.579</f>
        <v>0</v>
      </c>
      <c r="E180" s="223">
        <f>C180+D180</f>
        <v>0</v>
      </c>
      <c r="F180" s="224">
        <f t="shared" si="77"/>
        <v>0</v>
      </c>
      <c r="G180" s="180">
        <f>(F$203-F$204)*E180</f>
        <v>0</v>
      </c>
      <c r="H180" s="635">
        <f>ROUND(F180*'Actual Load'!$B$10/'Zonal Load'!$N$10,2)</f>
        <v>0</v>
      </c>
      <c r="I180" s="180">
        <f t="shared" si="73"/>
        <v>0</v>
      </c>
      <c r="J180" s="180">
        <f>I180-F180</f>
        <v>0</v>
      </c>
      <c r="K180" s="180">
        <f>+G180+J180</f>
        <v>0</v>
      </c>
      <c r="L180" s="181">
        <f>E180*'Interest Over Collect'!$J$8</f>
        <v>0</v>
      </c>
      <c r="M180" s="180">
        <f>+K180+L180</f>
        <v>0</v>
      </c>
      <c r="N180" s="86"/>
    </row>
    <row r="181" spans="1:14" s="185" customFormat="1">
      <c r="B181" s="23" t="s">
        <v>18</v>
      </c>
      <c r="C181" s="225">
        <v>0</v>
      </c>
      <c r="D181" s="225">
        <v>0</v>
      </c>
      <c r="E181" s="223">
        <f t="shared" si="71"/>
        <v>0</v>
      </c>
      <c r="F181" s="224">
        <f t="shared" si="77"/>
        <v>0</v>
      </c>
      <c r="G181" s="180">
        <f t="shared" si="72"/>
        <v>0</v>
      </c>
      <c r="H181" s="635">
        <f>ROUND(F181*'Actual Load'!$B$26/'Zonal Load'!$N$26,2)</f>
        <v>0</v>
      </c>
      <c r="I181" s="180">
        <f t="shared" si="73"/>
        <v>0</v>
      </c>
      <c r="J181" s="180">
        <f t="shared" si="74"/>
        <v>0</v>
      </c>
      <c r="K181" s="180">
        <f t="shared" si="75"/>
        <v>0</v>
      </c>
      <c r="L181" s="181">
        <f>E181*'Interest Over Collect'!$J$8</f>
        <v>0</v>
      </c>
      <c r="M181" s="180">
        <f t="shared" si="76"/>
        <v>0</v>
      </c>
      <c r="N181" s="86"/>
    </row>
    <row r="182" spans="1:14" s="185" customFormat="1">
      <c r="B182" s="23" t="s">
        <v>19</v>
      </c>
      <c r="C182" s="225">
        <v>0</v>
      </c>
      <c r="D182" s="225">
        <v>0</v>
      </c>
      <c r="E182" s="223">
        <f t="shared" si="71"/>
        <v>0</v>
      </c>
      <c r="F182" s="224">
        <f t="shared" si="77"/>
        <v>0</v>
      </c>
      <c r="G182" s="180">
        <f t="shared" si="72"/>
        <v>0</v>
      </c>
      <c r="H182" s="635">
        <f>ROUND(F182*'Actual Load'!$B$16/'Zonal Load'!$N$16,2)</f>
        <v>0</v>
      </c>
      <c r="I182" s="180">
        <f t="shared" si="73"/>
        <v>0</v>
      </c>
      <c r="J182" s="180">
        <f t="shared" si="74"/>
        <v>0</v>
      </c>
      <c r="K182" s="180">
        <f t="shared" si="75"/>
        <v>0</v>
      </c>
      <c r="L182" s="181">
        <f>E182*'Interest Over Collect'!$J$8</f>
        <v>0</v>
      </c>
      <c r="M182" s="180">
        <f t="shared" si="76"/>
        <v>0</v>
      </c>
      <c r="N182" s="86"/>
    </row>
    <row r="183" spans="1:14" s="185" customFormat="1">
      <c r="B183" s="23" t="s">
        <v>20</v>
      </c>
      <c r="C183" s="225">
        <v>0</v>
      </c>
      <c r="D183" s="225">
        <v>0</v>
      </c>
      <c r="E183" s="223">
        <f t="shared" si="71"/>
        <v>0</v>
      </c>
      <c r="F183" s="224">
        <f t="shared" si="77"/>
        <v>0</v>
      </c>
      <c r="G183" s="180">
        <f t="shared" si="72"/>
        <v>0</v>
      </c>
      <c r="H183" s="635">
        <f>ROUND(F183*'Actual Load'!$B$22/'Zonal Load'!$N$22,2)</f>
        <v>0</v>
      </c>
      <c r="I183" s="180">
        <f t="shared" si="73"/>
        <v>0</v>
      </c>
      <c r="J183" s="180">
        <f t="shared" si="74"/>
        <v>0</v>
      </c>
      <c r="K183" s="180">
        <f t="shared" si="75"/>
        <v>0</v>
      </c>
      <c r="L183" s="181">
        <f>E183*'Interest Over Collect'!$J$8</f>
        <v>0</v>
      </c>
      <c r="M183" s="180">
        <f t="shared" si="76"/>
        <v>0</v>
      </c>
      <c r="N183" s="86"/>
    </row>
    <row r="184" spans="1:14" s="185" customFormat="1">
      <c r="B184" s="23" t="s">
        <v>21</v>
      </c>
      <c r="C184" s="225">
        <v>0</v>
      </c>
      <c r="D184" s="225">
        <v>0</v>
      </c>
      <c r="E184" s="223">
        <f t="shared" si="71"/>
        <v>0</v>
      </c>
      <c r="F184" s="224">
        <f t="shared" si="77"/>
        <v>0</v>
      </c>
      <c r="G184" s="180">
        <f t="shared" si="72"/>
        <v>0</v>
      </c>
      <c r="H184" s="635">
        <f>ROUND(F184*'Actual Load'!$B$17/'Zonal Load'!$N$17,2)</f>
        <v>0</v>
      </c>
      <c r="I184" s="180">
        <f t="shared" si="73"/>
        <v>0</v>
      </c>
      <c r="J184" s="180">
        <f t="shared" si="74"/>
        <v>0</v>
      </c>
      <c r="K184" s="180">
        <f t="shared" si="75"/>
        <v>0</v>
      </c>
      <c r="L184" s="181">
        <f>E184*'Interest Over Collect'!$J$8</f>
        <v>0</v>
      </c>
      <c r="M184" s="180">
        <f t="shared" si="76"/>
        <v>0</v>
      </c>
      <c r="N184" s="86"/>
    </row>
    <row r="185" spans="1:14" s="185" customFormat="1">
      <c r="B185" s="23" t="s">
        <v>22</v>
      </c>
      <c r="C185" s="225">
        <v>0</v>
      </c>
      <c r="D185" s="225">
        <v>0</v>
      </c>
      <c r="E185" s="223">
        <f t="shared" si="71"/>
        <v>0</v>
      </c>
      <c r="F185" s="224">
        <f t="shared" si="77"/>
        <v>0</v>
      </c>
      <c r="G185" s="180">
        <f t="shared" si="72"/>
        <v>0</v>
      </c>
      <c r="H185" s="635">
        <f>ROUND(F185*'Actual Load'!$B$15/'Zonal Load'!$N$15,2)</f>
        <v>0</v>
      </c>
      <c r="I185" s="180">
        <f t="shared" si="73"/>
        <v>0</v>
      </c>
      <c r="J185" s="180">
        <f t="shared" si="74"/>
        <v>0</v>
      </c>
      <c r="K185" s="180">
        <f t="shared" si="75"/>
        <v>0</v>
      </c>
      <c r="L185" s="181">
        <f>E185*'Interest Over Collect'!$J$8</f>
        <v>0</v>
      </c>
      <c r="M185" s="180">
        <f t="shared" si="76"/>
        <v>0</v>
      </c>
      <c r="N185" s="86"/>
    </row>
    <row r="186" spans="1:14" s="185" customFormat="1">
      <c r="B186" s="23" t="s">
        <v>23</v>
      </c>
      <c r="C186" s="225">
        <v>0</v>
      </c>
      <c r="D186" s="225">
        <v>7.4411408941548038E-3</v>
      </c>
      <c r="E186" s="223">
        <f t="shared" si="71"/>
        <v>7.4411408941548038E-3</v>
      </c>
      <c r="F186" s="224">
        <f t="shared" si="77"/>
        <v>8162.77</v>
      </c>
      <c r="G186" s="180">
        <f t="shared" si="72"/>
        <v>338.45063591387697</v>
      </c>
      <c r="H186" s="635">
        <f>ROUND(F186*'Actual Load'!$B$4/'Zonal Load'!$N$4,2)</f>
        <v>8027.8</v>
      </c>
      <c r="I186" s="180">
        <f t="shared" si="73"/>
        <v>8425.9599999999991</v>
      </c>
      <c r="J186" s="180">
        <f t="shared" si="74"/>
        <v>263.18999999999869</v>
      </c>
      <c r="K186" s="180">
        <f t="shared" si="75"/>
        <v>601.64063591387571</v>
      </c>
      <c r="L186" s="181">
        <f>E186*'Interest Over Collect'!$J$8</f>
        <v>7.8006968221603632</v>
      </c>
      <c r="M186" s="180">
        <f t="shared" si="76"/>
        <v>609.44133273603609</v>
      </c>
      <c r="N186" s="86"/>
    </row>
    <row r="187" spans="1:14" s="185" customFormat="1">
      <c r="B187" s="23" t="s">
        <v>24</v>
      </c>
      <c r="C187" s="225">
        <v>0</v>
      </c>
      <c r="D187" s="225">
        <v>0</v>
      </c>
      <c r="E187" s="223">
        <f t="shared" si="71"/>
        <v>0</v>
      </c>
      <c r="F187" s="224">
        <f t="shared" si="77"/>
        <v>0</v>
      </c>
      <c r="G187" s="180">
        <f t="shared" si="72"/>
        <v>0</v>
      </c>
      <c r="H187" s="635">
        <f>ROUND(F187*'Actual Load'!$B$11/'Zonal Load'!$N$11,2)</f>
        <v>0</v>
      </c>
      <c r="I187" s="180">
        <f t="shared" si="73"/>
        <v>0</v>
      </c>
      <c r="J187" s="180">
        <f t="shared" si="74"/>
        <v>0</v>
      </c>
      <c r="K187" s="180">
        <f t="shared" si="75"/>
        <v>0</v>
      </c>
      <c r="L187" s="181">
        <f>E187*'Interest Over Collect'!$J$8</f>
        <v>0</v>
      </c>
      <c r="M187" s="180">
        <f t="shared" si="76"/>
        <v>0</v>
      </c>
      <c r="N187" s="86"/>
    </row>
    <row r="188" spans="1:14" s="185" customFormat="1">
      <c r="B188" s="23" t="s">
        <v>26</v>
      </c>
      <c r="C188" s="225">
        <v>0</v>
      </c>
      <c r="D188" s="225">
        <v>0</v>
      </c>
      <c r="E188" s="223">
        <f t="shared" si="71"/>
        <v>0</v>
      </c>
      <c r="F188" s="224">
        <f t="shared" si="77"/>
        <v>0</v>
      </c>
      <c r="G188" s="180">
        <f t="shared" si="72"/>
        <v>0</v>
      </c>
      <c r="H188" s="635">
        <f>ROUND(F188*'Actual Load'!$B$7/'Zonal Load'!$N$7,2)</f>
        <v>0</v>
      </c>
      <c r="I188" s="180">
        <f t="shared" si="73"/>
        <v>0</v>
      </c>
      <c r="J188" s="180">
        <f t="shared" si="74"/>
        <v>0</v>
      </c>
      <c r="K188" s="180">
        <f t="shared" si="75"/>
        <v>0</v>
      </c>
      <c r="L188" s="181">
        <f>E188*'Interest Over Collect'!$J$8</f>
        <v>0</v>
      </c>
      <c r="M188" s="180">
        <f t="shared" si="76"/>
        <v>0</v>
      </c>
      <c r="N188" s="86"/>
    </row>
    <row r="189" spans="1:14" s="185" customFormat="1">
      <c r="B189" s="23" t="s">
        <v>25</v>
      </c>
      <c r="C189" s="225">
        <v>0</v>
      </c>
      <c r="D189" s="225">
        <v>0</v>
      </c>
      <c r="E189" s="223">
        <f t="shared" si="71"/>
        <v>0</v>
      </c>
      <c r="F189" s="224">
        <f t="shared" si="77"/>
        <v>0</v>
      </c>
      <c r="G189" s="180">
        <f t="shared" si="72"/>
        <v>0</v>
      </c>
      <c r="H189" s="635">
        <f>ROUND(F189*'Actual Load'!$B$6/'Zonal Load'!$N$6,2)</f>
        <v>0</v>
      </c>
      <c r="I189" s="180">
        <f t="shared" si="73"/>
        <v>0</v>
      </c>
      <c r="J189" s="180">
        <f t="shared" si="74"/>
        <v>0</v>
      </c>
      <c r="K189" s="180">
        <f t="shared" si="75"/>
        <v>0</v>
      </c>
      <c r="L189" s="181">
        <f>E189*'Interest Over Collect'!$J$8</f>
        <v>0</v>
      </c>
      <c r="M189" s="180">
        <f t="shared" si="76"/>
        <v>0</v>
      </c>
      <c r="N189" s="86"/>
    </row>
    <row r="190" spans="1:14" s="185" customFormat="1">
      <c r="B190" s="23" t="s">
        <v>119</v>
      </c>
      <c r="C190" s="225">
        <v>0</v>
      </c>
      <c r="D190" s="225">
        <v>0</v>
      </c>
      <c r="E190" s="223">
        <f t="shared" si="71"/>
        <v>0</v>
      </c>
      <c r="F190" s="224">
        <f t="shared" si="77"/>
        <v>0</v>
      </c>
      <c r="G190" s="180">
        <f t="shared" si="72"/>
        <v>0</v>
      </c>
      <c r="H190" s="635">
        <f>ROUND(F190*'Actual Load'!$B$18/'Zonal Load'!$N$18,2)</f>
        <v>0</v>
      </c>
      <c r="I190" s="180">
        <f t="shared" si="73"/>
        <v>0</v>
      </c>
      <c r="J190" s="180">
        <f t="shared" si="74"/>
        <v>0</v>
      </c>
      <c r="K190" s="180">
        <f t="shared" si="75"/>
        <v>0</v>
      </c>
      <c r="L190" s="181">
        <f>E190*'Interest Over Collect'!$J$8</f>
        <v>0</v>
      </c>
      <c r="M190" s="180">
        <f t="shared" si="76"/>
        <v>0</v>
      </c>
      <c r="N190" s="86"/>
    </row>
    <row r="191" spans="1:14" s="185" customFormat="1">
      <c r="B191" s="23" t="s">
        <v>120</v>
      </c>
      <c r="C191" s="225">
        <v>0</v>
      </c>
      <c r="D191" s="225">
        <v>0</v>
      </c>
      <c r="E191" s="223">
        <f t="shared" si="71"/>
        <v>0</v>
      </c>
      <c r="F191" s="224">
        <f t="shared" si="77"/>
        <v>0</v>
      </c>
      <c r="G191" s="180">
        <f t="shared" si="72"/>
        <v>0</v>
      </c>
      <c r="H191" s="635">
        <f>ROUND(F191*'Actual Load'!$B$17/'Zonal Load'!$N$17,2)</f>
        <v>0</v>
      </c>
      <c r="I191" s="180">
        <f t="shared" si="73"/>
        <v>0</v>
      </c>
      <c r="J191" s="180">
        <f t="shared" si="74"/>
        <v>0</v>
      </c>
      <c r="K191" s="180">
        <f t="shared" si="75"/>
        <v>0</v>
      </c>
      <c r="L191" s="181">
        <f>E191*'Interest Over Collect'!$J$8</f>
        <v>0</v>
      </c>
      <c r="M191" s="180">
        <f t="shared" si="76"/>
        <v>0</v>
      </c>
      <c r="N191" s="86"/>
    </row>
    <row r="192" spans="1:14" s="185" customFormat="1">
      <c r="B192" s="23" t="s">
        <v>27</v>
      </c>
      <c r="C192" s="225">
        <v>0</v>
      </c>
      <c r="D192" s="225">
        <v>0</v>
      </c>
      <c r="E192" s="223">
        <f t="shared" si="71"/>
        <v>0</v>
      </c>
      <c r="F192" s="224">
        <f t="shared" si="77"/>
        <v>0</v>
      </c>
      <c r="G192" s="180">
        <f t="shared" si="72"/>
        <v>0</v>
      </c>
      <c r="H192" s="635">
        <f>ROUND(F192*'Actual Load'!$B$12/'Zonal Load'!$N$12,2)</f>
        <v>0</v>
      </c>
      <c r="I192" s="180">
        <f t="shared" si="73"/>
        <v>0</v>
      </c>
      <c r="J192" s="180">
        <f t="shared" si="74"/>
        <v>0</v>
      </c>
      <c r="K192" s="180">
        <f t="shared" si="75"/>
        <v>0</v>
      </c>
      <c r="L192" s="181">
        <f>E192*'Interest Over Collect'!$J$8</f>
        <v>0</v>
      </c>
      <c r="M192" s="180">
        <f t="shared" si="76"/>
        <v>0</v>
      </c>
      <c r="N192" s="86"/>
    </row>
    <row r="193" spans="1:15" s="185" customFormat="1">
      <c r="B193" s="23" t="s">
        <v>28</v>
      </c>
      <c r="C193" s="225">
        <v>0</v>
      </c>
      <c r="D193" s="225">
        <v>0</v>
      </c>
      <c r="E193" s="223">
        <f t="shared" si="71"/>
        <v>0</v>
      </c>
      <c r="F193" s="224">
        <f t="shared" si="77"/>
        <v>0</v>
      </c>
      <c r="G193" s="180">
        <f t="shared" si="72"/>
        <v>0</v>
      </c>
      <c r="H193" s="635">
        <f>ROUND(F193*'Actual Load'!$B$24/'Zonal Load'!$N$24,2)</f>
        <v>0</v>
      </c>
      <c r="I193" s="180">
        <f t="shared" si="73"/>
        <v>0</v>
      </c>
      <c r="J193" s="180">
        <f t="shared" si="74"/>
        <v>0</v>
      </c>
      <c r="K193" s="180">
        <f t="shared" si="75"/>
        <v>0</v>
      </c>
      <c r="L193" s="181">
        <f>E193*'Interest Over Collect'!$J$8</f>
        <v>0</v>
      </c>
      <c r="M193" s="180">
        <f t="shared" si="76"/>
        <v>0</v>
      </c>
      <c r="N193" s="86"/>
    </row>
    <row r="194" spans="1:15" s="185" customFormat="1">
      <c r="B194" s="23" t="s">
        <v>29</v>
      </c>
      <c r="C194" s="225">
        <v>0</v>
      </c>
      <c r="D194" s="225">
        <v>0</v>
      </c>
      <c r="E194" s="223">
        <f t="shared" si="71"/>
        <v>0</v>
      </c>
      <c r="F194" s="224">
        <f t="shared" si="77"/>
        <v>0</v>
      </c>
      <c r="G194" s="180">
        <f t="shared" si="72"/>
        <v>0</v>
      </c>
      <c r="H194" s="635">
        <f>ROUND(F194*'Actual Load'!$B$5/'Zonal Load'!$N$5,2)</f>
        <v>0</v>
      </c>
      <c r="I194" s="180">
        <f t="shared" si="73"/>
        <v>0</v>
      </c>
      <c r="J194" s="180">
        <f t="shared" si="74"/>
        <v>0</v>
      </c>
      <c r="K194" s="180">
        <f t="shared" si="75"/>
        <v>0</v>
      </c>
      <c r="L194" s="181">
        <f>E194*'Interest Over Collect'!$J$8</f>
        <v>0</v>
      </c>
      <c r="M194" s="180">
        <f t="shared" si="76"/>
        <v>0</v>
      </c>
      <c r="N194" s="86"/>
    </row>
    <row r="195" spans="1:15" s="185" customFormat="1">
      <c r="B195" s="23" t="s">
        <v>30</v>
      </c>
      <c r="C195" s="225">
        <v>0</v>
      </c>
      <c r="D195" s="225">
        <v>0.67956590272712492</v>
      </c>
      <c r="E195" s="223">
        <f t="shared" si="71"/>
        <v>0.67956590272712492</v>
      </c>
      <c r="F195" s="224">
        <f t="shared" si="77"/>
        <v>745468.95</v>
      </c>
      <c r="G195" s="180">
        <f t="shared" si="72"/>
        <v>30909.173095224345</v>
      </c>
      <c r="H195" s="635">
        <f>ROUND(F195*'Actual Load'!$B$21/'Zonal Load'!$N$21,2)</f>
        <v>712140.78</v>
      </c>
      <c r="I195" s="180">
        <f t="shared" si="73"/>
        <v>747461.39</v>
      </c>
      <c r="J195" s="180">
        <f t="shared" si="74"/>
        <v>1992.4400000000605</v>
      </c>
      <c r="K195" s="180">
        <f t="shared" si="75"/>
        <v>32901.613095224406</v>
      </c>
      <c r="L195" s="181">
        <f>E195*'Interest Over Collect'!$J$8</f>
        <v>712.4025271468995</v>
      </c>
      <c r="M195" s="180">
        <f t="shared" si="76"/>
        <v>33614.015622371306</v>
      </c>
      <c r="N195" s="86"/>
    </row>
    <row r="196" spans="1:15" s="185" customFormat="1">
      <c r="B196" s="23" t="s">
        <v>31</v>
      </c>
      <c r="C196" s="225">
        <v>0</v>
      </c>
      <c r="D196" s="225">
        <v>0.23157897820245948</v>
      </c>
      <c r="E196" s="223">
        <f t="shared" si="71"/>
        <v>0.23157897820245948</v>
      </c>
      <c r="F196" s="224">
        <f t="shared" si="77"/>
        <v>254037.08</v>
      </c>
      <c r="G196" s="180">
        <f t="shared" si="72"/>
        <v>10533.06926340773</v>
      </c>
      <c r="H196" s="635">
        <f>ROUND(F196*'Actual Load'!$B$19/'Zonal Load'!$N$19,2)</f>
        <v>236509.89</v>
      </c>
      <c r="I196" s="180">
        <f t="shared" si="73"/>
        <v>248240.26</v>
      </c>
      <c r="J196" s="180">
        <f t="shared" si="74"/>
        <v>-5796.8199999999779</v>
      </c>
      <c r="K196" s="180">
        <f t="shared" si="75"/>
        <v>4736.2492634077516</v>
      </c>
      <c r="L196" s="181">
        <f>E196*'Interest Over Collect'!$J$8</f>
        <v>242.7688744292023</v>
      </c>
      <c r="M196" s="180">
        <f t="shared" si="76"/>
        <v>4979.0181378369543</v>
      </c>
      <c r="N196" s="86"/>
    </row>
    <row r="197" spans="1:15" s="185" customFormat="1">
      <c r="B197" s="23" t="s">
        <v>32</v>
      </c>
      <c r="C197" s="225">
        <v>0</v>
      </c>
      <c r="D197" s="225">
        <v>0</v>
      </c>
      <c r="E197" s="223">
        <f t="shared" si="71"/>
        <v>0</v>
      </c>
      <c r="F197" s="224">
        <f t="shared" si="77"/>
        <v>0</v>
      </c>
      <c r="G197" s="180">
        <f t="shared" si="72"/>
        <v>0</v>
      </c>
      <c r="H197" s="635">
        <f>ROUND(F197*'Actual Load'!$B$25/'Zonal Load'!$N$25,2)</f>
        <v>0</v>
      </c>
      <c r="I197" s="180">
        <f t="shared" si="73"/>
        <v>0</v>
      </c>
      <c r="J197" s="180">
        <f t="shared" si="74"/>
        <v>0</v>
      </c>
      <c r="K197" s="180">
        <f t="shared" si="75"/>
        <v>0</v>
      </c>
      <c r="L197" s="181">
        <f>E197*'Interest Over Collect'!$J$8</f>
        <v>0</v>
      </c>
      <c r="M197" s="180">
        <f t="shared" si="76"/>
        <v>0</v>
      </c>
      <c r="N197" s="86"/>
    </row>
    <row r="198" spans="1:15" s="185" customFormat="1">
      <c r="B198" s="23" t="s">
        <v>33</v>
      </c>
      <c r="C198" s="225">
        <v>0</v>
      </c>
      <c r="D198" s="225">
        <v>1.7283777376873782E-2</v>
      </c>
      <c r="E198" s="223">
        <f t="shared" si="71"/>
        <v>1.7283777376873782E-2</v>
      </c>
      <c r="F198" s="224">
        <f t="shared" si="77"/>
        <v>18959.93</v>
      </c>
      <c r="G198" s="180">
        <f t="shared" si="72"/>
        <v>786.13018183702138</v>
      </c>
      <c r="H198" s="635">
        <f>ROUND(F198*'Actual Load'!$B$13/'Zonal Load'!$N$13,2)</f>
        <v>18394.439999999999</v>
      </c>
      <c r="I198" s="180">
        <f t="shared" si="73"/>
        <v>19306.759999999998</v>
      </c>
      <c r="J198" s="180">
        <f t="shared" si="74"/>
        <v>346.82999999999811</v>
      </c>
      <c r="K198" s="180">
        <f t="shared" si="75"/>
        <v>1132.9601818370195</v>
      </c>
      <c r="L198" s="181">
        <f>E198*'Interest Over Collect'!$J$8</f>
        <v>18.118929499724324</v>
      </c>
      <c r="M198" s="180">
        <f t="shared" si="76"/>
        <v>1151.0791113367438</v>
      </c>
      <c r="N198" s="86"/>
    </row>
    <row r="199" spans="1:15" s="185" customFormat="1">
      <c r="B199" s="23" t="s">
        <v>34</v>
      </c>
      <c r="C199" s="225">
        <v>0</v>
      </c>
      <c r="D199" s="225">
        <v>6.4130200799386874E-2</v>
      </c>
      <c r="E199" s="223">
        <f t="shared" si="71"/>
        <v>6.4130200799386874E-2</v>
      </c>
      <c r="F199" s="224">
        <f t="shared" si="77"/>
        <v>70349.429999999993</v>
      </c>
      <c r="G199" s="180">
        <f t="shared" si="72"/>
        <v>2916.878950496266</v>
      </c>
      <c r="H199" s="635">
        <f>ROUND(F199*'Actual Load'!$B$23/'Zonal Load'!$N$23,2)</f>
        <v>70266.92</v>
      </c>
      <c r="I199" s="180">
        <f t="shared" si="73"/>
        <v>73752</v>
      </c>
      <c r="J199" s="180">
        <f t="shared" si="74"/>
        <v>3402.570000000007</v>
      </c>
      <c r="K199" s="180">
        <f t="shared" si="75"/>
        <v>6319.448950496273</v>
      </c>
      <c r="L199" s="181">
        <f>E199*'Interest Over Collect'!$J$8</f>
        <v>67.228972102013245</v>
      </c>
      <c r="M199" s="180">
        <f t="shared" si="76"/>
        <v>6386.6779225982864</v>
      </c>
      <c r="N199" s="86"/>
    </row>
    <row r="200" spans="1:15" s="185" customFormat="1">
      <c r="B200" s="23" t="s">
        <v>35</v>
      </c>
      <c r="C200" s="225">
        <v>0</v>
      </c>
      <c r="D200" s="225">
        <v>0</v>
      </c>
      <c r="E200" s="223">
        <f t="shared" si="71"/>
        <v>0</v>
      </c>
      <c r="F200" s="224">
        <f t="shared" si="77"/>
        <v>0</v>
      </c>
      <c r="G200" s="180">
        <f t="shared" si="72"/>
        <v>0</v>
      </c>
      <c r="H200" s="635">
        <f>ROUND(F200*'Actual Load'!$B$20/'Zonal Load'!$N$20,2)</f>
        <v>0</v>
      </c>
      <c r="I200" s="180">
        <f t="shared" si="73"/>
        <v>0</v>
      </c>
      <c r="J200" s="180">
        <f t="shared" si="74"/>
        <v>0</v>
      </c>
      <c r="K200" s="180">
        <f t="shared" si="75"/>
        <v>0</v>
      </c>
      <c r="L200" s="181">
        <f>E200*'Interest Over Collect'!$J$8</f>
        <v>0</v>
      </c>
      <c r="M200" s="180">
        <f t="shared" si="76"/>
        <v>0</v>
      </c>
      <c r="N200" s="86"/>
    </row>
    <row r="201" spans="1:15">
      <c r="A201" s="172"/>
      <c r="B201" s="25"/>
      <c r="C201" s="26">
        <f t="shared" ref="C201:M201" si="78">SUM(C177:C200)</f>
        <v>0</v>
      </c>
      <c r="D201" s="27">
        <f t="shared" si="78"/>
        <v>0.99999999999999989</v>
      </c>
      <c r="E201" s="100">
        <f t="shared" si="78"/>
        <v>0.99999999999999989</v>
      </c>
      <c r="F201" s="95">
        <f t="shared" si="78"/>
        <v>1096978.1599999999</v>
      </c>
      <c r="G201" s="78">
        <f t="shared" si="78"/>
        <v>45483.70212687923</v>
      </c>
      <c r="H201" s="138">
        <f t="shared" si="78"/>
        <v>1045339.8300000001</v>
      </c>
      <c r="I201" s="79">
        <f t="shared" si="78"/>
        <v>1097186.3700000001</v>
      </c>
      <c r="J201" s="79">
        <f t="shared" si="78"/>
        <v>208.21000000008644</v>
      </c>
      <c r="K201" s="561">
        <f t="shared" si="78"/>
        <v>45691.912126879324</v>
      </c>
      <c r="L201" s="79">
        <f t="shared" si="78"/>
        <v>1048.3199999999997</v>
      </c>
      <c r="M201" s="79">
        <f t="shared" si="78"/>
        <v>46740.232126879331</v>
      </c>
    </row>
    <row r="202" spans="1:15" s="86" customFormat="1">
      <c r="A202" s="172"/>
      <c r="G202" s="21"/>
      <c r="H202" s="140"/>
      <c r="I202" s="29"/>
      <c r="J202" s="113"/>
      <c r="O202" s="2"/>
    </row>
    <row r="203" spans="1:15" s="86" customFormat="1">
      <c r="A203" s="172"/>
      <c r="E203" s="96" t="s">
        <v>618</v>
      </c>
      <c r="F203" s="178">
        <v>1096978.1575125768</v>
      </c>
      <c r="H203" s="141"/>
      <c r="I203" s="87"/>
      <c r="J203" s="113"/>
      <c r="L203" s="84"/>
      <c r="O203" s="2"/>
    </row>
    <row r="204" spans="1:15" s="86" customFormat="1" ht="15.75" customHeight="1">
      <c r="A204" s="172"/>
      <c r="B204" s="61"/>
      <c r="C204" s="61"/>
      <c r="D204" s="61"/>
      <c r="E204" s="97" t="s">
        <v>619</v>
      </c>
      <c r="F204" s="179">
        <v>1051494.4553856975</v>
      </c>
      <c r="G204" s="632">
        <f>F203-F204</f>
        <v>45483.702126879245</v>
      </c>
      <c r="H204" s="633"/>
      <c r="J204" s="113"/>
      <c r="L204" s="81"/>
    </row>
    <row r="205" spans="1:15" s="86" customFormat="1" ht="15.75" customHeight="1">
      <c r="A205" s="172"/>
      <c r="B205" s="61"/>
      <c r="C205" s="61"/>
      <c r="D205" s="61"/>
      <c r="E205" s="97" t="s">
        <v>160</v>
      </c>
      <c r="F205" s="186">
        <f>I201</f>
        <v>1097186.3700000001</v>
      </c>
      <c r="G205" s="632">
        <f>F205-F203</f>
        <v>208.21248742332682</v>
      </c>
      <c r="H205" s="634"/>
      <c r="J205" s="113"/>
      <c r="L205" s="81"/>
    </row>
    <row r="206" spans="1:15" s="86" customFormat="1">
      <c r="A206" s="172"/>
      <c r="G206" s="632">
        <f>G204+G205</f>
        <v>45691.914614302572</v>
      </c>
      <c r="H206" s="633">
        <f>F205-F204</f>
        <v>45691.914614302572</v>
      </c>
      <c r="J206" s="113"/>
    </row>
    <row r="207" spans="1:15">
      <c r="A207" s="172"/>
      <c r="B207" s="82"/>
      <c r="C207" s="82"/>
      <c r="D207" s="82"/>
      <c r="E207" s="82"/>
      <c r="F207" s="82"/>
      <c r="G207" s="82"/>
      <c r="H207" s="82"/>
      <c r="I207" s="82"/>
      <c r="J207" s="82"/>
      <c r="K207" s="82"/>
      <c r="L207" s="82"/>
      <c r="M207" s="82"/>
    </row>
    <row r="208" spans="1:15">
      <c r="A208" s="172"/>
    </row>
    <row r="209" spans="1:14" ht="15.75" customHeight="1">
      <c r="A209" s="172"/>
      <c r="B209" s="72" t="s">
        <v>0</v>
      </c>
      <c r="C209" s="641" t="s">
        <v>135</v>
      </c>
      <c r="D209" s="665"/>
      <c r="E209" s="665"/>
      <c r="F209" s="665"/>
      <c r="G209" s="665"/>
      <c r="H209" s="666"/>
      <c r="I209" s="1"/>
    </row>
    <row r="210" spans="1:14" ht="15.75" customHeight="1">
      <c r="A210" s="172"/>
      <c r="B210" s="70" t="s">
        <v>2</v>
      </c>
      <c r="C210" s="646" t="s">
        <v>136</v>
      </c>
      <c r="D210" s="668"/>
      <c r="E210" s="668"/>
      <c r="F210" s="668"/>
      <c r="G210" s="668"/>
      <c r="H210" s="669"/>
      <c r="I210" s="1"/>
    </row>
    <row r="211" spans="1:14" ht="15.75" customHeight="1">
      <c r="A211" s="172"/>
      <c r="B211" s="70" t="s">
        <v>4</v>
      </c>
      <c r="C211" s="646" t="s">
        <v>137</v>
      </c>
      <c r="D211" s="668"/>
      <c r="E211" s="668"/>
      <c r="F211" s="668"/>
      <c r="G211" s="668"/>
      <c r="H211" s="669"/>
      <c r="I211" s="1"/>
    </row>
    <row r="212" spans="1:14" ht="15.75" customHeight="1">
      <c r="A212" s="172"/>
      <c r="B212" s="71" t="s">
        <v>6</v>
      </c>
      <c r="C212" s="676" t="s">
        <v>138</v>
      </c>
      <c r="D212" s="662"/>
      <c r="E212" s="662"/>
      <c r="F212" s="662"/>
      <c r="G212" s="662"/>
      <c r="H212" s="663"/>
      <c r="I212" s="1"/>
    </row>
    <row r="213" spans="1:14">
      <c r="A213" s="172"/>
      <c r="B213" s="76"/>
      <c r="C213" s="76"/>
      <c r="D213" s="76"/>
      <c r="E213" s="76"/>
      <c r="F213" s="76"/>
      <c r="J213" s="105" t="s">
        <v>163</v>
      </c>
      <c r="K213" s="3" t="s">
        <v>42</v>
      </c>
      <c r="M213" s="3" t="s">
        <v>56</v>
      </c>
    </row>
    <row r="214" spans="1:14">
      <c r="A214" s="172"/>
      <c r="B214" s="76"/>
      <c r="C214" s="76"/>
      <c r="D214" s="76"/>
      <c r="E214" s="76"/>
      <c r="F214" s="76"/>
      <c r="G214" s="3" t="s">
        <v>39</v>
      </c>
      <c r="H214" s="134" t="s">
        <v>40</v>
      </c>
      <c r="I214" s="98" t="s">
        <v>41</v>
      </c>
      <c r="J214" s="106" t="s">
        <v>164</v>
      </c>
      <c r="K214" s="4" t="s">
        <v>165</v>
      </c>
      <c r="L214" s="4" t="s">
        <v>55</v>
      </c>
      <c r="M214" s="4" t="s">
        <v>166</v>
      </c>
      <c r="N214" s="202"/>
    </row>
    <row r="215" spans="1:14">
      <c r="A215" s="172"/>
      <c r="B215" s="76"/>
      <c r="C215" s="76"/>
      <c r="D215" s="76"/>
      <c r="E215" s="76"/>
      <c r="F215" s="76"/>
      <c r="G215" s="5"/>
      <c r="H215" s="658" t="s">
        <v>43</v>
      </c>
      <c r="I215" s="659"/>
      <c r="J215" s="660"/>
      <c r="K215" s="6" t="s">
        <v>44</v>
      </c>
      <c r="L215" s="5"/>
      <c r="M215" s="6" t="s">
        <v>45</v>
      </c>
      <c r="N215" s="202"/>
    </row>
    <row r="216" spans="1:14">
      <c r="A216" s="172"/>
      <c r="B216" s="77"/>
      <c r="C216" s="7">
        <v>0</v>
      </c>
      <c r="D216" s="7">
        <v>1</v>
      </c>
      <c r="E216" s="7"/>
      <c r="F216" s="92" t="s">
        <v>162</v>
      </c>
      <c r="G216" s="8" t="s">
        <v>46</v>
      </c>
      <c r="H216" s="135"/>
      <c r="I216" s="5"/>
      <c r="J216" s="107" t="s">
        <v>47</v>
      </c>
      <c r="K216" s="8" t="s">
        <v>48</v>
      </c>
      <c r="L216" s="9"/>
      <c r="M216" s="8" t="s">
        <v>49</v>
      </c>
    </row>
    <row r="217" spans="1:14">
      <c r="A217" s="172"/>
      <c r="B217" s="10"/>
      <c r="C217" s="69" t="s">
        <v>9</v>
      </c>
      <c r="D217" s="69" t="s">
        <v>10</v>
      </c>
      <c r="E217" s="69" t="s">
        <v>11</v>
      </c>
      <c r="F217" s="93" t="s">
        <v>8</v>
      </c>
      <c r="G217" s="11" t="s">
        <v>50</v>
      </c>
      <c r="H217" s="136" t="s">
        <v>51</v>
      </c>
      <c r="I217" s="12" t="s">
        <v>159</v>
      </c>
      <c r="J217" s="108" t="s">
        <v>50</v>
      </c>
      <c r="K217" s="12" t="s">
        <v>50</v>
      </c>
      <c r="L217" s="12" t="s">
        <v>52</v>
      </c>
      <c r="M217" s="12" t="s">
        <v>53</v>
      </c>
    </row>
    <row r="218" spans="1:14" ht="31.5">
      <c r="A218" s="172"/>
      <c r="B218" s="13" t="s">
        <v>13</v>
      </c>
      <c r="C218" s="14" t="s">
        <v>14</v>
      </c>
      <c r="D218" s="14" t="s">
        <v>14</v>
      </c>
      <c r="E218" s="15" t="s">
        <v>14</v>
      </c>
      <c r="F218" s="94" t="s">
        <v>15</v>
      </c>
      <c r="G218" s="16" t="s">
        <v>54</v>
      </c>
      <c r="H218" s="137"/>
      <c r="I218" s="17"/>
      <c r="J218" s="109" t="s">
        <v>54</v>
      </c>
      <c r="K218" s="17"/>
      <c r="L218" s="17"/>
      <c r="M218" s="16" t="s">
        <v>54</v>
      </c>
    </row>
    <row r="219" spans="1:14" s="185" customFormat="1">
      <c r="B219" s="18" t="s">
        <v>16</v>
      </c>
      <c r="C219" s="222">
        <v>0</v>
      </c>
      <c r="D219" s="225">
        <v>0</v>
      </c>
      <c r="E219" s="223">
        <f t="shared" ref="E219:E240" si="79">C219+D219</f>
        <v>0</v>
      </c>
      <c r="F219" s="226">
        <f>ROUND(+E219*F$243,2)</f>
        <v>0</v>
      </c>
      <c r="G219" s="180">
        <f t="shared" ref="G219:G240" si="80">(F$243-F$244)*E219</f>
        <v>0</v>
      </c>
      <c r="H219" s="635">
        <f>ROUND(F219*'Actual Load'!$B$8/'Zonal Load'!$N$8,2)</f>
        <v>0</v>
      </c>
      <c r="I219" s="180">
        <f t="shared" ref="I219:I240" si="81">ROUND((H219*$H$912)/$H$910,2)</f>
        <v>0</v>
      </c>
      <c r="J219" s="180">
        <f t="shared" ref="J219:J240" si="82">I219-F219</f>
        <v>0</v>
      </c>
      <c r="K219" s="180">
        <f t="shared" ref="K219:K240" si="83">+G219+J219</f>
        <v>0</v>
      </c>
      <c r="L219" s="181">
        <f>E219*'Interest Over Collect'!$J$9</f>
        <v>0</v>
      </c>
      <c r="M219" s="180">
        <f t="shared" ref="M219:M226" si="84">+K219+L219</f>
        <v>0</v>
      </c>
      <c r="N219" s="86"/>
    </row>
    <row r="220" spans="1:14" s="185" customFormat="1">
      <c r="B220" s="23" t="s">
        <v>17</v>
      </c>
      <c r="C220" s="222">
        <v>0</v>
      </c>
      <c r="D220" s="225">
        <v>0</v>
      </c>
      <c r="E220" s="223">
        <f t="shared" si="79"/>
        <v>0</v>
      </c>
      <c r="F220" s="224">
        <f>ROUND(+E220*F$243,2)</f>
        <v>0</v>
      </c>
      <c r="G220" s="180">
        <f t="shared" si="80"/>
        <v>0</v>
      </c>
      <c r="H220" s="635">
        <f>ROUND(F220*'Actual Load'!$B$14/'Zonal Load'!$N$14,2)</f>
        <v>0</v>
      </c>
      <c r="I220" s="180">
        <f t="shared" si="81"/>
        <v>0</v>
      </c>
      <c r="J220" s="180">
        <f t="shared" si="82"/>
        <v>0</v>
      </c>
      <c r="K220" s="180">
        <f t="shared" si="83"/>
        <v>0</v>
      </c>
      <c r="L220" s="181">
        <f>E220*'Interest Over Collect'!$J$9</f>
        <v>0</v>
      </c>
      <c r="M220" s="180">
        <f t="shared" si="84"/>
        <v>0</v>
      </c>
      <c r="N220" s="86"/>
    </row>
    <row r="221" spans="1:14" s="185" customFormat="1">
      <c r="B221" s="23" t="s">
        <v>201</v>
      </c>
      <c r="C221" s="222">
        <f>0%*0.421</f>
        <v>0</v>
      </c>
      <c r="D221" s="225">
        <f>0%*0.421</f>
        <v>0</v>
      </c>
      <c r="E221" s="223">
        <f t="shared" si="79"/>
        <v>0</v>
      </c>
      <c r="F221" s="224">
        <f t="shared" ref="F221:F240" si="85">ROUND(+E221*F$243,2)</f>
        <v>0</v>
      </c>
      <c r="G221" s="180">
        <f t="shared" si="80"/>
        <v>0</v>
      </c>
      <c r="H221" s="635">
        <f>ROUND(F221*'Actual Load'!$B$9/'Zonal Load'!$N$9,2)</f>
        <v>0</v>
      </c>
      <c r="I221" s="180">
        <f t="shared" si="81"/>
        <v>0</v>
      </c>
      <c r="J221" s="180">
        <f t="shared" si="82"/>
        <v>0</v>
      </c>
      <c r="K221" s="180">
        <f t="shared" si="83"/>
        <v>0</v>
      </c>
      <c r="L221" s="181">
        <f>E221*'Interest Over Collect'!$J$9</f>
        <v>0</v>
      </c>
      <c r="M221" s="180">
        <f t="shared" si="84"/>
        <v>0</v>
      </c>
      <c r="N221" s="86"/>
    </row>
    <row r="222" spans="1:14" s="185" customFormat="1">
      <c r="B222" s="132" t="s">
        <v>260</v>
      </c>
      <c r="C222" s="222">
        <f>0%*0.579</f>
        <v>0</v>
      </c>
      <c r="D222" s="225">
        <f>0%*0.579</f>
        <v>0</v>
      </c>
      <c r="E222" s="223">
        <f>C222+D222</f>
        <v>0</v>
      </c>
      <c r="F222" s="224">
        <f t="shared" si="85"/>
        <v>0</v>
      </c>
      <c r="G222" s="180">
        <f>(F$243-F$244)*E222</f>
        <v>0</v>
      </c>
      <c r="H222" s="635">
        <f>ROUND(F222*'Actual Load'!$B$10/'Zonal Load'!$N$10,2)</f>
        <v>0</v>
      </c>
      <c r="I222" s="180">
        <f t="shared" si="81"/>
        <v>0</v>
      </c>
      <c r="J222" s="180">
        <f>I222-F222</f>
        <v>0</v>
      </c>
      <c r="K222" s="180">
        <f>+G222+J222</f>
        <v>0</v>
      </c>
      <c r="L222" s="181">
        <f>E222*'Interest Over Collect'!$J$9</f>
        <v>0</v>
      </c>
      <c r="M222" s="180">
        <f>+K222+L222</f>
        <v>0</v>
      </c>
      <c r="N222" s="86"/>
    </row>
    <row r="223" spans="1:14" s="185" customFormat="1">
      <c r="B223" s="23" t="s">
        <v>18</v>
      </c>
      <c r="C223" s="222">
        <v>0</v>
      </c>
      <c r="D223" s="225">
        <v>0</v>
      </c>
      <c r="E223" s="223">
        <f t="shared" si="79"/>
        <v>0</v>
      </c>
      <c r="F223" s="224">
        <f t="shared" si="85"/>
        <v>0</v>
      </c>
      <c r="G223" s="180">
        <f t="shared" si="80"/>
        <v>0</v>
      </c>
      <c r="H223" s="635">
        <f>ROUND(F223*'Actual Load'!$B$26/'Zonal Load'!$N$26,2)</f>
        <v>0</v>
      </c>
      <c r="I223" s="180">
        <f t="shared" si="81"/>
        <v>0</v>
      </c>
      <c r="J223" s="180">
        <f t="shared" si="82"/>
        <v>0</v>
      </c>
      <c r="K223" s="180">
        <f t="shared" si="83"/>
        <v>0</v>
      </c>
      <c r="L223" s="181">
        <f>E223*'Interest Over Collect'!$J$9</f>
        <v>0</v>
      </c>
      <c r="M223" s="180">
        <f t="shared" si="84"/>
        <v>0</v>
      </c>
      <c r="N223" s="86"/>
    </row>
    <row r="224" spans="1:14" s="185" customFormat="1">
      <c r="B224" s="23" t="s">
        <v>19</v>
      </c>
      <c r="C224" s="222">
        <v>0</v>
      </c>
      <c r="D224" s="225">
        <v>0</v>
      </c>
      <c r="E224" s="223">
        <f t="shared" si="79"/>
        <v>0</v>
      </c>
      <c r="F224" s="224">
        <f t="shared" si="85"/>
        <v>0</v>
      </c>
      <c r="G224" s="180">
        <f t="shared" si="80"/>
        <v>0</v>
      </c>
      <c r="H224" s="635">
        <f>ROUND(F224*'Actual Load'!$B$16/'Zonal Load'!$N$16,2)</f>
        <v>0</v>
      </c>
      <c r="I224" s="180">
        <f t="shared" si="81"/>
        <v>0</v>
      </c>
      <c r="J224" s="180">
        <f t="shared" si="82"/>
        <v>0</v>
      </c>
      <c r="K224" s="180">
        <f t="shared" si="83"/>
        <v>0</v>
      </c>
      <c r="L224" s="181">
        <f>E224*'Interest Over Collect'!$J$9</f>
        <v>0</v>
      </c>
      <c r="M224" s="180">
        <f t="shared" si="84"/>
        <v>0</v>
      </c>
      <c r="N224" s="86"/>
    </row>
    <row r="225" spans="2:14" s="185" customFormat="1">
      <c r="B225" s="23" t="s">
        <v>20</v>
      </c>
      <c r="C225" s="222">
        <v>0</v>
      </c>
      <c r="D225" s="225">
        <v>0</v>
      </c>
      <c r="E225" s="223">
        <f t="shared" si="79"/>
        <v>0</v>
      </c>
      <c r="F225" s="224">
        <f t="shared" si="85"/>
        <v>0</v>
      </c>
      <c r="G225" s="180">
        <f t="shared" si="80"/>
        <v>0</v>
      </c>
      <c r="H225" s="635">
        <f>ROUND(F225*'Actual Load'!$B$22/'Zonal Load'!$N$22,2)</f>
        <v>0</v>
      </c>
      <c r="I225" s="180">
        <f t="shared" si="81"/>
        <v>0</v>
      </c>
      <c r="J225" s="180">
        <f t="shared" si="82"/>
        <v>0</v>
      </c>
      <c r="K225" s="180">
        <f t="shared" si="83"/>
        <v>0</v>
      </c>
      <c r="L225" s="181">
        <f>E225*'Interest Over Collect'!$J$9</f>
        <v>0</v>
      </c>
      <c r="M225" s="180">
        <f t="shared" si="84"/>
        <v>0</v>
      </c>
      <c r="N225" s="86"/>
    </row>
    <row r="226" spans="2:14" s="185" customFormat="1">
      <c r="B226" s="23" t="s">
        <v>21</v>
      </c>
      <c r="C226" s="222">
        <v>0</v>
      </c>
      <c r="D226" s="225">
        <v>0</v>
      </c>
      <c r="E226" s="223">
        <f t="shared" si="79"/>
        <v>0</v>
      </c>
      <c r="F226" s="224">
        <f t="shared" si="85"/>
        <v>0</v>
      </c>
      <c r="G226" s="180">
        <f t="shared" si="80"/>
        <v>0</v>
      </c>
      <c r="H226" s="635">
        <f>ROUND(F226*'Actual Load'!$B$17/'Zonal Load'!$N$17,2)</f>
        <v>0</v>
      </c>
      <c r="I226" s="180">
        <f t="shared" si="81"/>
        <v>0</v>
      </c>
      <c r="J226" s="180">
        <f t="shared" si="82"/>
        <v>0</v>
      </c>
      <c r="K226" s="180">
        <f t="shared" si="83"/>
        <v>0</v>
      </c>
      <c r="L226" s="181">
        <f>E226*'Interest Over Collect'!$J$9</f>
        <v>0</v>
      </c>
      <c r="M226" s="180">
        <f t="shared" si="84"/>
        <v>0</v>
      </c>
      <c r="N226" s="86"/>
    </row>
    <row r="227" spans="2:14" s="185" customFormat="1">
      <c r="B227" s="23" t="s">
        <v>22</v>
      </c>
      <c r="C227" s="222">
        <v>0</v>
      </c>
      <c r="D227" s="225">
        <v>0</v>
      </c>
      <c r="E227" s="223">
        <f t="shared" si="79"/>
        <v>0</v>
      </c>
      <c r="F227" s="224">
        <f t="shared" si="85"/>
        <v>0</v>
      </c>
      <c r="G227" s="180">
        <f t="shared" si="80"/>
        <v>0</v>
      </c>
      <c r="H227" s="635">
        <f>ROUND(F227*'Actual Load'!$B$15/'Zonal Load'!$N$15,2)</f>
        <v>0</v>
      </c>
      <c r="I227" s="180">
        <f t="shared" si="81"/>
        <v>0</v>
      </c>
      <c r="J227" s="180">
        <f t="shared" si="82"/>
        <v>0</v>
      </c>
      <c r="K227" s="180">
        <f t="shared" si="83"/>
        <v>0</v>
      </c>
      <c r="L227" s="181">
        <f>E227*'Interest Over Collect'!$J$9</f>
        <v>0</v>
      </c>
      <c r="M227" s="180">
        <f>+K227+L227</f>
        <v>0</v>
      </c>
      <c r="N227" s="86"/>
    </row>
    <row r="228" spans="2:14" s="185" customFormat="1">
      <c r="B228" s="23" t="s">
        <v>23</v>
      </c>
      <c r="C228" s="222">
        <v>0</v>
      </c>
      <c r="D228" s="225">
        <v>4.3912283358846955E-3</v>
      </c>
      <c r="E228" s="223">
        <f t="shared" si="79"/>
        <v>4.3912283358846955E-3</v>
      </c>
      <c r="F228" s="224">
        <f t="shared" si="85"/>
        <v>17702.7</v>
      </c>
      <c r="G228" s="180">
        <f t="shared" si="80"/>
        <v>379.71445429494736</v>
      </c>
      <c r="H228" s="635">
        <f>ROUND(F228*'Actual Load'!$B$4/'Zonal Load'!$N$4,2)</f>
        <v>17409.990000000002</v>
      </c>
      <c r="I228" s="180">
        <f t="shared" si="81"/>
        <v>18273.490000000002</v>
      </c>
      <c r="J228" s="180">
        <f t="shared" si="82"/>
        <v>570.79000000000087</v>
      </c>
      <c r="K228" s="180">
        <f t="shared" si="83"/>
        <v>950.50445429494823</v>
      </c>
      <c r="L228" s="181">
        <f>E228*'Interest Over Collect'!$J$9</f>
        <v>16.917382813129226</v>
      </c>
      <c r="M228" s="180">
        <f t="shared" ref="M228:M240" si="86">+K228+L228</f>
        <v>967.42183710807751</v>
      </c>
      <c r="N228" s="86"/>
    </row>
    <row r="229" spans="2:14" s="185" customFormat="1">
      <c r="B229" s="23" t="s">
        <v>24</v>
      </c>
      <c r="C229" s="222">
        <v>0</v>
      </c>
      <c r="D229" s="225">
        <v>0</v>
      </c>
      <c r="E229" s="223">
        <f t="shared" si="79"/>
        <v>0</v>
      </c>
      <c r="F229" s="224">
        <f t="shared" si="85"/>
        <v>0</v>
      </c>
      <c r="G229" s="180">
        <f t="shared" si="80"/>
        <v>0</v>
      </c>
      <c r="H229" s="635">
        <f>ROUND(F229*'Actual Load'!$B$11/'Zonal Load'!$N$11,2)</f>
        <v>0</v>
      </c>
      <c r="I229" s="180">
        <f t="shared" si="81"/>
        <v>0</v>
      </c>
      <c r="J229" s="180">
        <f t="shared" si="82"/>
        <v>0</v>
      </c>
      <c r="K229" s="180">
        <f t="shared" si="83"/>
        <v>0</v>
      </c>
      <c r="L229" s="181">
        <f>E229*'Interest Over Collect'!$J$9</f>
        <v>0</v>
      </c>
      <c r="M229" s="180">
        <f t="shared" si="86"/>
        <v>0</v>
      </c>
      <c r="N229" s="86"/>
    </row>
    <row r="230" spans="2:14" s="185" customFormat="1">
      <c r="B230" s="23" t="s">
        <v>25</v>
      </c>
      <c r="C230" s="222">
        <v>0</v>
      </c>
      <c r="D230" s="225">
        <v>0</v>
      </c>
      <c r="E230" s="223">
        <f t="shared" si="79"/>
        <v>0</v>
      </c>
      <c r="F230" s="224">
        <f t="shared" si="85"/>
        <v>0</v>
      </c>
      <c r="G230" s="180">
        <f t="shared" si="80"/>
        <v>0</v>
      </c>
      <c r="H230" s="635">
        <f>ROUND(F230*'Actual Load'!$B$6/'Zonal Load'!$N$6,2)</f>
        <v>0</v>
      </c>
      <c r="I230" s="180">
        <f t="shared" si="81"/>
        <v>0</v>
      </c>
      <c r="J230" s="180">
        <f t="shared" si="82"/>
        <v>0</v>
      </c>
      <c r="K230" s="180">
        <f t="shared" si="83"/>
        <v>0</v>
      </c>
      <c r="L230" s="181">
        <f>E230*'Interest Over Collect'!$J$9</f>
        <v>0</v>
      </c>
      <c r="M230" s="180">
        <f t="shared" si="86"/>
        <v>0</v>
      </c>
      <c r="N230" s="86"/>
    </row>
    <row r="231" spans="2:14" s="185" customFormat="1">
      <c r="B231" s="23" t="s">
        <v>26</v>
      </c>
      <c r="C231" s="222">
        <v>0</v>
      </c>
      <c r="D231" s="225">
        <v>6.7668398231625273E-4</v>
      </c>
      <c r="E231" s="223">
        <f t="shared" si="79"/>
        <v>6.7668398231625273E-4</v>
      </c>
      <c r="F231" s="224">
        <f t="shared" si="85"/>
        <v>2727.97</v>
      </c>
      <c r="G231" s="180">
        <f t="shared" si="80"/>
        <v>58.513625214066892</v>
      </c>
      <c r="H231" s="635">
        <f>ROUND(F231*'Actual Load'!$B$7/'Zonal Load'!$N$7,2)</f>
        <v>2558.88</v>
      </c>
      <c r="I231" s="180">
        <f t="shared" si="81"/>
        <v>2685.79</v>
      </c>
      <c r="J231" s="180">
        <f t="shared" si="82"/>
        <v>-42.179999999999836</v>
      </c>
      <c r="K231" s="180">
        <f t="shared" si="83"/>
        <v>16.333625214067055</v>
      </c>
      <c r="L231" s="181">
        <f>E231*'Interest Over Collect'!$J$9</f>
        <v>2.6069521092326564</v>
      </c>
      <c r="M231" s="180">
        <f t="shared" si="86"/>
        <v>18.940577323299713</v>
      </c>
      <c r="N231" s="86"/>
    </row>
    <row r="232" spans="2:14" s="185" customFormat="1">
      <c r="B232" s="23" t="s">
        <v>27</v>
      </c>
      <c r="C232" s="222">
        <v>0</v>
      </c>
      <c r="D232" s="225">
        <v>0</v>
      </c>
      <c r="E232" s="223">
        <f t="shared" si="79"/>
        <v>0</v>
      </c>
      <c r="F232" s="224">
        <f t="shared" si="85"/>
        <v>0</v>
      </c>
      <c r="G232" s="180">
        <f t="shared" si="80"/>
        <v>0</v>
      </c>
      <c r="H232" s="635">
        <f>ROUND(F232*'Actual Load'!$B$12/'Zonal Load'!$N$12,2)</f>
        <v>0</v>
      </c>
      <c r="I232" s="180">
        <f t="shared" si="81"/>
        <v>0</v>
      </c>
      <c r="J232" s="180">
        <f t="shared" si="82"/>
        <v>0</v>
      </c>
      <c r="K232" s="180">
        <f t="shared" si="83"/>
        <v>0</v>
      </c>
      <c r="L232" s="181">
        <f>E232*'Interest Over Collect'!$J$9</f>
        <v>0</v>
      </c>
      <c r="M232" s="180">
        <f t="shared" si="86"/>
        <v>0</v>
      </c>
      <c r="N232" s="86"/>
    </row>
    <row r="233" spans="2:14" s="185" customFormat="1">
      <c r="B233" s="23" t="s">
        <v>28</v>
      </c>
      <c r="C233" s="222">
        <v>0</v>
      </c>
      <c r="D233" s="225">
        <v>0</v>
      </c>
      <c r="E233" s="223">
        <f t="shared" si="79"/>
        <v>0</v>
      </c>
      <c r="F233" s="224">
        <f t="shared" si="85"/>
        <v>0</v>
      </c>
      <c r="G233" s="180">
        <f t="shared" si="80"/>
        <v>0</v>
      </c>
      <c r="H233" s="635">
        <f>ROUND(F233*'Actual Load'!$B$24/'Zonal Load'!$N$24,2)</f>
        <v>0</v>
      </c>
      <c r="I233" s="180">
        <f t="shared" si="81"/>
        <v>0</v>
      </c>
      <c r="J233" s="180">
        <f t="shared" si="82"/>
        <v>0</v>
      </c>
      <c r="K233" s="180">
        <f t="shared" si="83"/>
        <v>0</v>
      </c>
      <c r="L233" s="181">
        <f>E233*'Interest Over Collect'!$J$9</f>
        <v>0</v>
      </c>
      <c r="M233" s="180">
        <f t="shared" si="86"/>
        <v>0</v>
      </c>
      <c r="N233" s="86"/>
    </row>
    <row r="234" spans="2:14" s="185" customFormat="1">
      <c r="B234" s="23" t="s">
        <v>29</v>
      </c>
      <c r="C234" s="222">
        <v>0</v>
      </c>
      <c r="D234" s="225">
        <v>4.435759923690847E-2</v>
      </c>
      <c r="E234" s="223">
        <f t="shared" si="79"/>
        <v>4.435759923690847E-2</v>
      </c>
      <c r="F234" s="224">
        <f t="shared" si="85"/>
        <v>178822.22</v>
      </c>
      <c r="G234" s="180">
        <f t="shared" si="80"/>
        <v>3835.6515079016699</v>
      </c>
      <c r="H234" s="635">
        <f>ROUND(F234*'Actual Load'!$B$5/'Zonal Load'!$N$5,2)</f>
        <v>173506.35</v>
      </c>
      <c r="I234" s="180">
        <f t="shared" si="81"/>
        <v>182111.88</v>
      </c>
      <c r="J234" s="180">
        <f t="shared" si="82"/>
        <v>3289.6600000000035</v>
      </c>
      <c r="K234" s="180">
        <f t="shared" si="83"/>
        <v>7125.3115079016734</v>
      </c>
      <c r="L234" s="181">
        <f>E234*'Interest Over Collect'!$J$9</f>
        <v>170.88942536415937</v>
      </c>
      <c r="M234" s="180">
        <f t="shared" si="86"/>
        <v>7296.2009332658326</v>
      </c>
      <c r="N234" s="86"/>
    </row>
    <row r="235" spans="2:14" s="185" customFormat="1">
      <c r="B235" s="23" t="s">
        <v>30</v>
      </c>
      <c r="C235" s="222">
        <v>0</v>
      </c>
      <c r="D235" s="225">
        <v>0.32427599438443122</v>
      </c>
      <c r="E235" s="223">
        <f t="shared" si="79"/>
        <v>0.32427599438443122</v>
      </c>
      <c r="F235" s="224">
        <f t="shared" si="85"/>
        <v>1307278.8999999999</v>
      </c>
      <c r="G235" s="180">
        <f t="shared" si="80"/>
        <v>28040.510041896603</v>
      </c>
      <c r="H235" s="635">
        <f>ROUND(F235*'Actual Load'!$B$21/'Zonal Load'!$N$21,2)</f>
        <v>1248833.52</v>
      </c>
      <c r="I235" s="180">
        <f t="shared" si="81"/>
        <v>1310772.9099999999</v>
      </c>
      <c r="J235" s="180">
        <f t="shared" si="82"/>
        <v>3494.0100000000093</v>
      </c>
      <c r="K235" s="180">
        <f t="shared" si="83"/>
        <v>31534.520041896612</v>
      </c>
      <c r="L235" s="181">
        <f>E235*'Interest Over Collect'!$J$9</f>
        <v>1249.2862394057966</v>
      </c>
      <c r="M235" s="180">
        <f t="shared" si="86"/>
        <v>32783.806281302408</v>
      </c>
      <c r="N235" s="86"/>
    </row>
    <row r="236" spans="2:14" s="185" customFormat="1">
      <c r="B236" s="23" t="s">
        <v>31</v>
      </c>
      <c r="C236" s="222">
        <v>0</v>
      </c>
      <c r="D236" s="225">
        <v>0.25530380434705791</v>
      </c>
      <c r="E236" s="223">
        <f t="shared" si="79"/>
        <v>0.25530380434705791</v>
      </c>
      <c r="F236" s="224">
        <f t="shared" si="85"/>
        <v>1029225.97</v>
      </c>
      <c r="G236" s="180">
        <f t="shared" si="80"/>
        <v>22076.407176293236</v>
      </c>
      <c r="H236" s="635">
        <f>ROUND(F236*'Actual Load'!$B$19/'Zonal Load'!$N$19,2)</f>
        <v>958214.93</v>
      </c>
      <c r="I236" s="180">
        <f t="shared" si="81"/>
        <v>1005740.28</v>
      </c>
      <c r="J236" s="180">
        <f t="shared" si="82"/>
        <v>-23485.689999999944</v>
      </c>
      <c r="K236" s="180">
        <f t="shared" si="83"/>
        <v>-1409.2828237067079</v>
      </c>
      <c r="L236" s="181">
        <f>E236*'Interest Over Collect'!$J$9</f>
        <v>983.56811839921443</v>
      </c>
      <c r="M236" s="180">
        <f t="shared" si="86"/>
        <v>-425.71470530749343</v>
      </c>
      <c r="N236" s="86"/>
    </row>
    <row r="237" spans="2:14" s="185" customFormat="1">
      <c r="B237" s="23" t="s">
        <v>32</v>
      </c>
      <c r="C237" s="222">
        <v>0</v>
      </c>
      <c r="D237" s="225">
        <v>0</v>
      </c>
      <c r="E237" s="223">
        <f t="shared" si="79"/>
        <v>0</v>
      </c>
      <c r="F237" s="224">
        <f t="shared" si="85"/>
        <v>0</v>
      </c>
      <c r="G237" s="180">
        <f t="shared" si="80"/>
        <v>0</v>
      </c>
      <c r="H237" s="635">
        <f>ROUND(F237*'Actual Load'!$B$25/'Zonal Load'!$N$25,2)</f>
        <v>0</v>
      </c>
      <c r="I237" s="180">
        <f t="shared" si="81"/>
        <v>0</v>
      </c>
      <c r="J237" s="180">
        <f t="shared" si="82"/>
        <v>0</v>
      </c>
      <c r="K237" s="180">
        <f t="shared" si="83"/>
        <v>0</v>
      </c>
      <c r="L237" s="181">
        <f>E237*'Interest Over Collect'!$J$9</f>
        <v>0</v>
      </c>
      <c r="M237" s="180">
        <f t="shared" si="86"/>
        <v>0</v>
      </c>
      <c r="N237" s="86"/>
    </row>
    <row r="238" spans="2:14" s="185" customFormat="1">
      <c r="B238" s="23" t="s">
        <v>33</v>
      </c>
      <c r="C238" s="222">
        <v>0</v>
      </c>
      <c r="D238" s="225">
        <v>1.8360834628091245E-2</v>
      </c>
      <c r="E238" s="223">
        <f t="shared" si="79"/>
        <v>1.8360834628091245E-2</v>
      </c>
      <c r="F238" s="224">
        <f t="shared" si="85"/>
        <v>74019.45</v>
      </c>
      <c r="G238" s="180">
        <f t="shared" si="80"/>
        <v>1587.6820260590764</v>
      </c>
      <c r="H238" s="635">
        <f>ROUND(F238*'Actual Load'!$B$13/'Zonal Load'!$N$13,2)</f>
        <v>71811.78</v>
      </c>
      <c r="I238" s="180">
        <f t="shared" si="81"/>
        <v>75373.490000000005</v>
      </c>
      <c r="J238" s="180">
        <f t="shared" si="82"/>
        <v>1354.0400000000081</v>
      </c>
      <c r="K238" s="180">
        <f t="shared" si="83"/>
        <v>2941.7220260590848</v>
      </c>
      <c r="L238" s="181">
        <f>E238*'Interest Over Collect'!$J$9</f>
        <v>70.735849838106645</v>
      </c>
      <c r="M238" s="180">
        <f t="shared" si="86"/>
        <v>3012.4578758971916</v>
      </c>
      <c r="N238" s="86"/>
    </row>
    <row r="239" spans="2:14" s="185" customFormat="1">
      <c r="B239" s="23" t="s">
        <v>34</v>
      </c>
      <c r="C239" s="222">
        <v>0</v>
      </c>
      <c r="D239" s="225">
        <v>0.35252617645165396</v>
      </c>
      <c r="E239" s="223">
        <f t="shared" si="79"/>
        <v>0.35252617645165396</v>
      </c>
      <c r="F239" s="224">
        <f t="shared" si="85"/>
        <v>1421166.04</v>
      </c>
      <c r="G239" s="180">
        <f t="shared" si="80"/>
        <v>30483.335066441185</v>
      </c>
      <c r="H239" s="635">
        <f>ROUND(F239*'Actual Load'!$B$23/'Zonal Load'!$N$23,2)</f>
        <v>1419499.14</v>
      </c>
      <c r="I239" s="180">
        <f t="shared" si="81"/>
        <v>1489903.17</v>
      </c>
      <c r="J239" s="180">
        <f t="shared" si="82"/>
        <v>68737.129999999888</v>
      </c>
      <c r="K239" s="180">
        <f t="shared" si="83"/>
        <v>99220.465066441073</v>
      </c>
      <c r="L239" s="181">
        <f>E239*'Interest Over Collect'!$J$9</f>
        <v>1358.1211958270549</v>
      </c>
      <c r="M239" s="180">
        <f t="shared" si="86"/>
        <v>100578.58626226813</v>
      </c>
      <c r="N239" s="86"/>
    </row>
    <row r="240" spans="2:14" s="185" customFormat="1">
      <c r="B240" s="24" t="s">
        <v>35</v>
      </c>
      <c r="C240" s="222">
        <v>0</v>
      </c>
      <c r="D240" s="225">
        <v>1.0767863365624218E-4</v>
      </c>
      <c r="E240" s="223">
        <f t="shared" si="79"/>
        <v>1.0767863365624218E-4</v>
      </c>
      <c r="F240" s="224">
        <f t="shared" si="85"/>
        <v>434.09</v>
      </c>
      <c r="G240" s="180">
        <f t="shared" si="80"/>
        <v>9.31109258971569</v>
      </c>
      <c r="H240" s="635">
        <f>ROUND(F240*'Actual Load'!$B$20/'Zonal Load'!$N$20,2)</f>
        <v>431.28</v>
      </c>
      <c r="I240" s="180">
        <f t="shared" si="81"/>
        <v>452.67</v>
      </c>
      <c r="J240" s="180">
        <f t="shared" si="82"/>
        <v>18.580000000000041</v>
      </c>
      <c r="K240" s="180">
        <f t="shared" si="83"/>
        <v>27.891092589715733</v>
      </c>
      <c r="L240" s="181">
        <f>E240*'Interest Over Collect'!$J$9</f>
        <v>0.41483624330601926</v>
      </c>
      <c r="M240" s="180">
        <f t="shared" si="86"/>
        <v>28.305928833021753</v>
      </c>
      <c r="N240" s="86"/>
    </row>
    <row r="241" spans="1:14">
      <c r="A241" s="172"/>
      <c r="B241" s="25"/>
      <c r="C241" s="26">
        <f t="shared" ref="C241:M241" si="87">SUM(C219:C240)</f>
        <v>0</v>
      </c>
      <c r="D241" s="27">
        <f t="shared" si="87"/>
        <v>1</v>
      </c>
      <c r="E241" s="101">
        <f t="shared" si="87"/>
        <v>1</v>
      </c>
      <c r="F241" s="95">
        <f t="shared" si="87"/>
        <v>4031377.34</v>
      </c>
      <c r="G241" s="78">
        <f t="shared" si="87"/>
        <v>86471.1249906905</v>
      </c>
      <c r="H241" s="138">
        <f t="shared" si="87"/>
        <v>3892265.8699999996</v>
      </c>
      <c r="I241" s="79">
        <f t="shared" si="87"/>
        <v>4085313.6799999997</v>
      </c>
      <c r="J241" s="110">
        <f t="shared" si="87"/>
        <v>53936.339999999967</v>
      </c>
      <c r="K241" s="561">
        <f t="shared" si="87"/>
        <v>140407.46499069047</v>
      </c>
      <c r="L241" s="79">
        <f t="shared" si="87"/>
        <v>3852.54</v>
      </c>
      <c r="M241" s="79">
        <f t="shared" si="87"/>
        <v>144260.00499069048</v>
      </c>
    </row>
    <row r="242" spans="1:14">
      <c r="A242" s="172"/>
      <c r="B242" s="28"/>
      <c r="G242" s="21"/>
    </row>
    <row r="243" spans="1:14">
      <c r="A243" s="172"/>
      <c r="E243" s="96" t="s">
        <v>618</v>
      </c>
      <c r="F243" s="178">
        <v>4031377.3474604078</v>
      </c>
      <c r="H243" s="139"/>
      <c r="I243" s="29"/>
      <c r="K243" s="81"/>
      <c r="L243" s="84"/>
    </row>
    <row r="244" spans="1:14">
      <c r="A244" s="172"/>
      <c r="E244" s="97" t="s">
        <v>619</v>
      </c>
      <c r="F244" s="179">
        <v>3944906.2224697173</v>
      </c>
      <c r="G244" s="632">
        <f>F243-F244</f>
        <v>86471.1249906905</v>
      </c>
      <c r="H244" s="633"/>
      <c r="L244" s="81"/>
    </row>
    <row r="245" spans="1:14">
      <c r="A245" s="172"/>
      <c r="E245" s="97" t="s">
        <v>160</v>
      </c>
      <c r="F245" s="186">
        <f>I241</f>
        <v>4085313.6799999997</v>
      </c>
      <c r="G245" s="632">
        <f>F245-F243</f>
        <v>53936.332539591938</v>
      </c>
      <c r="H245" s="634"/>
    </row>
    <row r="246" spans="1:14">
      <c r="A246" s="172"/>
      <c r="G246" s="632">
        <f>G244+G245</f>
        <v>140407.45753028244</v>
      </c>
      <c r="H246" s="633">
        <f>F245-F244</f>
        <v>140407.45753028244</v>
      </c>
    </row>
    <row r="247" spans="1:14">
      <c r="A247" s="172"/>
      <c r="B247" s="82"/>
      <c r="C247" s="82"/>
      <c r="D247" s="82"/>
      <c r="E247" s="82"/>
      <c r="F247" s="82"/>
      <c r="G247" s="82"/>
      <c r="H247" s="82"/>
      <c r="I247" s="82"/>
      <c r="J247" s="82"/>
      <c r="K247" s="82"/>
      <c r="L247" s="82"/>
      <c r="M247" s="82"/>
    </row>
    <row r="248" spans="1:14">
      <c r="A248" s="172"/>
    </row>
    <row r="249" spans="1:14">
      <c r="A249" s="172"/>
      <c r="B249" s="72" t="s">
        <v>0</v>
      </c>
      <c r="C249" s="641" t="s">
        <v>139</v>
      </c>
      <c r="D249" s="665"/>
      <c r="E249" s="665"/>
      <c r="F249" s="665"/>
      <c r="G249" s="665"/>
      <c r="H249" s="666"/>
      <c r="I249" s="1"/>
    </row>
    <row r="250" spans="1:14" ht="15.75" customHeight="1">
      <c r="A250" s="172"/>
      <c r="B250" s="70" t="s">
        <v>2</v>
      </c>
      <c r="C250" s="673" t="s">
        <v>140</v>
      </c>
      <c r="D250" s="668"/>
      <c r="E250" s="668"/>
      <c r="F250" s="668"/>
      <c r="G250" s="668"/>
      <c r="H250" s="669"/>
      <c r="I250" s="1"/>
    </row>
    <row r="251" spans="1:14">
      <c r="A251" s="172"/>
      <c r="B251" s="70" t="s">
        <v>4</v>
      </c>
      <c r="C251" s="674" t="s">
        <v>117</v>
      </c>
      <c r="D251" s="668"/>
      <c r="E251" s="668"/>
      <c r="F251" s="668"/>
      <c r="G251" s="668"/>
      <c r="H251" s="669"/>
      <c r="I251" s="1"/>
    </row>
    <row r="252" spans="1:14" ht="15.75" customHeight="1">
      <c r="A252" s="172"/>
      <c r="B252" s="71" t="s">
        <v>6</v>
      </c>
      <c r="C252" s="675" t="s">
        <v>141</v>
      </c>
      <c r="D252" s="662"/>
      <c r="E252" s="662"/>
      <c r="F252" s="662"/>
      <c r="G252" s="662"/>
      <c r="H252" s="663"/>
      <c r="I252" s="1"/>
    </row>
    <row r="253" spans="1:14">
      <c r="A253" s="172"/>
      <c r="B253" s="76"/>
      <c r="C253" s="76"/>
      <c r="D253" s="76"/>
      <c r="E253" s="76"/>
      <c r="F253" s="76"/>
      <c r="J253" s="105" t="s">
        <v>163</v>
      </c>
      <c r="K253" s="3" t="s">
        <v>42</v>
      </c>
      <c r="M253" s="3" t="s">
        <v>56</v>
      </c>
    </row>
    <row r="254" spans="1:14">
      <c r="A254" s="172"/>
      <c r="B254" s="76"/>
      <c r="C254" s="76"/>
      <c r="D254" s="76"/>
      <c r="E254" s="76"/>
      <c r="F254" s="76"/>
      <c r="G254" s="3" t="s">
        <v>39</v>
      </c>
      <c r="H254" s="134" t="s">
        <v>40</v>
      </c>
      <c r="I254" s="98" t="s">
        <v>41</v>
      </c>
      <c r="J254" s="106" t="s">
        <v>164</v>
      </c>
      <c r="K254" s="4" t="s">
        <v>165</v>
      </c>
      <c r="L254" s="4" t="s">
        <v>55</v>
      </c>
      <c r="M254" s="4" t="s">
        <v>166</v>
      </c>
      <c r="N254" s="202"/>
    </row>
    <row r="255" spans="1:14">
      <c r="A255" s="172"/>
      <c r="B255" s="76"/>
      <c r="C255" s="76"/>
      <c r="D255" s="76"/>
      <c r="E255" s="76"/>
      <c r="F255" s="76"/>
      <c r="G255" s="5"/>
      <c r="H255" s="658" t="s">
        <v>43</v>
      </c>
      <c r="I255" s="659"/>
      <c r="J255" s="660"/>
      <c r="K255" s="6" t="s">
        <v>44</v>
      </c>
      <c r="L255" s="5"/>
      <c r="M255" s="6" t="s">
        <v>45</v>
      </c>
      <c r="N255" s="202"/>
    </row>
    <row r="256" spans="1:14">
      <c r="A256" s="172"/>
      <c r="B256" s="77"/>
      <c r="C256" s="7">
        <v>0.2</v>
      </c>
      <c r="D256" s="7">
        <v>0.8</v>
      </c>
      <c r="E256" s="7"/>
      <c r="F256" s="92" t="s">
        <v>162</v>
      </c>
      <c r="G256" s="8" t="s">
        <v>46</v>
      </c>
      <c r="H256" s="135"/>
      <c r="I256" s="5"/>
      <c r="J256" s="107" t="s">
        <v>47</v>
      </c>
      <c r="K256" s="8" t="s">
        <v>48</v>
      </c>
      <c r="L256" s="9"/>
      <c r="M256" s="8" t="s">
        <v>49</v>
      </c>
    </row>
    <row r="257" spans="1:14">
      <c r="A257" s="172"/>
      <c r="B257" s="10"/>
      <c r="C257" s="69" t="s">
        <v>9</v>
      </c>
      <c r="D257" s="69" t="s">
        <v>10</v>
      </c>
      <c r="E257" s="69" t="s">
        <v>11</v>
      </c>
      <c r="F257" s="93" t="s">
        <v>8</v>
      </c>
      <c r="G257" s="11" t="s">
        <v>50</v>
      </c>
      <c r="H257" s="136" t="s">
        <v>51</v>
      </c>
      <c r="I257" s="12" t="s">
        <v>159</v>
      </c>
      <c r="J257" s="108" t="s">
        <v>50</v>
      </c>
      <c r="K257" s="12" t="s">
        <v>50</v>
      </c>
      <c r="L257" s="12" t="s">
        <v>52</v>
      </c>
      <c r="M257" s="12" t="s">
        <v>53</v>
      </c>
    </row>
    <row r="258" spans="1:14" ht="31.5">
      <c r="A258" s="172"/>
      <c r="B258" s="13" t="s">
        <v>13</v>
      </c>
      <c r="C258" s="14" t="s">
        <v>14</v>
      </c>
      <c r="D258" s="14" t="s">
        <v>14</v>
      </c>
      <c r="E258" s="103" t="s">
        <v>14</v>
      </c>
      <c r="F258" s="94" t="s">
        <v>15</v>
      </c>
      <c r="G258" s="16" t="s">
        <v>54</v>
      </c>
      <c r="H258" s="137"/>
      <c r="I258" s="17"/>
      <c r="J258" s="109" t="s">
        <v>54</v>
      </c>
      <c r="K258" s="17"/>
      <c r="L258" s="17"/>
      <c r="M258" s="16" t="s">
        <v>54</v>
      </c>
    </row>
    <row r="259" spans="1:14" s="185" customFormat="1">
      <c r="B259" s="18" t="s">
        <v>16</v>
      </c>
      <c r="C259" s="222">
        <v>0</v>
      </c>
      <c r="D259" s="225">
        <v>0</v>
      </c>
      <c r="E259" s="223">
        <v>2.5488081999999999E-2</v>
      </c>
      <c r="F259" s="226">
        <f>ROUND(+E259*F$285,2)</f>
        <v>646909.18999999994</v>
      </c>
      <c r="G259" s="180">
        <f t="shared" ref="G259:G282" si="88">(F$285-F$286)*E259</f>
        <v>-29476.13195782782</v>
      </c>
      <c r="H259" s="635">
        <f>ROUND(F259*'Actual Load'!$B$8/'Zonal Load'!$N$8,2)</f>
        <v>646909.18999999994</v>
      </c>
      <c r="I259" s="180">
        <f t="shared" ref="I259:I282" si="89">ROUND((H259*$H$912)/$H$910,2)</f>
        <v>678994.46</v>
      </c>
      <c r="J259" s="180">
        <f t="shared" ref="J259:J282" si="90">I259-F259</f>
        <v>32085.270000000019</v>
      </c>
      <c r="K259" s="180">
        <f t="shared" ref="K259:K282" si="91">+G259+J259</f>
        <v>2609.1380421721988</v>
      </c>
      <c r="L259" s="181">
        <f>E259*'Interest Under Collect '!$J$6</f>
        <v>-296.33463656479995</v>
      </c>
      <c r="M259" s="180">
        <f>+K259+L259</f>
        <v>2312.8034056073989</v>
      </c>
      <c r="N259" s="86"/>
    </row>
    <row r="260" spans="1:14" s="185" customFormat="1">
      <c r="B260" s="23" t="s">
        <v>17</v>
      </c>
      <c r="C260" s="222">
        <v>0</v>
      </c>
      <c r="D260" s="225">
        <v>0</v>
      </c>
      <c r="E260" s="223">
        <v>1.2261119999999999E-3</v>
      </c>
      <c r="F260" s="224">
        <f>ROUND(+E260*F$285,2)</f>
        <v>31119.759999999998</v>
      </c>
      <c r="G260" s="180">
        <f t="shared" si="88"/>
        <v>-1417.9583660738451</v>
      </c>
      <c r="H260" s="635">
        <f>ROUND(F260*'Actual Load'!$B$14/'Zonal Load'!$N$14,2)</f>
        <v>30067.599999999999</v>
      </c>
      <c r="I260" s="180">
        <f t="shared" si="89"/>
        <v>31558.89</v>
      </c>
      <c r="J260" s="180">
        <f t="shared" si="90"/>
        <v>439.13000000000102</v>
      </c>
      <c r="K260" s="180">
        <f t="shared" si="91"/>
        <v>-978.82836607384411</v>
      </c>
      <c r="L260" s="181">
        <f>E260*'Interest Under Collect '!$J$6</f>
        <v>-14.255268556799999</v>
      </c>
      <c r="M260" s="180">
        <f t="shared" ref="M260:M282" si="92">+K260+L260</f>
        <v>-993.08363463064416</v>
      </c>
      <c r="N260" s="86"/>
    </row>
    <row r="261" spans="1:14" s="185" customFormat="1">
      <c r="B261" s="23" t="s">
        <v>201</v>
      </c>
      <c r="C261" s="222">
        <f>0%*0.421</f>
        <v>0</v>
      </c>
      <c r="D261" s="225">
        <f>0%*0.421</f>
        <v>0</v>
      </c>
      <c r="E261" s="223">
        <f>2.3244843%*0.421</f>
        <v>9.7860789029999996E-3</v>
      </c>
      <c r="F261" s="224">
        <f t="shared" ref="F261:F282" si="93">ROUND(+E261*F$285,2)</f>
        <v>248379</v>
      </c>
      <c r="G261" s="180">
        <f t="shared" si="88"/>
        <v>-11317.279703295953</v>
      </c>
      <c r="H261" s="635">
        <f>ROUND(F261*'Actual Load'!$B$9/'Zonal Load'!$N$9,2)</f>
        <v>248379</v>
      </c>
      <c r="I261" s="180">
        <f t="shared" si="89"/>
        <v>260698.05</v>
      </c>
      <c r="J261" s="180">
        <f t="shared" si="90"/>
        <v>12319.049999999988</v>
      </c>
      <c r="K261" s="180">
        <f t="shared" si="91"/>
        <v>1001.770296704035</v>
      </c>
      <c r="L261" s="181">
        <f>E261*'Interest Under Collect '!$J$6</f>
        <v>-113.77686775783918</v>
      </c>
      <c r="M261" s="180">
        <f t="shared" si="92"/>
        <v>887.99342894619576</v>
      </c>
      <c r="N261" s="86"/>
    </row>
    <row r="262" spans="1:14" s="185" customFormat="1">
      <c r="B262" s="132" t="s">
        <v>260</v>
      </c>
      <c r="C262" s="222">
        <f>0%*0.579</f>
        <v>0</v>
      </c>
      <c r="D262" s="225">
        <f>0%*0.579</f>
        <v>0</v>
      </c>
      <c r="E262" s="223">
        <f>2.3244843%*0.579</f>
        <v>1.3458764097E-2</v>
      </c>
      <c r="F262" s="224">
        <f t="shared" si="93"/>
        <v>341594.87</v>
      </c>
      <c r="G262" s="180">
        <f>(F$285-F$286)*E262</f>
        <v>-15564.619829473533</v>
      </c>
      <c r="H262" s="635">
        <f>ROUND(F262*'Actual Load'!$B$10/'Zonal Load'!$N$10,2)</f>
        <v>342659.63</v>
      </c>
      <c r="I262" s="180">
        <f t="shared" si="89"/>
        <v>359654.79</v>
      </c>
      <c r="J262" s="180">
        <f>I262-F262</f>
        <v>18059.919999999984</v>
      </c>
      <c r="K262" s="180">
        <f>+G262+J262</f>
        <v>2495.3001705264505</v>
      </c>
      <c r="L262" s="181">
        <f>E262*'Interest Under Collect '!$J$6</f>
        <v>-156.4769748973608</v>
      </c>
      <c r="M262" s="180">
        <f>+K262+L262</f>
        <v>2338.8231956290897</v>
      </c>
      <c r="N262" s="86"/>
    </row>
    <row r="263" spans="1:14" s="185" customFormat="1">
      <c r="B263" s="23" t="s">
        <v>18</v>
      </c>
      <c r="C263" s="222">
        <v>0</v>
      </c>
      <c r="D263" s="225">
        <v>0</v>
      </c>
      <c r="E263" s="223">
        <v>2.2930939999999999E-3</v>
      </c>
      <c r="F263" s="224">
        <f t="shared" si="93"/>
        <v>58200.68</v>
      </c>
      <c r="G263" s="180">
        <f t="shared" si="88"/>
        <v>-2651.8880995322925</v>
      </c>
      <c r="H263" s="635">
        <f>ROUND(F263*'Actual Load'!$B$26/'Zonal Load'!$N$26,2)</f>
        <v>57344.25</v>
      </c>
      <c r="I263" s="180">
        <f t="shared" si="89"/>
        <v>60188.4</v>
      </c>
      <c r="J263" s="180">
        <f t="shared" si="90"/>
        <v>1987.7200000000012</v>
      </c>
      <c r="K263" s="180">
        <f t="shared" si="91"/>
        <v>-664.16809953229131</v>
      </c>
      <c r="L263" s="181">
        <f>E263*'Interest Under Collect '!$J$6</f>
        <v>-26.660428081599999</v>
      </c>
      <c r="M263" s="180">
        <f t="shared" si="92"/>
        <v>-690.82852761389131</v>
      </c>
      <c r="N263" s="86"/>
    </row>
    <row r="264" spans="1:14" s="185" customFormat="1">
      <c r="B264" s="23" t="s">
        <v>19</v>
      </c>
      <c r="C264" s="222">
        <v>0</v>
      </c>
      <c r="D264" s="225">
        <v>0</v>
      </c>
      <c r="E264" s="223">
        <v>5.749667E-3</v>
      </c>
      <c r="F264" s="224">
        <f t="shared" si="93"/>
        <v>145931.44</v>
      </c>
      <c r="G264" s="180">
        <f t="shared" si="88"/>
        <v>-6649.3015522144042</v>
      </c>
      <c r="H264" s="635">
        <f>ROUND(F264*'Actual Load'!$B$16/'Zonal Load'!$N$16,2)</f>
        <v>138673.92000000001</v>
      </c>
      <c r="I264" s="180">
        <f t="shared" si="89"/>
        <v>145551.84</v>
      </c>
      <c r="J264" s="180">
        <f t="shared" si="90"/>
        <v>-379.60000000000582</v>
      </c>
      <c r="K264" s="180">
        <f t="shared" si="91"/>
        <v>-7028.90155221441</v>
      </c>
      <c r="L264" s="181">
        <f>E264*'Interest Under Collect '!$J$6</f>
        <v>-66.847928408800001</v>
      </c>
      <c r="M264" s="180">
        <f t="shared" si="92"/>
        <v>-7095.7494806232098</v>
      </c>
      <c r="N264" s="86"/>
    </row>
    <row r="265" spans="1:14" s="185" customFormat="1">
      <c r="B265" s="23" t="s">
        <v>20</v>
      </c>
      <c r="C265" s="222">
        <v>0</v>
      </c>
      <c r="D265" s="225">
        <v>0</v>
      </c>
      <c r="E265" s="223">
        <v>6.6300689999999997E-3</v>
      </c>
      <c r="F265" s="224">
        <f t="shared" si="93"/>
        <v>168276.79</v>
      </c>
      <c r="G265" s="180">
        <f t="shared" si="88"/>
        <v>-7667.4576271962533</v>
      </c>
      <c r="H265" s="635">
        <f>ROUND(F265*'Actual Load'!$B$22/'Zonal Load'!$N$22,2)</f>
        <v>161192.84</v>
      </c>
      <c r="I265" s="180">
        <f t="shared" si="89"/>
        <v>169187.65</v>
      </c>
      <c r="J265" s="180">
        <f t="shared" si="90"/>
        <v>910.85999999998603</v>
      </c>
      <c r="K265" s="180">
        <f t="shared" si="91"/>
        <v>-6756.5976271962672</v>
      </c>
      <c r="L265" s="181">
        <f>E265*'Interest Under Collect '!$J$6</f>
        <v>-77.0838342216</v>
      </c>
      <c r="M265" s="180">
        <f t="shared" si="92"/>
        <v>-6833.6814614178675</v>
      </c>
      <c r="N265" s="86"/>
    </row>
    <row r="266" spans="1:14" s="185" customFormat="1">
      <c r="B266" s="23" t="s">
        <v>21</v>
      </c>
      <c r="C266" s="222">
        <v>0</v>
      </c>
      <c r="D266" s="225">
        <v>0</v>
      </c>
      <c r="E266" s="223">
        <v>1.553598E-2</v>
      </c>
      <c r="F266" s="224">
        <f t="shared" si="93"/>
        <v>394316.38</v>
      </c>
      <c r="G266" s="180">
        <f t="shared" si="88"/>
        <v>-17966.85198102289</v>
      </c>
      <c r="H266" s="635">
        <f>ROUND(F266*'Actual Load'!$B$17/'Zonal Load'!$N$17,2)</f>
        <v>384189.99</v>
      </c>
      <c r="I266" s="180">
        <f t="shared" si="89"/>
        <v>403244.97</v>
      </c>
      <c r="J266" s="180">
        <f t="shared" si="90"/>
        <v>8928.5899999999674</v>
      </c>
      <c r="K266" s="180">
        <f t="shared" si="91"/>
        <v>-9038.2619810229226</v>
      </c>
      <c r="L266" s="181">
        <f>E266*'Interest Under Collect '!$J$6</f>
        <v>-180.627517872</v>
      </c>
      <c r="M266" s="180">
        <f t="shared" si="92"/>
        <v>-9218.8894988949232</v>
      </c>
      <c r="N266" s="86"/>
    </row>
    <row r="267" spans="1:14" s="185" customFormat="1">
      <c r="B267" s="23" t="s">
        <v>22</v>
      </c>
      <c r="C267" s="222">
        <v>0</v>
      </c>
      <c r="D267" s="225">
        <v>0</v>
      </c>
      <c r="E267" s="223">
        <v>2.0611763000000002E-2</v>
      </c>
      <c r="F267" s="224">
        <f t="shared" si="93"/>
        <v>523144.07</v>
      </c>
      <c r="G267" s="180">
        <f t="shared" si="88"/>
        <v>-23836.82876065265</v>
      </c>
      <c r="H267" s="635">
        <f>ROUND(F267*'Actual Load'!$B$15/'Zonal Load'!$N$15,2)</f>
        <v>499639.17</v>
      </c>
      <c r="I267" s="180">
        <f t="shared" si="89"/>
        <v>524420.17000000004</v>
      </c>
      <c r="J267" s="180">
        <f t="shared" si="90"/>
        <v>1276.1000000000349</v>
      </c>
      <c r="K267" s="180">
        <f t="shared" si="91"/>
        <v>-22560.728760652615</v>
      </c>
      <c r="L267" s="181">
        <f>E267*'Interest Under Collect '!$J$6</f>
        <v>-239.64060134320002</v>
      </c>
      <c r="M267" s="180">
        <f t="shared" si="92"/>
        <v>-22800.369361995814</v>
      </c>
      <c r="N267" s="86"/>
    </row>
    <row r="268" spans="1:14" s="185" customFormat="1">
      <c r="B268" s="23" t="s">
        <v>23</v>
      </c>
      <c r="C268" s="222">
        <v>0</v>
      </c>
      <c r="D268" s="225">
        <v>0</v>
      </c>
      <c r="E268" s="223">
        <v>1.1657959000000001E-2</v>
      </c>
      <c r="F268" s="224">
        <f t="shared" si="93"/>
        <v>295888.90999999997</v>
      </c>
      <c r="G268" s="180">
        <f t="shared" si="88"/>
        <v>-13482.047721085741</v>
      </c>
      <c r="H268" s="635">
        <f>ROUND(F268*'Actual Load'!$B$4/'Zonal Load'!$N$4,2)</f>
        <v>290996.53000000003</v>
      </c>
      <c r="I268" s="180">
        <f t="shared" si="89"/>
        <v>305429.32</v>
      </c>
      <c r="J268" s="180">
        <f t="shared" si="90"/>
        <v>9540.4100000000326</v>
      </c>
      <c r="K268" s="180">
        <f t="shared" si="91"/>
        <v>-3941.6377210857081</v>
      </c>
      <c r="L268" s="181">
        <f>E268*'Interest Under Collect '!$J$6</f>
        <v>-135.54009451760001</v>
      </c>
      <c r="M268" s="180">
        <f t="shared" si="92"/>
        <v>-4077.1778156033083</v>
      </c>
      <c r="N268" s="86"/>
    </row>
    <row r="269" spans="1:14" s="185" customFormat="1">
      <c r="B269" s="23" t="s">
        <v>24</v>
      </c>
      <c r="C269" s="222">
        <v>0</v>
      </c>
      <c r="D269" s="225">
        <v>0</v>
      </c>
      <c r="E269" s="223">
        <v>5.1956699999999997E-4</v>
      </c>
      <c r="F269" s="224">
        <f t="shared" si="93"/>
        <v>13187.05</v>
      </c>
      <c r="G269" s="180">
        <f t="shared" si="88"/>
        <v>-600.86221681697066</v>
      </c>
      <c r="H269" s="635">
        <f>ROUND(F269*'Actual Load'!$B$11/'Zonal Load'!$N$11,2)</f>
        <v>12973.51</v>
      </c>
      <c r="I269" s="180">
        <f t="shared" si="89"/>
        <v>13616.97</v>
      </c>
      <c r="J269" s="180">
        <f t="shared" si="90"/>
        <v>429.92000000000007</v>
      </c>
      <c r="K269" s="180">
        <f t="shared" si="91"/>
        <v>-170.94221681697059</v>
      </c>
      <c r="L269" s="181">
        <f>E269*'Interest Under Collect '!$J$6</f>
        <v>-6.0406937687999998</v>
      </c>
      <c r="M269" s="180">
        <f t="shared" si="92"/>
        <v>-176.98291058577058</v>
      </c>
      <c r="N269" s="86"/>
    </row>
    <row r="270" spans="1:14" s="185" customFormat="1">
      <c r="B270" s="23" t="s">
        <v>26</v>
      </c>
      <c r="C270" s="222">
        <v>0</v>
      </c>
      <c r="D270" s="225">
        <v>0</v>
      </c>
      <c r="E270" s="223">
        <v>1.5676696E-2</v>
      </c>
      <c r="F270" s="224">
        <f t="shared" si="93"/>
        <v>397887.87</v>
      </c>
      <c r="G270" s="180">
        <f t="shared" si="88"/>
        <v>-18129.585425798286</v>
      </c>
      <c r="H270" s="635">
        <f>ROUND(F270*'Actual Load'!$B$7/'Zonal Load'!$N$7,2)</f>
        <v>373225.41</v>
      </c>
      <c r="I270" s="180">
        <f t="shared" si="89"/>
        <v>391736.57</v>
      </c>
      <c r="J270" s="180">
        <f t="shared" si="90"/>
        <v>-6151.2999999999884</v>
      </c>
      <c r="K270" s="180">
        <f t="shared" si="91"/>
        <v>-24280.885425798275</v>
      </c>
      <c r="L270" s="181">
        <f>E270*'Interest Under Collect '!$J$6</f>
        <v>-182.26353837439999</v>
      </c>
      <c r="M270" s="180">
        <f t="shared" si="92"/>
        <v>-24463.148964172673</v>
      </c>
      <c r="N270" s="86"/>
    </row>
    <row r="271" spans="1:14" s="185" customFormat="1">
      <c r="B271" s="23" t="s">
        <v>25</v>
      </c>
      <c r="C271" s="222">
        <v>0</v>
      </c>
      <c r="D271" s="225">
        <v>0</v>
      </c>
      <c r="E271" s="223">
        <v>1.5696008000000001E-2</v>
      </c>
      <c r="F271" s="224">
        <f t="shared" si="93"/>
        <v>398378.03</v>
      </c>
      <c r="G271" s="180">
        <f t="shared" si="88"/>
        <v>-18151.91912122384</v>
      </c>
      <c r="H271" s="635">
        <f>ROUND(F271*'Actual Load'!$B$6/'Zonal Load'!$N$6,2)</f>
        <v>388668.68</v>
      </c>
      <c r="I271" s="180">
        <f t="shared" si="89"/>
        <v>407945.79</v>
      </c>
      <c r="J271" s="180">
        <f t="shared" si="90"/>
        <v>9567.7599999999511</v>
      </c>
      <c r="K271" s="180">
        <f t="shared" si="91"/>
        <v>-8584.1591212238891</v>
      </c>
      <c r="L271" s="181">
        <f>E271*'Interest Under Collect '!$J$6</f>
        <v>-182.48806741120001</v>
      </c>
      <c r="M271" s="180">
        <f t="shared" si="92"/>
        <v>-8766.6471886350882</v>
      </c>
      <c r="N271" s="86"/>
    </row>
    <row r="272" spans="1:14" s="185" customFormat="1">
      <c r="B272" s="23" t="s">
        <v>119</v>
      </c>
      <c r="C272" s="222">
        <v>0</v>
      </c>
      <c r="D272" s="225">
        <v>0</v>
      </c>
      <c r="E272" s="223">
        <v>1.07398E-3</v>
      </c>
      <c r="F272" s="224">
        <f t="shared" si="93"/>
        <v>27258.53</v>
      </c>
      <c r="G272" s="180">
        <f t="shared" si="88"/>
        <v>-1242.0226912353753</v>
      </c>
      <c r="H272" s="635">
        <f>ROUND(F272*'Actual Load'!$B$18/'Zonal Load'!$N$18,2)</f>
        <v>26605.08</v>
      </c>
      <c r="I272" s="180">
        <f t="shared" si="89"/>
        <v>27924.63</v>
      </c>
      <c r="J272" s="180">
        <f t="shared" si="90"/>
        <v>666.10000000000218</v>
      </c>
      <c r="K272" s="180">
        <f t="shared" si="91"/>
        <v>-575.92269123537312</v>
      </c>
      <c r="L272" s="181">
        <f>E272*'Interest Under Collect '!$J$6</f>
        <v>-12.486521071999999</v>
      </c>
      <c r="M272" s="180">
        <f t="shared" si="92"/>
        <v>-588.40921230737308</v>
      </c>
      <c r="N272" s="86"/>
    </row>
    <row r="273" spans="1:14" s="185" customFormat="1">
      <c r="B273" s="23" t="s">
        <v>120</v>
      </c>
      <c r="C273" s="222">
        <v>0</v>
      </c>
      <c r="D273" s="225">
        <v>0</v>
      </c>
      <c r="E273" s="223">
        <v>2.7865700000000003E-4</v>
      </c>
      <c r="F273" s="224">
        <f t="shared" si="93"/>
        <v>7072.55</v>
      </c>
      <c r="G273" s="180">
        <f t="shared" si="88"/>
        <v>-322.25769294733232</v>
      </c>
      <c r="H273" s="635">
        <f>ROUND(F273*'Actual Load'!$B$17/'Zonal Load'!$N$17,2)</f>
        <v>6890.92</v>
      </c>
      <c r="I273" s="180">
        <f t="shared" si="89"/>
        <v>7232.69</v>
      </c>
      <c r="J273" s="180">
        <f t="shared" si="90"/>
        <v>160.13999999999942</v>
      </c>
      <c r="K273" s="180">
        <f t="shared" si="91"/>
        <v>-162.1176929473329</v>
      </c>
      <c r="L273" s="181">
        <f>E273*'Interest Under Collect '!$J$6</f>
        <v>-3.2397777448</v>
      </c>
      <c r="M273" s="180">
        <f t="shared" si="92"/>
        <v>-165.35747069213289</v>
      </c>
      <c r="N273" s="86"/>
    </row>
    <row r="274" spans="1:14" s="185" customFormat="1">
      <c r="B274" s="23" t="s">
        <v>27</v>
      </c>
      <c r="C274" s="222">
        <v>0</v>
      </c>
      <c r="D274" s="225">
        <v>0</v>
      </c>
      <c r="E274" s="223">
        <v>7.74912E-4</v>
      </c>
      <c r="F274" s="224">
        <f t="shared" si="93"/>
        <v>19667.93</v>
      </c>
      <c r="G274" s="180">
        <f t="shared" si="88"/>
        <v>-896.16034536079542</v>
      </c>
      <c r="H274" s="635">
        <f>ROUND(F274*'Actual Load'!$B$12/'Zonal Load'!$N$12,2)</f>
        <v>19756.78</v>
      </c>
      <c r="I274" s="180">
        <f t="shared" si="89"/>
        <v>20736.669999999998</v>
      </c>
      <c r="J274" s="180">
        <f t="shared" si="90"/>
        <v>1068.739999999998</v>
      </c>
      <c r="K274" s="180">
        <f t="shared" si="91"/>
        <v>172.57965463920254</v>
      </c>
      <c r="L274" s="181">
        <f>E274*'Interest Under Collect '!$J$6</f>
        <v>-9.0094368767999988</v>
      </c>
      <c r="M274" s="180">
        <f t="shared" si="92"/>
        <v>163.57021776240254</v>
      </c>
      <c r="N274" s="86"/>
    </row>
    <row r="275" spans="1:14" s="185" customFormat="1">
      <c r="B275" s="23" t="s">
        <v>28</v>
      </c>
      <c r="C275" s="222">
        <v>0</v>
      </c>
      <c r="D275" s="225">
        <v>0</v>
      </c>
      <c r="E275" s="223">
        <v>8.2087299999999996E-4</v>
      </c>
      <c r="F275" s="224">
        <f t="shared" si="93"/>
        <v>20834.45</v>
      </c>
      <c r="G275" s="180">
        <f t="shared" si="88"/>
        <v>-949.31273638471487</v>
      </c>
      <c r="H275" s="635">
        <f>ROUND(F275*'Actual Load'!$B$24/'Zonal Load'!$N$24,2)</f>
        <v>20692.310000000001</v>
      </c>
      <c r="I275" s="180">
        <f t="shared" si="89"/>
        <v>21718.6</v>
      </c>
      <c r="J275" s="180">
        <f t="shared" si="90"/>
        <v>884.14999999999782</v>
      </c>
      <c r="K275" s="180">
        <f t="shared" si="91"/>
        <v>-65.16273638471705</v>
      </c>
      <c r="L275" s="181">
        <f>E275*'Interest Under Collect '!$J$6</f>
        <v>-9.5437978471999987</v>
      </c>
      <c r="M275" s="180">
        <f t="shared" si="92"/>
        <v>-74.706534231917047</v>
      </c>
      <c r="N275" s="86"/>
    </row>
    <row r="276" spans="1:14" s="185" customFormat="1">
      <c r="B276" s="23" t="s">
        <v>29</v>
      </c>
      <c r="C276" s="222">
        <v>0</v>
      </c>
      <c r="D276" s="225">
        <v>0</v>
      </c>
      <c r="E276" s="223">
        <v>3.0205915999999999E-2</v>
      </c>
      <c r="F276" s="224">
        <f t="shared" si="93"/>
        <v>766651.83</v>
      </c>
      <c r="G276" s="180">
        <f t="shared" si="88"/>
        <v>-34932.152443760293</v>
      </c>
      <c r="H276" s="635">
        <f>ROUND(F276*'Actual Load'!$B$5/'Zonal Load'!$N$5,2)</f>
        <v>743861.47</v>
      </c>
      <c r="I276" s="180">
        <f t="shared" si="89"/>
        <v>780755.36</v>
      </c>
      <c r="J276" s="180">
        <f t="shared" si="90"/>
        <v>14103.530000000028</v>
      </c>
      <c r="K276" s="180">
        <f t="shared" si="91"/>
        <v>-20828.622443760265</v>
      </c>
      <c r="L276" s="181">
        <f>E276*'Interest Under Collect '!$J$6</f>
        <v>-351.18606178239997</v>
      </c>
      <c r="M276" s="180">
        <f t="shared" si="92"/>
        <v>-21179.808505542664</v>
      </c>
      <c r="N276" s="86"/>
    </row>
    <row r="277" spans="1:14" s="185" customFormat="1">
      <c r="B277" s="23" t="s">
        <v>30</v>
      </c>
      <c r="C277" s="222">
        <v>0</v>
      </c>
      <c r="D277" s="225">
        <v>0</v>
      </c>
      <c r="E277" s="223">
        <v>0.49475347800000002</v>
      </c>
      <c r="F277" s="224">
        <f t="shared" si="93"/>
        <v>12557263.85</v>
      </c>
      <c r="G277" s="180">
        <f t="shared" si="88"/>
        <v>-572166.19140358479</v>
      </c>
      <c r="H277" s="635">
        <f>ROUND(F277*'Actual Load'!$B$21/'Zonal Load'!$N$21,2)</f>
        <v>11995858</v>
      </c>
      <c r="I277" s="180">
        <f t="shared" si="89"/>
        <v>12590826.1</v>
      </c>
      <c r="J277" s="180">
        <f t="shared" si="90"/>
        <v>33562.25</v>
      </c>
      <c r="K277" s="180">
        <f t="shared" si="91"/>
        <v>-538603.94140358479</v>
      </c>
      <c r="L277" s="181">
        <f>E277*'Interest Under Collect '!$J$6</f>
        <v>-5752.2018366192005</v>
      </c>
      <c r="M277" s="180">
        <f t="shared" si="92"/>
        <v>-544356.14324020396</v>
      </c>
      <c r="N277" s="86"/>
    </row>
    <row r="278" spans="1:14" s="185" customFormat="1">
      <c r="B278" s="23" t="s">
        <v>31</v>
      </c>
      <c r="C278" s="222">
        <v>0</v>
      </c>
      <c r="D278" s="225">
        <v>0</v>
      </c>
      <c r="E278" s="223">
        <v>9.7935486000000002E-2</v>
      </c>
      <c r="F278" s="224">
        <f t="shared" si="93"/>
        <v>2485685.89</v>
      </c>
      <c r="G278" s="180">
        <f t="shared" si="88"/>
        <v>-113259.18163202706</v>
      </c>
      <c r="H278" s="635">
        <f>ROUND(F278*'Actual Load'!$B$19/'Zonal Load'!$N$19,2)</f>
        <v>2314186.98</v>
      </c>
      <c r="I278" s="180">
        <f t="shared" si="89"/>
        <v>2428965.5499999998</v>
      </c>
      <c r="J278" s="180">
        <f t="shared" si="90"/>
        <v>-56720.340000000317</v>
      </c>
      <c r="K278" s="180">
        <f t="shared" si="91"/>
        <v>-169979.52163202738</v>
      </c>
      <c r="L278" s="181">
        <f>E278*'Interest Under Collect '!$J$6</f>
        <v>-1138.6371344304</v>
      </c>
      <c r="M278" s="180">
        <f t="shared" si="92"/>
        <v>-171118.15876645778</v>
      </c>
      <c r="N278" s="86"/>
    </row>
    <row r="279" spans="1:14" s="185" customFormat="1">
      <c r="B279" s="23" t="s">
        <v>32</v>
      </c>
      <c r="C279" s="222">
        <v>0</v>
      </c>
      <c r="D279" s="225">
        <v>0</v>
      </c>
      <c r="E279" s="223">
        <v>5.7825300000000004E-4</v>
      </c>
      <c r="F279" s="224">
        <f t="shared" si="93"/>
        <v>14676.55</v>
      </c>
      <c r="G279" s="180">
        <f t="shared" si="88"/>
        <v>-668.73065352700189</v>
      </c>
      <c r="H279" s="635">
        <f>ROUND(F279*'Actual Load'!$B$25/'Zonal Load'!$N$25,2)</f>
        <v>14016.91</v>
      </c>
      <c r="I279" s="180">
        <f t="shared" si="89"/>
        <v>14712.12</v>
      </c>
      <c r="J279" s="180">
        <f t="shared" si="90"/>
        <v>35.570000000001528</v>
      </c>
      <c r="K279" s="180">
        <f t="shared" si="91"/>
        <v>-633.16065352700036</v>
      </c>
      <c r="L279" s="181">
        <f>E279*'Interest Under Collect '!$J$6</f>
        <v>-6.7230006792000001</v>
      </c>
      <c r="M279" s="180">
        <f t="shared" si="92"/>
        <v>-639.88365420620039</v>
      </c>
      <c r="N279" s="86"/>
    </row>
    <row r="280" spans="1:14" s="185" customFormat="1">
      <c r="B280" s="23" t="s">
        <v>33</v>
      </c>
      <c r="C280" s="222">
        <v>0</v>
      </c>
      <c r="D280" s="225">
        <v>0</v>
      </c>
      <c r="E280" s="223">
        <v>3.2541869000000001E-2</v>
      </c>
      <c r="F280" s="224">
        <f t="shared" si="93"/>
        <v>825940.3</v>
      </c>
      <c r="G280" s="180">
        <f t="shared" si="88"/>
        <v>-37633.605572924105</v>
      </c>
      <c r="H280" s="635">
        <f>ROUND(F280*'Actual Load'!$B$13/'Zonal Load'!$N$13,2)</f>
        <v>801306.18</v>
      </c>
      <c r="I280" s="180">
        <f t="shared" si="89"/>
        <v>841049.2</v>
      </c>
      <c r="J280" s="180">
        <f t="shared" si="90"/>
        <v>15108.899999999907</v>
      </c>
      <c r="K280" s="180">
        <f t="shared" si="91"/>
        <v>-22524.705572924198</v>
      </c>
      <c r="L280" s="181">
        <f>E280*'Interest Under Collect '!$J$6</f>
        <v>-378.34478574159999</v>
      </c>
      <c r="M280" s="180">
        <f t="shared" si="92"/>
        <v>-22903.050358665798</v>
      </c>
      <c r="N280" s="86"/>
    </row>
    <row r="281" spans="1:14" s="185" customFormat="1">
      <c r="B281" s="23" t="s">
        <v>34</v>
      </c>
      <c r="C281" s="222">
        <v>0</v>
      </c>
      <c r="D281" s="225">
        <v>0</v>
      </c>
      <c r="E281" s="223">
        <v>0.18369840200000001</v>
      </c>
      <c r="F281" s="224">
        <f t="shared" si="93"/>
        <v>4662421.5999999996</v>
      </c>
      <c r="G281" s="180">
        <f t="shared" si="88"/>
        <v>-212441.1847778151</v>
      </c>
      <c r="H281" s="635">
        <f>ROUND(F281*'Actual Load'!$B$23/'Zonal Load'!$N$23,2)</f>
        <v>4656953.01</v>
      </c>
      <c r="I281" s="180">
        <f t="shared" si="89"/>
        <v>4887927.6100000003</v>
      </c>
      <c r="J281" s="180">
        <f t="shared" si="90"/>
        <v>225506.01000000071</v>
      </c>
      <c r="K281" s="180">
        <f t="shared" si="91"/>
        <v>13064.825222185609</v>
      </c>
      <c r="L281" s="181">
        <f>E281*'Interest Under Collect '!$J$6</f>
        <v>-2135.7511010128001</v>
      </c>
      <c r="M281" s="180">
        <f t="shared" si="92"/>
        <v>10929.074121172809</v>
      </c>
      <c r="N281" s="86"/>
    </row>
    <row r="282" spans="1:14" s="185" customFormat="1">
      <c r="B282" s="23" t="s">
        <v>35</v>
      </c>
      <c r="C282" s="222">
        <v>0</v>
      </c>
      <c r="D282" s="225">
        <v>0</v>
      </c>
      <c r="E282" s="597">
        <v>1.3008333E-2</v>
      </c>
      <c r="F282" s="224">
        <f t="shared" si="93"/>
        <v>330162.55</v>
      </c>
      <c r="G282" s="180">
        <f t="shared" si="88"/>
        <v>-15043.711019894172</v>
      </c>
      <c r="H282" s="635">
        <f>ROUND(F282*'Actual Load'!$B$20/'Zonal Load'!$N$20,2)</f>
        <v>328023.58</v>
      </c>
      <c r="I282" s="180">
        <f t="shared" si="89"/>
        <v>344292.83</v>
      </c>
      <c r="J282" s="180">
        <f t="shared" si="90"/>
        <v>14130.280000000028</v>
      </c>
      <c r="K282" s="180">
        <f t="shared" si="91"/>
        <v>-913.4310198941439</v>
      </c>
      <c r="L282" s="181">
        <f>E282*'Interest Under Collect '!$J$6</f>
        <v>-151.2400827912</v>
      </c>
      <c r="M282" s="180">
        <f t="shared" si="92"/>
        <v>-1064.6711026853438</v>
      </c>
      <c r="N282" s="86"/>
    </row>
    <row r="283" spans="1:14">
      <c r="A283" s="172"/>
      <c r="B283" s="25"/>
      <c r="C283" s="26">
        <f t="shared" ref="C283:M283" si="94">SUM(C259:C282)</f>
        <v>0</v>
      </c>
      <c r="D283" s="27">
        <f t="shared" si="94"/>
        <v>0</v>
      </c>
      <c r="E283" s="100">
        <f t="shared" si="94"/>
        <v>0.99999999900000014</v>
      </c>
      <c r="F283" s="95">
        <f t="shared" si="94"/>
        <v>25380850.070000004</v>
      </c>
      <c r="G283" s="78">
        <f t="shared" si="94"/>
        <v>-1156467.243331675</v>
      </c>
      <c r="H283" s="138">
        <f t="shared" si="94"/>
        <v>24503070.939999998</v>
      </c>
      <c r="I283" s="79">
        <f t="shared" si="94"/>
        <v>25718369.229999997</v>
      </c>
      <c r="J283" s="79">
        <f t="shared" si="94"/>
        <v>337519.16000000032</v>
      </c>
      <c r="K283" s="587">
        <f t="shared" si="94"/>
        <v>-818948.08333167492</v>
      </c>
      <c r="L283" s="79">
        <f t="shared" si="94"/>
        <v>-11626.399988373601</v>
      </c>
      <c r="M283" s="79">
        <f t="shared" si="94"/>
        <v>-830574.48332004854</v>
      </c>
    </row>
    <row r="284" spans="1:14">
      <c r="A284" s="172"/>
      <c r="B284" s="86"/>
      <c r="C284" s="86"/>
      <c r="D284" s="86"/>
      <c r="E284" s="86"/>
      <c r="F284" s="86"/>
      <c r="G284" s="21"/>
      <c r="H284" s="140"/>
      <c r="I284" s="29"/>
      <c r="J284" s="113"/>
      <c r="K284" s="86"/>
      <c r="L284" s="86"/>
      <c r="M284" s="86"/>
    </row>
    <row r="285" spans="1:14">
      <c r="A285" s="172"/>
      <c r="B285" s="86"/>
      <c r="C285" s="86"/>
      <c r="D285" s="86"/>
      <c r="E285" s="96" t="s">
        <v>618</v>
      </c>
      <c r="F285" s="178">
        <v>25380850.073435321</v>
      </c>
      <c r="G285" s="86"/>
      <c r="H285" s="141"/>
      <c r="I285" s="87"/>
      <c r="J285" s="113"/>
      <c r="K285" s="86"/>
      <c r="L285" s="84"/>
      <c r="M285" s="86"/>
    </row>
    <row r="286" spans="1:14">
      <c r="A286" s="172"/>
      <c r="B286" s="61"/>
      <c r="C286" s="61"/>
      <c r="D286" s="61"/>
      <c r="E286" s="97" t="s">
        <v>619</v>
      </c>
      <c r="F286" s="179">
        <v>26537317.317923464</v>
      </c>
      <c r="G286" s="632">
        <f>F285-F286</f>
        <v>-1156467.2444881424</v>
      </c>
      <c r="H286" s="633"/>
      <c r="L286" s="81"/>
      <c r="M286" s="86"/>
    </row>
    <row r="287" spans="1:14">
      <c r="A287" s="172"/>
      <c r="B287" s="61"/>
      <c r="C287" s="61"/>
      <c r="D287" s="61"/>
      <c r="E287" s="97" t="s">
        <v>160</v>
      </c>
      <c r="F287" s="186">
        <f>I283</f>
        <v>25718369.229999997</v>
      </c>
      <c r="G287" s="632">
        <f>F287-F285</f>
        <v>337519.15656467527</v>
      </c>
      <c r="H287" s="634"/>
      <c r="M287" s="86"/>
    </row>
    <row r="288" spans="1:14">
      <c r="A288" s="172"/>
      <c r="G288" s="632">
        <f>G286+G287</f>
        <v>-818948.08792346716</v>
      </c>
      <c r="H288" s="633">
        <f>F287-F286</f>
        <v>-818948.08792346716</v>
      </c>
    </row>
    <row r="289" spans="1:14">
      <c r="A289" s="172"/>
      <c r="B289" s="82"/>
      <c r="C289" s="82"/>
      <c r="D289" s="82"/>
      <c r="E289" s="82"/>
      <c r="F289" s="82"/>
      <c r="G289" s="82"/>
      <c r="H289" s="82"/>
      <c r="I289" s="82"/>
      <c r="J289" s="111"/>
      <c r="K289" s="82"/>
      <c r="L289" s="82"/>
      <c r="M289" s="82"/>
    </row>
    <row r="290" spans="1:14">
      <c r="A290" s="172"/>
    </row>
    <row r="291" spans="1:14" ht="15.75" customHeight="1">
      <c r="A291" s="172"/>
      <c r="B291" s="72" t="s">
        <v>0</v>
      </c>
      <c r="C291" s="641">
        <v>1024</v>
      </c>
      <c r="D291" s="665"/>
      <c r="E291" s="665"/>
      <c r="F291" s="665"/>
      <c r="G291" s="665"/>
      <c r="H291" s="666"/>
      <c r="I291" s="1"/>
    </row>
    <row r="292" spans="1:14" ht="15.75" customHeight="1">
      <c r="A292" s="172"/>
      <c r="B292" s="70" t="s">
        <v>2</v>
      </c>
      <c r="C292" s="673" t="s">
        <v>142</v>
      </c>
      <c r="D292" s="668"/>
      <c r="E292" s="668"/>
      <c r="F292" s="668"/>
      <c r="G292" s="668"/>
      <c r="H292" s="669"/>
      <c r="I292" s="1"/>
    </row>
    <row r="293" spans="1:14" ht="15.75" customHeight="1">
      <c r="A293" s="172"/>
      <c r="B293" s="70" t="s">
        <v>4</v>
      </c>
      <c r="C293" s="674" t="s">
        <v>117</v>
      </c>
      <c r="D293" s="668"/>
      <c r="E293" s="668"/>
      <c r="F293" s="668"/>
      <c r="G293" s="668"/>
      <c r="H293" s="669"/>
      <c r="I293" s="1"/>
    </row>
    <row r="294" spans="1:14" ht="15.75" customHeight="1">
      <c r="A294" s="172"/>
      <c r="B294" s="71" t="s">
        <v>6</v>
      </c>
      <c r="C294" s="675" t="s">
        <v>7</v>
      </c>
      <c r="D294" s="662"/>
      <c r="E294" s="662"/>
      <c r="F294" s="662"/>
      <c r="G294" s="662"/>
      <c r="H294" s="663"/>
      <c r="I294" s="1"/>
    </row>
    <row r="295" spans="1:14">
      <c r="A295" s="172"/>
      <c r="B295" s="76"/>
      <c r="C295" s="76"/>
      <c r="D295" s="76"/>
      <c r="E295" s="76"/>
      <c r="F295" s="76"/>
      <c r="J295" s="105" t="s">
        <v>163</v>
      </c>
      <c r="K295" s="3" t="s">
        <v>42</v>
      </c>
      <c r="M295" s="3" t="s">
        <v>56</v>
      </c>
    </row>
    <row r="296" spans="1:14">
      <c r="A296" s="172"/>
      <c r="B296" s="76"/>
      <c r="C296" s="76"/>
      <c r="D296" s="76"/>
      <c r="E296" s="76"/>
      <c r="F296" s="76"/>
      <c r="G296" s="3" t="s">
        <v>39</v>
      </c>
      <c r="H296" s="134" t="s">
        <v>40</v>
      </c>
      <c r="I296" s="98" t="s">
        <v>41</v>
      </c>
      <c r="J296" s="106" t="s">
        <v>164</v>
      </c>
      <c r="K296" s="4" t="s">
        <v>165</v>
      </c>
      <c r="L296" s="4" t="s">
        <v>55</v>
      </c>
      <c r="M296" s="4" t="s">
        <v>166</v>
      </c>
      <c r="N296" s="202"/>
    </row>
    <row r="297" spans="1:14">
      <c r="A297" s="172"/>
      <c r="B297" s="76"/>
      <c r="C297" s="76"/>
      <c r="D297" s="76"/>
      <c r="E297" s="76"/>
      <c r="F297" s="76"/>
      <c r="G297" s="5"/>
      <c r="H297" s="658" t="s">
        <v>43</v>
      </c>
      <c r="I297" s="659"/>
      <c r="J297" s="660"/>
      <c r="K297" s="6" t="s">
        <v>44</v>
      </c>
      <c r="L297" s="5"/>
      <c r="M297" s="6" t="s">
        <v>45</v>
      </c>
      <c r="N297" s="202"/>
    </row>
    <row r="298" spans="1:14">
      <c r="A298" s="172"/>
      <c r="B298" s="77"/>
      <c r="C298" s="7">
        <v>0.2</v>
      </c>
      <c r="D298" s="7">
        <v>0.8</v>
      </c>
      <c r="E298" s="7"/>
      <c r="F298" s="92" t="s">
        <v>162</v>
      </c>
      <c r="G298" s="8" t="s">
        <v>46</v>
      </c>
      <c r="H298" s="135"/>
      <c r="I298" s="5"/>
      <c r="J298" s="107" t="s">
        <v>47</v>
      </c>
      <c r="K298" s="8" t="s">
        <v>48</v>
      </c>
      <c r="L298" s="9"/>
      <c r="M298" s="8" t="s">
        <v>49</v>
      </c>
    </row>
    <row r="299" spans="1:14">
      <c r="A299" s="172"/>
      <c r="B299" s="10"/>
      <c r="C299" s="69" t="s">
        <v>9</v>
      </c>
      <c r="D299" s="69" t="s">
        <v>10</v>
      </c>
      <c r="E299" s="69" t="s">
        <v>11</v>
      </c>
      <c r="F299" s="93" t="s">
        <v>8</v>
      </c>
      <c r="G299" s="11" t="s">
        <v>50</v>
      </c>
      <c r="H299" s="136" t="s">
        <v>51</v>
      </c>
      <c r="I299" s="12" t="s">
        <v>159</v>
      </c>
      <c r="J299" s="108" t="s">
        <v>50</v>
      </c>
      <c r="K299" s="12" t="s">
        <v>50</v>
      </c>
      <c r="L299" s="12" t="s">
        <v>52</v>
      </c>
      <c r="M299" s="12" t="s">
        <v>53</v>
      </c>
    </row>
    <row r="300" spans="1:14" ht="31.5">
      <c r="A300" s="172"/>
      <c r="B300" s="13" t="s">
        <v>13</v>
      </c>
      <c r="C300" s="14" t="s">
        <v>14</v>
      </c>
      <c r="D300" s="14" t="s">
        <v>14</v>
      </c>
      <c r="E300" s="15" t="s">
        <v>14</v>
      </c>
      <c r="F300" s="94" t="s">
        <v>15</v>
      </c>
      <c r="G300" s="16" t="s">
        <v>54</v>
      </c>
      <c r="H300" s="137"/>
      <c r="I300" s="17"/>
      <c r="J300" s="109" t="s">
        <v>54</v>
      </c>
      <c r="K300" s="17"/>
      <c r="L300" s="17"/>
      <c r="M300" s="16" t="s">
        <v>54</v>
      </c>
    </row>
    <row r="301" spans="1:14" s="185" customFormat="1">
      <c r="B301" s="18" t="s">
        <v>16</v>
      </c>
      <c r="C301" s="222">
        <v>2.2164937859183092E-2</v>
      </c>
      <c r="D301" s="225">
        <v>0</v>
      </c>
      <c r="E301" s="223">
        <f t="shared" ref="E301:E324" si="95">C301+D301</f>
        <v>2.2164937859183092E-2</v>
      </c>
      <c r="F301" s="226">
        <f>ROUND(+E301*F$327,2)</f>
        <v>669315.04</v>
      </c>
      <c r="G301" s="180">
        <f t="shared" ref="G301:G324" si="96">(F$327-F$328)*E301</f>
        <v>-1563.55939356474</v>
      </c>
      <c r="H301" s="635">
        <f>ROUND(F301*'Actual Load'!$B$8/'Zonal Load'!$N$8,2)</f>
        <v>669315.04</v>
      </c>
      <c r="I301" s="180">
        <f t="shared" ref="I301:I324" si="97">ROUND((H301*$H$912)/$H$910,2)</f>
        <v>702511.59</v>
      </c>
      <c r="J301" s="180">
        <f t="shared" ref="J301:J324" si="98">I301-F301</f>
        <v>33196.54999999993</v>
      </c>
      <c r="K301" s="180">
        <f t="shared" ref="K301:K324" si="99">+G301+J301</f>
        <v>31632.990606435189</v>
      </c>
      <c r="L301" s="181">
        <f>E301*'Interest Over Collect'!$J$10</f>
        <v>639.62380767386173</v>
      </c>
      <c r="M301" s="180">
        <f>+K301+L301</f>
        <v>32272.614414109052</v>
      </c>
      <c r="N301" s="86"/>
    </row>
    <row r="302" spans="1:14" s="185" customFormat="1">
      <c r="B302" s="23" t="s">
        <v>17</v>
      </c>
      <c r="C302" s="222">
        <v>1.0662514248883771E-3</v>
      </c>
      <c r="D302" s="225">
        <v>0</v>
      </c>
      <c r="E302" s="223">
        <f t="shared" si="95"/>
        <v>1.0662514248883771E-3</v>
      </c>
      <c r="F302" s="224">
        <f>ROUND(+E302*F$327,2)</f>
        <v>32197.61</v>
      </c>
      <c r="G302" s="180">
        <f t="shared" si="96"/>
        <v>-75.215524711940475</v>
      </c>
      <c r="H302" s="635">
        <f>ROUND(F302*'Actual Load'!$B$14/'Zonal Load'!$N$14,2)</f>
        <v>31109.01</v>
      </c>
      <c r="I302" s="180">
        <f t="shared" si="97"/>
        <v>32651.95</v>
      </c>
      <c r="J302" s="180">
        <f t="shared" si="98"/>
        <v>454.34000000000015</v>
      </c>
      <c r="K302" s="180">
        <f t="shared" si="99"/>
        <v>379.12447528805967</v>
      </c>
      <c r="L302" s="181">
        <f>E302*'Interest Over Collect'!$J$10</f>
        <v>30.769307843659348</v>
      </c>
      <c r="M302" s="180">
        <f t="shared" ref="M302:M324" si="100">+K302+L302</f>
        <v>409.89378313171903</v>
      </c>
      <c r="N302" s="86"/>
    </row>
    <row r="303" spans="1:14" s="185" customFormat="1">
      <c r="B303" s="23" t="s">
        <v>201</v>
      </c>
      <c r="C303" s="222">
        <f>2.02141717256893%*0.421</f>
        <v>8.5101662965151956E-3</v>
      </c>
      <c r="D303" s="225">
        <f>0%*0.421</f>
        <v>0</v>
      </c>
      <c r="E303" s="223">
        <f t="shared" si="95"/>
        <v>8.5101662965151956E-3</v>
      </c>
      <c r="F303" s="224">
        <f t="shared" ref="F303:F324" si="101">ROUND(+E303*F$327,2)</f>
        <v>256981.65</v>
      </c>
      <c r="G303" s="180">
        <f t="shared" si="96"/>
        <v>-600.3242841577179</v>
      </c>
      <c r="H303" s="635">
        <f>ROUND(F303*'Actual Load'!$B$9/'Zonal Load'!$N$9,2)</f>
        <v>256981.65</v>
      </c>
      <c r="I303" s="180">
        <f t="shared" si="97"/>
        <v>269727.37</v>
      </c>
      <c r="J303" s="180">
        <f t="shared" si="98"/>
        <v>12745.720000000001</v>
      </c>
      <c r="K303" s="180">
        <f t="shared" si="99"/>
        <v>12145.395715842284</v>
      </c>
      <c r="L303" s="181">
        <f>E303*'Interest Over Collect'!$J$10</f>
        <v>245.58178349503538</v>
      </c>
      <c r="M303" s="180">
        <f t="shared" si="100"/>
        <v>12390.977499337319</v>
      </c>
      <c r="N303" s="86"/>
    </row>
    <row r="304" spans="1:14" s="185" customFormat="1">
      <c r="B304" s="132" t="s">
        <v>260</v>
      </c>
      <c r="C304" s="222">
        <f>2.02141717256893%*0.579</f>
        <v>1.1704005429174104E-2</v>
      </c>
      <c r="D304" s="225">
        <f>0%*0.579</f>
        <v>0</v>
      </c>
      <c r="E304" s="223">
        <f>C304+D304</f>
        <v>1.1704005429174104E-2</v>
      </c>
      <c r="F304" s="224">
        <f t="shared" si="101"/>
        <v>353426.07</v>
      </c>
      <c r="G304" s="180">
        <f>(F$327-F$328)*E304</f>
        <v>-825.62413426916532</v>
      </c>
      <c r="H304" s="635">
        <f>ROUND(F304*'Actual Load'!$B$10/'Zonal Load'!$N$10,2)</f>
        <v>354527.71</v>
      </c>
      <c r="I304" s="180">
        <f t="shared" si="97"/>
        <v>372111.5</v>
      </c>
      <c r="J304" s="180">
        <f>I304-F304</f>
        <v>18685.429999999993</v>
      </c>
      <c r="K304" s="180">
        <f>+G304+J304</f>
        <v>17859.805865730828</v>
      </c>
      <c r="L304" s="181">
        <f>E304*'Interest Over Collect'!$J$10</f>
        <v>337.74786851217453</v>
      </c>
      <c r="M304" s="180">
        <f>+K304+L304</f>
        <v>18197.553734243003</v>
      </c>
      <c r="N304" s="86"/>
    </row>
    <row r="305" spans="1:14" s="185" customFormat="1">
      <c r="B305" s="23" t="s">
        <v>18</v>
      </c>
      <c r="C305" s="222">
        <v>1.9941202679664245E-3</v>
      </c>
      <c r="D305" s="225">
        <v>0</v>
      </c>
      <c r="E305" s="223">
        <f t="shared" si="95"/>
        <v>1.9941202679664245E-3</v>
      </c>
      <c r="F305" s="224">
        <f t="shared" si="101"/>
        <v>60216.49</v>
      </c>
      <c r="G305" s="180">
        <f t="shared" si="96"/>
        <v>-140.6692631707497</v>
      </c>
      <c r="H305" s="635">
        <f>ROUND(F305*'Actual Load'!$B$26/'Zonal Load'!$N$26,2)</f>
        <v>59330.39</v>
      </c>
      <c r="I305" s="180">
        <f t="shared" si="97"/>
        <v>62273.05</v>
      </c>
      <c r="J305" s="180">
        <f t="shared" si="98"/>
        <v>2056.5600000000049</v>
      </c>
      <c r="K305" s="180">
        <f t="shared" si="99"/>
        <v>1915.8907368292553</v>
      </c>
      <c r="L305" s="181">
        <f>E305*'Interest Over Collect'!$J$10</f>
        <v>57.545245868030378</v>
      </c>
      <c r="M305" s="180">
        <f t="shared" si="100"/>
        <v>1973.4359826972857</v>
      </c>
      <c r="N305" s="86"/>
    </row>
    <row r="306" spans="1:14" s="185" customFormat="1">
      <c r="B306" s="23" t="s">
        <v>19</v>
      </c>
      <c r="C306" s="222">
        <v>5.0000236590646875E-3</v>
      </c>
      <c r="D306" s="225">
        <v>0</v>
      </c>
      <c r="E306" s="223">
        <f t="shared" si="95"/>
        <v>5.0000236590646875E-3</v>
      </c>
      <c r="F306" s="224">
        <f t="shared" si="101"/>
        <v>150985.81</v>
      </c>
      <c r="G306" s="180">
        <f t="shared" si="96"/>
        <v>-352.71174725795817</v>
      </c>
      <c r="H306" s="635">
        <f>ROUND(F306*'Actual Load'!$B$16/'Zonal Load'!$N$16,2)</f>
        <v>143476.92000000001</v>
      </c>
      <c r="I306" s="180">
        <f t="shared" si="97"/>
        <v>150593.06</v>
      </c>
      <c r="J306" s="180">
        <f t="shared" si="98"/>
        <v>-392.75</v>
      </c>
      <c r="K306" s="180">
        <f t="shared" si="99"/>
        <v>-745.46174725795822</v>
      </c>
      <c r="L306" s="181">
        <f>E306*'Interest Over Collect'!$J$10</f>
        <v>144.28798274051286</v>
      </c>
      <c r="M306" s="180">
        <f t="shared" si="100"/>
        <v>-601.17376451744531</v>
      </c>
      <c r="N306" s="86"/>
    </row>
    <row r="307" spans="1:14" s="185" customFormat="1">
      <c r="B307" s="23" t="s">
        <v>20</v>
      </c>
      <c r="C307" s="222">
        <v>5.765638403631492E-3</v>
      </c>
      <c r="D307" s="225">
        <v>0</v>
      </c>
      <c r="E307" s="223">
        <f t="shared" si="95"/>
        <v>5.765638403631492E-3</v>
      </c>
      <c r="F307" s="224">
        <f t="shared" si="101"/>
        <v>174105.09</v>
      </c>
      <c r="G307" s="180">
        <f t="shared" si="96"/>
        <v>-406.71975455869313</v>
      </c>
      <c r="H307" s="635">
        <f>ROUND(F307*'Actual Load'!$B$22/'Zonal Load'!$N$22,2)</f>
        <v>166775.79</v>
      </c>
      <c r="I307" s="180">
        <f t="shared" si="97"/>
        <v>175047.5</v>
      </c>
      <c r="J307" s="180">
        <f t="shared" si="98"/>
        <v>942.41000000000349</v>
      </c>
      <c r="K307" s="180">
        <f t="shared" si="99"/>
        <v>535.69024544131037</v>
      </c>
      <c r="L307" s="181">
        <f>E307*'Interest Over Collect'!$J$10</f>
        <v>166.38167960725963</v>
      </c>
      <c r="M307" s="180">
        <f t="shared" si="100"/>
        <v>702.07192504856994</v>
      </c>
      <c r="N307" s="86"/>
    </row>
    <row r="308" spans="1:14" s="185" customFormat="1">
      <c r="B308" s="23" t="s">
        <v>21</v>
      </c>
      <c r="C308" s="222">
        <v>1.351039410792648E-2</v>
      </c>
      <c r="D308" s="225">
        <v>0</v>
      </c>
      <c r="E308" s="223">
        <f t="shared" si="95"/>
        <v>1.351039410792648E-2</v>
      </c>
      <c r="F308" s="224">
        <f t="shared" si="101"/>
        <v>407973.62</v>
      </c>
      <c r="G308" s="180">
        <f t="shared" si="96"/>
        <v>-953.05043273370677</v>
      </c>
      <c r="H308" s="635">
        <f>ROUND(F308*'Actual Load'!$B$17/'Zonal Load'!$N$17,2)</f>
        <v>397496.5</v>
      </c>
      <c r="I308" s="180">
        <f t="shared" si="97"/>
        <v>417211.45</v>
      </c>
      <c r="J308" s="180">
        <f t="shared" si="98"/>
        <v>9237.8300000000163</v>
      </c>
      <c r="K308" s="180">
        <f t="shared" si="99"/>
        <v>8284.7795672663087</v>
      </c>
      <c r="L308" s="181">
        <f>E308*'Interest Over Collect'!$J$10</f>
        <v>389.87565755372407</v>
      </c>
      <c r="M308" s="180">
        <f t="shared" si="100"/>
        <v>8674.6552248200333</v>
      </c>
      <c r="N308" s="86"/>
    </row>
    <row r="309" spans="1:14" s="185" customFormat="1">
      <c r="B309" s="23" t="s">
        <v>22</v>
      </c>
      <c r="C309" s="222">
        <v>1.7924394526780265E-2</v>
      </c>
      <c r="D309" s="225">
        <v>0</v>
      </c>
      <c r="E309" s="223">
        <f t="shared" si="95"/>
        <v>1.7924394526780265E-2</v>
      </c>
      <c r="F309" s="224">
        <f t="shared" si="101"/>
        <v>541263.28</v>
      </c>
      <c r="G309" s="180">
        <f t="shared" si="96"/>
        <v>-1264.4229194036016</v>
      </c>
      <c r="H309" s="635">
        <f>ROUND(F309*'Actual Load'!$B$15/'Zonal Load'!$N$15,2)</f>
        <v>516944.28</v>
      </c>
      <c r="I309" s="180">
        <f t="shared" si="97"/>
        <v>542583.57999999996</v>
      </c>
      <c r="J309" s="180">
        <f t="shared" si="98"/>
        <v>1320.2999999999302</v>
      </c>
      <c r="K309" s="180">
        <f t="shared" si="99"/>
        <v>55.877080596328597</v>
      </c>
      <c r="L309" s="181">
        <f>E309*'Interest Over Collect'!$J$10</f>
        <v>517.25249808078036</v>
      </c>
      <c r="M309" s="180">
        <f t="shared" si="100"/>
        <v>573.12957867710895</v>
      </c>
      <c r="N309" s="86"/>
    </row>
    <row r="310" spans="1:14" s="185" customFormat="1">
      <c r="B310" s="23" t="s">
        <v>23</v>
      </c>
      <c r="C310" s="222">
        <v>5.4068299863813066E-3</v>
      </c>
      <c r="D310" s="225">
        <v>9.3611186119966425E-2</v>
      </c>
      <c r="E310" s="223">
        <f t="shared" si="95"/>
        <v>9.9018016106347737E-2</v>
      </c>
      <c r="F310" s="224">
        <f t="shared" si="101"/>
        <v>2990048.89</v>
      </c>
      <c r="G310" s="180">
        <f t="shared" si="96"/>
        <v>-6984.9304427930747</v>
      </c>
      <c r="H310" s="635">
        <f>ROUND(F310*'Actual Load'!$B$4/'Zonal Load'!$N$4,2)</f>
        <v>2940609.91</v>
      </c>
      <c r="I310" s="180">
        <f t="shared" si="97"/>
        <v>3086457.68</v>
      </c>
      <c r="J310" s="180">
        <f t="shared" si="98"/>
        <v>96408.790000000037</v>
      </c>
      <c r="K310" s="180">
        <f t="shared" si="99"/>
        <v>89423.859557206961</v>
      </c>
      <c r="L310" s="181">
        <f>E310*'Interest Over Collect'!$J$10</f>
        <v>2857.4084390682856</v>
      </c>
      <c r="M310" s="180">
        <f t="shared" si="100"/>
        <v>92281.267996275245</v>
      </c>
      <c r="N310" s="86"/>
    </row>
    <row r="311" spans="1:14" s="185" customFormat="1">
      <c r="B311" s="23" t="s">
        <v>24</v>
      </c>
      <c r="C311" s="222">
        <v>4.5182681452834018E-4</v>
      </c>
      <c r="D311" s="225">
        <v>0</v>
      </c>
      <c r="E311" s="223">
        <f t="shared" si="95"/>
        <v>4.5182681452834018E-4</v>
      </c>
      <c r="F311" s="224">
        <f t="shared" si="101"/>
        <v>13643.82</v>
      </c>
      <c r="G311" s="180">
        <f t="shared" si="96"/>
        <v>-31.872774226052218</v>
      </c>
      <c r="H311" s="635">
        <f>ROUND(F311*'Actual Load'!$B$11/'Zonal Load'!$N$11,2)</f>
        <v>13422.88</v>
      </c>
      <c r="I311" s="180">
        <f t="shared" si="97"/>
        <v>14088.63</v>
      </c>
      <c r="J311" s="180">
        <f t="shared" si="98"/>
        <v>444.80999999999949</v>
      </c>
      <c r="K311" s="180">
        <f t="shared" si="99"/>
        <v>412.93722577394726</v>
      </c>
      <c r="L311" s="181">
        <f>E311*'Interest Over Collect'!$J$10</f>
        <v>13.038574227178996</v>
      </c>
      <c r="M311" s="180">
        <f t="shared" si="100"/>
        <v>425.97580000112623</v>
      </c>
      <c r="N311" s="86"/>
    </row>
    <row r="312" spans="1:14" s="185" customFormat="1">
      <c r="B312" s="23" t="s">
        <v>26</v>
      </c>
      <c r="C312" s="222">
        <v>1.3632763870194574E-2</v>
      </c>
      <c r="D312" s="225">
        <v>0</v>
      </c>
      <c r="E312" s="223">
        <f t="shared" si="95"/>
        <v>1.3632763870194574E-2</v>
      </c>
      <c r="F312" s="224">
        <f t="shared" si="101"/>
        <v>411668.83</v>
      </c>
      <c r="G312" s="180">
        <f t="shared" si="96"/>
        <v>-961.68264241992927</v>
      </c>
      <c r="H312" s="635">
        <f>ROUND(F312*'Actual Load'!$B$7/'Zonal Load'!$N$7,2)</f>
        <v>386152.18</v>
      </c>
      <c r="I312" s="180">
        <f t="shared" si="97"/>
        <v>405304.48</v>
      </c>
      <c r="J312" s="180">
        <f t="shared" si="98"/>
        <v>-6364.3500000000349</v>
      </c>
      <c r="K312" s="180">
        <f t="shared" si="99"/>
        <v>-7326.0326424199638</v>
      </c>
      <c r="L312" s="181">
        <f>E312*'Interest Over Collect'!$J$10</f>
        <v>393.40693807358508</v>
      </c>
      <c r="M312" s="180">
        <f t="shared" si="100"/>
        <v>-6932.6257043463784</v>
      </c>
      <c r="N312" s="86"/>
    </row>
    <row r="313" spans="1:14" s="185" customFormat="1">
      <c r="B313" s="23" t="s">
        <v>25</v>
      </c>
      <c r="C313" s="222">
        <v>1.364955676680121E-2</v>
      </c>
      <c r="D313" s="225">
        <v>0</v>
      </c>
      <c r="E313" s="223">
        <f t="shared" si="95"/>
        <v>1.364955676680121E-2</v>
      </c>
      <c r="F313" s="224">
        <f t="shared" si="101"/>
        <v>412175.92</v>
      </c>
      <c r="G313" s="180">
        <f t="shared" si="96"/>
        <v>-962.86724719533083</v>
      </c>
      <c r="H313" s="635">
        <f>ROUND(F313*'Actual Load'!$B$6/'Zonal Load'!$N$6,2)</f>
        <v>402130.28</v>
      </c>
      <c r="I313" s="180">
        <f t="shared" si="97"/>
        <v>422075.05</v>
      </c>
      <c r="J313" s="180">
        <f t="shared" si="98"/>
        <v>9899.1300000000047</v>
      </c>
      <c r="K313" s="180">
        <f t="shared" si="99"/>
        <v>8936.2627528046742</v>
      </c>
      <c r="L313" s="181">
        <f>E313*'Interest Over Collect'!$J$10</f>
        <v>393.89153841569521</v>
      </c>
      <c r="M313" s="180">
        <f t="shared" si="100"/>
        <v>9330.1542912203695</v>
      </c>
      <c r="N313" s="86"/>
    </row>
    <row r="314" spans="1:14" s="185" customFormat="1">
      <c r="B314" s="23" t="s">
        <v>119</v>
      </c>
      <c r="C314" s="222">
        <v>9.3395305800359797E-4</v>
      </c>
      <c r="D314" s="225">
        <v>0</v>
      </c>
      <c r="E314" s="223">
        <f t="shared" si="95"/>
        <v>9.3395305800359797E-4</v>
      </c>
      <c r="F314" s="224">
        <f t="shared" si="101"/>
        <v>28202.6</v>
      </c>
      <c r="G314" s="180">
        <f t="shared" si="96"/>
        <v>-65.882931243366031</v>
      </c>
      <c r="H314" s="635">
        <f>ROUND(F314*'Actual Load'!$B$18/'Zonal Load'!$N$18,2)</f>
        <v>27526.52</v>
      </c>
      <c r="I314" s="180">
        <f t="shared" si="97"/>
        <v>28891.77</v>
      </c>
      <c r="J314" s="180">
        <f t="shared" si="98"/>
        <v>689.17000000000189</v>
      </c>
      <c r="K314" s="180">
        <f t="shared" si="99"/>
        <v>623.2870687566359</v>
      </c>
      <c r="L314" s="181">
        <f>E314*'Interest Over Collect'!$J$10</f>
        <v>26.951513013216509</v>
      </c>
      <c r="M314" s="180">
        <f t="shared" si="100"/>
        <v>650.23858176985243</v>
      </c>
      <c r="N314" s="86"/>
    </row>
    <row r="315" spans="1:14" s="185" customFormat="1">
      <c r="B315" s="23" t="s">
        <v>120</v>
      </c>
      <c r="C315" s="222">
        <v>2.4232591975772091E-4</v>
      </c>
      <c r="D315" s="225">
        <v>0</v>
      </c>
      <c r="E315" s="223">
        <f t="shared" si="95"/>
        <v>2.4232591975772091E-4</v>
      </c>
      <c r="F315" s="224">
        <f t="shared" si="101"/>
        <v>7317.52</v>
      </c>
      <c r="G315" s="180">
        <f t="shared" si="96"/>
        <v>-17.094158826365611</v>
      </c>
      <c r="H315" s="635">
        <f>ROUND(F315*'Actual Load'!$B$17/'Zonal Load'!$N$17,2)</f>
        <v>7129.6</v>
      </c>
      <c r="I315" s="180">
        <f t="shared" si="97"/>
        <v>7483.21</v>
      </c>
      <c r="J315" s="180">
        <f t="shared" si="98"/>
        <v>165.6899999999996</v>
      </c>
      <c r="K315" s="180">
        <f t="shared" si="99"/>
        <v>148.595841173634</v>
      </c>
      <c r="L315" s="181">
        <f>E315*'Interest Over Collect'!$J$10</f>
        <v>6.9929105363716406</v>
      </c>
      <c r="M315" s="180">
        <f t="shared" si="100"/>
        <v>155.58875171000565</v>
      </c>
      <c r="N315" s="86"/>
    </row>
    <row r="316" spans="1:14" s="185" customFormat="1">
      <c r="B316" s="23" t="s">
        <v>27</v>
      </c>
      <c r="C316" s="222">
        <v>6.7387845414696888E-4</v>
      </c>
      <c r="D316" s="225">
        <v>0</v>
      </c>
      <c r="E316" s="223">
        <f t="shared" si="95"/>
        <v>6.7387845414696888E-4</v>
      </c>
      <c r="F316" s="224">
        <f t="shared" si="101"/>
        <v>20349.12</v>
      </c>
      <c r="G316" s="180">
        <f t="shared" si="96"/>
        <v>-47.536744465351383</v>
      </c>
      <c r="H316" s="635">
        <f>ROUND(F316*'Actual Load'!$B$12/'Zonal Load'!$N$12,2)</f>
        <v>20441.05</v>
      </c>
      <c r="I316" s="180">
        <f t="shared" si="97"/>
        <v>21454.880000000001</v>
      </c>
      <c r="J316" s="180">
        <f t="shared" si="98"/>
        <v>1105.760000000002</v>
      </c>
      <c r="K316" s="180">
        <f t="shared" si="99"/>
        <v>1058.2232555346507</v>
      </c>
      <c r="L316" s="181">
        <f>E316*'Interest Over Collect'!$J$10</f>
        <v>19.446420535407988</v>
      </c>
      <c r="M316" s="180">
        <f t="shared" si="100"/>
        <v>1077.6696760700586</v>
      </c>
      <c r="N316" s="86"/>
    </row>
    <row r="317" spans="1:14" s="185" customFormat="1">
      <c r="B317" s="23" t="s">
        <v>28</v>
      </c>
      <c r="C317" s="222">
        <v>7.138477492783221E-4</v>
      </c>
      <c r="D317" s="225">
        <v>0</v>
      </c>
      <c r="E317" s="223">
        <f t="shared" si="95"/>
        <v>7.138477492783221E-4</v>
      </c>
      <c r="F317" s="224">
        <f t="shared" si="101"/>
        <v>21556.07</v>
      </c>
      <c r="G317" s="180">
        <f t="shared" si="96"/>
        <v>-50.356259108425235</v>
      </c>
      <c r="H317" s="635">
        <f>ROUND(F317*'Actual Load'!$B$24/'Zonal Load'!$N$24,2)</f>
        <v>21409</v>
      </c>
      <c r="I317" s="180">
        <f t="shared" si="97"/>
        <v>22470.84</v>
      </c>
      <c r="J317" s="180">
        <f t="shared" si="98"/>
        <v>914.77000000000044</v>
      </c>
      <c r="K317" s="180">
        <f t="shared" si="99"/>
        <v>864.41374089157523</v>
      </c>
      <c r="L317" s="181">
        <f>E317*'Interest Over Collect'!$J$10</f>
        <v>20.599832870889209</v>
      </c>
      <c r="M317" s="180">
        <f t="shared" si="100"/>
        <v>885.01357376246449</v>
      </c>
      <c r="N317" s="86"/>
    </row>
    <row r="318" spans="1:14" s="185" customFormat="1">
      <c r="B318" s="23" t="s">
        <v>29</v>
      </c>
      <c r="C318" s="222">
        <v>2.0662656180320461E-2</v>
      </c>
      <c r="D318" s="225">
        <v>0.12478102294492677</v>
      </c>
      <c r="E318" s="223">
        <f t="shared" si="95"/>
        <v>0.14544367912524722</v>
      </c>
      <c r="F318" s="224">
        <f t="shared" si="101"/>
        <v>4391965.51</v>
      </c>
      <c r="G318" s="180">
        <f t="shared" si="96"/>
        <v>-10259.89029049674</v>
      </c>
      <c r="H318" s="635">
        <f>ROUND(F318*'Actual Load'!$B$5/'Zonal Load'!$N$5,2)</f>
        <v>4261404.99</v>
      </c>
      <c r="I318" s="180">
        <f t="shared" si="97"/>
        <v>4472761.28</v>
      </c>
      <c r="J318" s="180">
        <f t="shared" si="98"/>
        <v>80795.770000000484</v>
      </c>
      <c r="K318" s="180">
        <f t="shared" si="99"/>
        <v>70535.879709503744</v>
      </c>
      <c r="L318" s="181">
        <f>E318*'Interest Over Collect'!$J$10</f>
        <v>4197.1351526096569</v>
      </c>
      <c r="M318" s="180">
        <f t="shared" si="100"/>
        <v>74733.014862113399</v>
      </c>
      <c r="N318" s="86"/>
    </row>
    <row r="319" spans="1:14" s="185" customFormat="1">
      <c r="B319" s="23" t="s">
        <v>30</v>
      </c>
      <c r="C319" s="222">
        <v>1.6395630776288334E-2</v>
      </c>
      <c r="D319" s="225">
        <v>0.51694680703295415</v>
      </c>
      <c r="E319" s="223">
        <f t="shared" si="95"/>
        <v>0.53334243780924251</v>
      </c>
      <c r="F319" s="224">
        <f t="shared" si="101"/>
        <v>16105351.6</v>
      </c>
      <c r="G319" s="180">
        <f t="shared" si="96"/>
        <v>-37623.050600065784</v>
      </c>
      <c r="H319" s="635">
        <f>ROUND(F319*'Actual Load'!$B$21/'Zonal Load'!$N$21,2)</f>
        <v>15385319.060000001</v>
      </c>
      <c r="I319" s="180">
        <f t="shared" si="97"/>
        <v>16148396.949999999</v>
      </c>
      <c r="J319" s="180">
        <f t="shared" si="98"/>
        <v>43045.349999999627</v>
      </c>
      <c r="K319" s="180">
        <f t="shared" si="99"/>
        <v>5422.2993999338432</v>
      </c>
      <c r="L319" s="181">
        <f>E319*'Interest Over Collect'!$J$10</f>
        <v>15390.908065382702</v>
      </c>
      <c r="M319" s="180">
        <f t="shared" si="100"/>
        <v>20813.207465316547</v>
      </c>
      <c r="N319" s="86"/>
    </row>
    <row r="320" spans="1:14" s="185" customFormat="1">
      <c r="B320" s="23" t="s">
        <v>31</v>
      </c>
      <c r="C320" s="222">
        <v>3.3339219349105471E-3</v>
      </c>
      <c r="D320" s="225">
        <v>1.1944101778948947E-2</v>
      </c>
      <c r="E320" s="223">
        <f t="shared" si="95"/>
        <v>1.5278023713859494E-2</v>
      </c>
      <c r="F320" s="224">
        <f t="shared" si="101"/>
        <v>461350.77</v>
      </c>
      <c r="G320" s="180">
        <f t="shared" si="96"/>
        <v>-1077.7425880764588</v>
      </c>
      <c r="H320" s="635">
        <f>ROUND(F320*'Actual Load'!$B$19/'Zonal Load'!$N$19,2)</f>
        <v>429520.06</v>
      </c>
      <c r="I320" s="180">
        <f t="shared" si="97"/>
        <v>450823.31</v>
      </c>
      <c r="J320" s="180">
        <f t="shared" si="98"/>
        <v>-10527.460000000021</v>
      </c>
      <c r="K320" s="180">
        <f t="shared" si="99"/>
        <v>-11605.20258807648</v>
      </c>
      <c r="L320" s="181">
        <f>E320*'Interest Over Collect'!$J$10</f>
        <v>440.88495820175177</v>
      </c>
      <c r="M320" s="180">
        <f t="shared" si="100"/>
        <v>-11164.317629874728</v>
      </c>
      <c r="N320" s="86"/>
    </row>
    <row r="321" spans="1:14" s="185" customFormat="1">
      <c r="B321" s="23" t="s">
        <v>32</v>
      </c>
      <c r="C321" s="222">
        <v>5.0286007396416947E-4</v>
      </c>
      <c r="D321" s="225">
        <v>7.1206587451959805E-2</v>
      </c>
      <c r="E321" s="223">
        <f t="shared" si="95"/>
        <v>7.1709447525923981E-2</v>
      </c>
      <c r="F321" s="224">
        <f t="shared" si="101"/>
        <v>2165411.5299999998</v>
      </c>
      <c r="G321" s="180">
        <f t="shared" si="96"/>
        <v>-5058.5289703414765</v>
      </c>
      <c r="H321" s="635">
        <f>ROUND(F321*'Actual Load'!$B$25/'Zonal Load'!$N$25,2)</f>
        <v>2068086.04</v>
      </c>
      <c r="I321" s="180">
        <f t="shared" si="97"/>
        <v>2170658.5499999998</v>
      </c>
      <c r="J321" s="180">
        <f t="shared" si="98"/>
        <v>5247.0200000000186</v>
      </c>
      <c r="K321" s="180">
        <f t="shared" si="99"/>
        <v>188.49102965854217</v>
      </c>
      <c r="L321" s="181">
        <f>E321*'Interest Over Collect'!$J$10</f>
        <v>2069.35251360145</v>
      </c>
      <c r="M321" s="180">
        <f t="shared" si="100"/>
        <v>2257.8435432599922</v>
      </c>
      <c r="N321" s="86"/>
    </row>
    <row r="322" spans="1:14" s="185" customFormat="1">
      <c r="B322" s="23" t="s">
        <v>33</v>
      </c>
      <c r="C322" s="222">
        <v>1.9508298526599059E-3</v>
      </c>
      <c r="D322" s="225">
        <v>1.2709766264955144E-2</v>
      </c>
      <c r="E322" s="223">
        <f t="shared" si="95"/>
        <v>1.4660596117615049E-2</v>
      </c>
      <c r="F322" s="224">
        <f t="shared" si="101"/>
        <v>442706.3</v>
      </c>
      <c r="G322" s="180">
        <f t="shared" si="96"/>
        <v>-1034.188000913286</v>
      </c>
      <c r="H322" s="635">
        <f>ROUND(F322*'Actual Load'!$B$13/'Zonal Load'!$N$13,2)</f>
        <v>429502.34</v>
      </c>
      <c r="I322" s="180">
        <f t="shared" si="97"/>
        <v>450804.71</v>
      </c>
      <c r="J322" s="180">
        <f t="shared" si="98"/>
        <v>8098.4100000000326</v>
      </c>
      <c r="K322" s="180">
        <f t="shared" si="99"/>
        <v>7064.221999086747</v>
      </c>
      <c r="L322" s="181">
        <f>E322*'Interest Over Collect'!$J$10</f>
        <v>423.06756604023155</v>
      </c>
      <c r="M322" s="180">
        <f t="shared" si="100"/>
        <v>7487.2895651269782</v>
      </c>
      <c r="N322" s="86"/>
    </row>
    <row r="323" spans="1:14" s="185" customFormat="1">
      <c r="B323" s="23" t="s">
        <v>34</v>
      </c>
      <c r="C323" s="222">
        <v>1.4369579482544754E-3</v>
      </c>
      <c r="D323" s="225">
        <v>0</v>
      </c>
      <c r="E323" s="223">
        <f t="shared" si="95"/>
        <v>1.4369579482544754E-3</v>
      </c>
      <c r="F323" s="224">
        <f t="shared" si="101"/>
        <v>43391.85</v>
      </c>
      <c r="G323" s="180">
        <f t="shared" si="96"/>
        <v>-101.36591008848455</v>
      </c>
      <c r="H323" s="635">
        <f>ROUND(F323*'Actual Load'!$B$23/'Zonal Load'!$N$23,2)</f>
        <v>43340.959999999999</v>
      </c>
      <c r="I323" s="180">
        <f t="shared" si="97"/>
        <v>45490.58</v>
      </c>
      <c r="J323" s="180">
        <f t="shared" si="98"/>
        <v>2098.7300000000032</v>
      </c>
      <c r="K323" s="180">
        <f t="shared" si="99"/>
        <v>1997.3640899115187</v>
      </c>
      <c r="L323" s="181">
        <f>E323*'Interest Over Collect'!$J$10</f>
        <v>41.466956513435591</v>
      </c>
      <c r="M323" s="180">
        <f t="shared" si="100"/>
        <v>2038.8310464249544</v>
      </c>
      <c r="N323" s="86"/>
    </row>
    <row r="324" spans="1:14" s="185" customFormat="1">
      <c r="B324" s="23" t="s">
        <v>35</v>
      </c>
      <c r="C324" s="222">
        <v>1.1727570456685852E-3</v>
      </c>
      <c r="D324" s="225">
        <v>0</v>
      </c>
      <c r="E324" s="223">
        <f t="shared" si="95"/>
        <v>1.1727570456685852E-3</v>
      </c>
      <c r="F324" s="224">
        <f t="shared" si="101"/>
        <v>35413.769999999997</v>
      </c>
      <c r="G324" s="180">
        <f t="shared" si="96"/>
        <v>-82.728645880892671</v>
      </c>
      <c r="H324" s="635">
        <f>ROUND(F324*'Actual Load'!$B$20/'Zonal Load'!$N$20,2)</f>
        <v>35184.339999999997</v>
      </c>
      <c r="I324" s="180">
        <f t="shared" si="97"/>
        <v>36929.410000000003</v>
      </c>
      <c r="J324" s="180">
        <f t="shared" si="98"/>
        <v>1515.6400000000067</v>
      </c>
      <c r="K324" s="180">
        <f t="shared" si="99"/>
        <v>1432.9113541191141</v>
      </c>
      <c r="L324" s="181">
        <f>E324*'Interest Over Collect'!$J$10</f>
        <v>33.842789535099371</v>
      </c>
      <c r="M324" s="180">
        <f t="shared" si="100"/>
        <v>1466.7541436542135</v>
      </c>
      <c r="N324" s="86"/>
    </row>
    <row r="325" spans="1:14">
      <c r="A325" s="172"/>
      <c r="B325" s="25"/>
      <c r="C325" s="26">
        <f t="shared" ref="C325:M325" si="102">SUM(C301:C324)</f>
        <v>0.16880052840628862</v>
      </c>
      <c r="D325" s="27">
        <f t="shared" si="102"/>
        <v>0.83119947159371133</v>
      </c>
      <c r="E325" s="100">
        <f t="shared" si="102"/>
        <v>0.99999999999999989</v>
      </c>
      <c r="F325" s="95">
        <f t="shared" si="102"/>
        <v>30197018.760000002</v>
      </c>
      <c r="G325" s="78">
        <f t="shared" si="102"/>
        <v>-70542.0156599693</v>
      </c>
      <c r="H325" s="138">
        <f t="shared" si="102"/>
        <v>29067136.499999996</v>
      </c>
      <c r="I325" s="79">
        <f t="shared" si="102"/>
        <v>30508802.379999999</v>
      </c>
      <c r="J325" s="79">
        <f t="shared" si="102"/>
        <v>311783.62000000005</v>
      </c>
      <c r="K325" s="155">
        <f t="shared" si="102"/>
        <v>241241.60434003075</v>
      </c>
      <c r="L325" s="79">
        <f t="shared" si="102"/>
        <v>28857.459999999992</v>
      </c>
      <c r="M325" s="79">
        <f t="shared" si="102"/>
        <v>270099.06434003077</v>
      </c>
    </row>
    <row r="326" spans="1:14">
      <c r="A326" s="172"/>
      <c r="B326" s="86"/>
      <c r="C326" s="86"/>
      <c r="D326" s="86"/>
      <c r="E326" s="86"/>
      <c r="F326" s="86"/>
      <c r="G326" s="21"/>
      <c r="H326" s="140"/>
      <c r="I326" s="29"/>
      <c r="J326" s="113"/>
      <c r="K326" s="86"/>
      <c r="L326" s="86"/>
      <c r="M326" s="86"/>
    </row>
    <row r="327" spans="1:14">
      <c r="A327" s="172"/>
      <c r="B327" s="86"/>
      <c r="C327" s="86"/>
      <c r="D327" s="86"/>
      <c r="E327" s="96" t="s">
        <v>618</v>
      </c>
      <c r="F327" s="178">
        <v>30197018.764985129</v>
      </c>
      <c r="G327" s="86"/>
      <c r="H327" s="141"/>
      <c r="I327" s="85"/>
      <c r="J327" s="113"/>
      <c r="K327" s="86"/>
      <c r="M327" s="86"/>
    </row>
    <row r="328" spans="1:14">
      <c r="A328" s="172"/>
      <c r="B328" s="86"/>
      <c r="C328" s="86"/>
      <c r="D328" s="86"/>
      <c r="E328" s="97" t="s">
        <v>619</v>
      </c>
      <c r="F328" s="179">
        <v>30267560.780645099</v>
      </c>
      <c r="G328" s="632">
        <f>F327-F328</f>
        <v>-70542.0156599693</v>
      </c>
      <c r="H328" s="633"/>
      <c r="I328" s="87"/>
      <c r="J328" s="113"/>
      <c r="K328" s="86"/>
      <c r="L328" s="84"/>
      <c r="M328" s="86"/>
    </row>
    <row r="329" spans="1:14">
      <c r="A329" s="172"/>
      <c r="B329" s="61"/>
      <c r="C329" s="61"/>
      <c r="D329" s="61"/>
      <c r="E329" s="97" t="s">
        <v>160</v>
      </c>
      <c r="F329" s="186">
        <f>I325</f>
        <v>30508802.379999999</v>
      </c>
      <c r="G329" s="632">
        <f>F329-F327</f>
        <v>311783.61501486972</v>
      </c>
      <c r="H329" s="634"/>
      <c r="L329" s="81"/>
      <c r="M329" s="86"/>
    </row>
    <row r="330" spans="1:14">
      <c r="A330" s="172"/>
      <c r="G330" s="632">
        <f>G328+G329</f>
        <v>241241.59935490042</v>
      </c>
      <c r="H330" s="633">
        <f>F329-F328</f>
        <v>241241.59935490042</v>
      </c>
    </row>
    <row r="331" spans="1:14">
      <c r="A331" s="172"/>
      <c r="B331" s="82"/>
      <c r="C331" s="82"/>
      <c r="D331" s="82"/>
      <c r="E331" s="82"/>
      <c r="F331" s="82"/>
      <c r="G331" s="82"/>
      <c r="H331" s="82"/>
      <c r="I331" s="82"/>
      <c r="J331" s="111"/>
      <c r="K331" s="82"/>
      <c r="L331" s="82"/>
      <c r="M331" s="82"/>
    </row>
    <row r="332" spans="1:14">
      <c r="A332" s="172"/>
    </row>
    <row r="333" spans="1:14" ht="15.75" customHeight="1">
      <c r="A333" s="172"/>
      <c r="B333" s="72" t="s">
        <v>0</v>
      </c>
      <c r="C333" s="641" t="s">
        <v>143</v>
      </c>
      <c r="D333" s="665"/>
      <c r="E333" s="665"/>
      <c r="F333" s="665"/>
      <c r="G333" s="665"/>
      <c r="H333" s="666"/>
      <c r="I333" s="1"/>
    </row>
    <row r="334" spans="1:14" ht="15.75" customHeight="1">
      <c r="A334" s="172"/>
      <c r="B334" s="70" t="s">
        <v>2</v>
      </c>
      <c r="C334" s="673" t="s">
        <v>144</v>
      </c>
      <c r="D334" s="668"/>
      <c r="E334" s="668"/>
      <c r="F334" s="668"/>
      <c r="G334" s="668"/>
      <c r="H334" s="669"/>
      <c r="I334" s="1"/>
    </row>
    <row r="335" spans="1:14" ht="15.75" customHeight="1">
      <c r="A335" s="172"/>
      <c r="B335" s="70" t="s">
        <v>4</v>
      </c>
      <c r="C335" s="674" t="s">
        <v>117</v>
      </c>
      <c r="D335" s="668"/>
      <c r="E335" s="668"/>
      <c r="F335" s="668"/>
      <c r="G335" s="668"/>
      <c r="H335" s="669"/>
      <c r="I335" s="1"/>
    </row>
    <row r="336" spans="1:14" ht="15.75" customHeight="1">
      <c r="A336" s="172"/>
      <c r="B336" s="71" t="s">
        <v>6</v>
      </c>
      <c r="C336" s="675" t="s">
        <v>7</v>
      </c>
      <c r="D336" s="662"/>
      <c r="E336" s="662"/>
      <c r="F336" s="662"/>
      <c r="G336" s="662"/>
      <c r="H336" s="663"/>
      <c r="I336" s="1"/>
    </row>
    <row r="337" spans="1:14">
      <c r="A337" s="172"/>
      <c r="B337" s="76"/>
      <c r="C337" s="76"/>
      <c r="D337" s="76"/>
      <c r="E337" s="76"/>
      <c r="F337" s="76"/>
      <c r="J337" s="105" t="s">
        <v>163</v>
      </c>
      <c r="K337" s="3" t="s">
        <v>42</v>
      </c>
      <c r="M337" s="3" t="s">
        <v>56</v>
      </c>
    </row>
    <row r="338" spans="1:14">
      <c r="A338" s="172"/>
      <c r="B338" s="76"/>
      <c r="C338" s="76"/>
      <c r="D338" s="76"/>
      <c r="E338" s="76"/>
      <c r="F338" s="76"/>
      <c r="G338" s="3" t="s">
        <v>39</v>
      </c>
      <c r="H338" s="134" t="s">
        <v>40</v>
      </c>
      <c r="I338" s="98" t="s">
        <v>41</v>
      </c>
      <c r="J338" s="106" t="s">
        <v>164</v>
      </c>
      <c r="K338" s="4" t="s">
        <v>165</v>
      </c>
      <c r="L338" s="4" t="s">
        <v>55</v>
      </c>
      <c r="M338" s="4" t="s">
        <v>166</v>
      </c>
      <c r="N338" s="202"/>
    </row>
    <row r="339" spans="1:14">
      <c r="A339" s="172"/>
      <c r="B339" s="76"/>
      <c r="C339" s="76"/>
      <c r="D339" s="76"/>
      <c r="E339" s="76"/>
      <c r="F339" s="76"/>
      <c r="G339" s="5"/>
      <c r="H339" s="658" t="s">
        <v>43</v>
      </c>
      <c r="I339" s="659"/>
      <c r="J339" s="660"/>
      <c r="K339" s="6" t="s">
        <v>44</v>
      </c>
      <c r="L339" s="5"/>
      <c r="M339" s="6" t="s">
        <v>45</v>
      </c>
      <c r="N339" s="202"/>
    </row>
    <row r="340" spans="1:14">
      <c r="A340" s="172"/>
      <c r="B340" s="77"/>
      <c r="C340" s="7">
        <v>0.2</v>
      </c>
      <c r="D340" s="7">
        <v>0.8</v>
      </c>
      <c r="E340" s="7"/>
      <c r="F340" s="92" t="s">
        <v>162</v>
      </c>
      <c r="G340" s="8" t="s">
        <v>46</v>
      </c>
      <c r="H340" s="135"/>
      <c r="I340" s="5"/>
      <c r="J340" s="107" t="s">
        <v>47</v>
      </c>
      <c r="K340" s="8" t="s">
        <v>48</v>
      </c>
      <c r="L340" s="9"/>
      <c r="M340" s="8" t="s">
        <v>49</v>
      </c>
    </row>
    <row r="341" spans="1:14">
      <c r="A341" s="172"/>
      <c r="B341" s="10"/>
      <c r="C341" s="69" t="s">
        <v>9</v>
      </c>
      <c r="D341" s="69" t="s">
        <v>10</v>
      </c>
      <c r="E341" s="69" t="s">
        <v>11</v>
      </c>
      <c r="F341" s="93" t="s">
        <v>8</v>
      </c>
      <c r="G341" s="11" t="s">
        <v>50</v>
      </c>
      <c r="H341" s="136" t="s">
        <v>51</v>
      </c>
      <c r="I341" s="12" t="s">
        <v>159</v>
      </c>
      <c r="J341" s="108" t="s">
        <v>50</v>
      </c>
      <c r="K341" s="12" t="s">
        <v>50</v>
      </c>
      <c r="L341" s="12" t="s">
        <v>52</v>
      </c>
      <c r="M341" s="12" t="s">
        <v>53</v>
      </c>
    </row>
    <row r="342" spans="1:14" ht="31.5">
      <c r="A342" s="172"/>
      <c r="B342" s="13" t="s">
        <v>13</v>
      </c>
      <c r="C342" s="14" t="s">
        <v>14</v>
      </c>
      <c r="D342" s="14" t="s">
        <v>14</v>
      </c>
      <c r="E342" s="102" t="s">
        <v>14</v>
      </c>
      <c r="F342" s="94" t="s">
        <v>15</v>
      </c>
      <c r="G342" s="16" t="s">
        <v>54</v>
      </c>
      <c r="H342" s="137"/>
      <c r="I342" s="17"/>
      <c r="J342" s="109" t="s">
        <v>54</v>
      </c>
      <c r="K342" s="17"/>
      <c r="L342" s="17"/>
      <c r="M342" s="16" t="s">
        <v>54</v>
      </c>
    </row>
    <row r="343" spans="1:14" s="185" customFormat="1">
      <c r="B343" s="18" t="s">
        <v>16</v>
      </c>
      <c r="C343" s="222">
        <f>0.0570140929748884%*2</f>
        <v>1.140281859497768E-3</v>
      </c>
      <c r="D343" s="225">
        <v>0</v>
      </c>
      <c r="E343" s="223">
        <f t="shared" ref="E343:E364" si="103">C343+D343</f>
        <v>1.140281859497768E-3</v>
      </c>
      <c r="F343" s="228">
        <f>ROUND(+E343*F$367,2)</f>
        <v>73.92</v>
      </c>
      <c r="G343" s="180">
        <f t="shared" ref="G343:G364" si="104">(F$367-F$368)*E343</f>
        <v>3.1513245183122773</v>
      </c>
      <c r="H343" s="635">
        <f>ROUND(F343*'Actual Load'!$B$8/'Zonal Load'!$N$8,2)</f>
        <v>73.92</v>
      </c>
      <c r="I343" s="180">
        <f t="shared" ref="I343:I364" si="105">ROUND((H343*$H$912)/$H$910,2)</f>
        <v>77.59</v>
      </c>
      <c r="J343" s="180">
        <f t="shared" ref="J343:J364" si="106">I343-F343</f>
        <v>3.6700000000000017</v>
      </c>
      <c r="K343" s="180">
        <f t="shared" ref="K343:K364" si="107">+G343+J343</f>
        <v>6.821324518312279</v>
      </c>
      <c r="L343" s="181">
        <f>E343*'Interest Over Collect'!$J$11</f>
        <v>7.0640461195886739E-2</v>
      </c>
      <c r="M343" s="180">
        <f t="shared" ref="M343:M350" si="108">+K343+L343</f>
        <v>6.8919649795081659</v>
      </c>
      <c r="N343" s="86"/>
    </row>
    <row r="344" spans="1:14" s="185" customFormat="1">
      <c r="B344" s="23" t="s">
        <v>17</v>
      </c>
      <c r="C344" s="222">
        <f>0.0029798826665683%*2</f>
        <v>5.9597653331365996E-5</v>
      </c>
      <c r="D344" s="225">
        <v>0</v>
      </c>
      <c r="E344" s="223">
        <f t="shared" si="103"/>
        <v>5.9597653331365996E-5</v>
      </c>
      <c r="F344" s="229">
        <f>ROUND(+E344*F$367,2)</f>
        <v>3.86</v>
      </c>
      <c r="G344" s="180">
        <f t="shared" si="104"/>
        <v>0.16470624750597171</v>
      </c>
      <c r="H344" s="635">
        <f>ROUND(F344*'Actual Load'!$B$14/'Zonal Load'!$N$14,2)</f>
        <v>3.73</v>
      </c>
      <c r="I344" s="180">
        <f t="shared" si="105"/>
        <v>3.91</v>
      </c>
      <c r="J344" s="180">
        <f t="shared" si="106"/>
        <v>5.0000000000000266E-2</v>
      </c>
      <c r="K344" s="180">
        <f t="shared" si="107"/>
        <v>0.21470624750597198</v>
      </c>
      <c r="L344" s="181">
        <f>E344*'Interest Over Collect'!$J$11</f>
        <v>3.6920746238781237E-3</v>
      </c>
      <c r="M344" s="180">
        <f t="shared" si="108"/>
        <v>0.21839832212985011</v>
      </c>
      <c r="N344" s="86"/>
    </row>
    <row r="345" spans="1:14" s="185" customFormat="1">
      <c r="B345" s="23" t="s">
        <v>201</v>
      </c>
      <c r="C345" s="222">
        <f>(0.0520150575171606%*2)*0.421</f>
        <v>4.3796678429449228E-4</v>
      </c>
      <c r="D345" s="225">
        <f>0%*0.421</f>
        <v>0</v>
      </c>
      <c r="E345" s="223">
        <f t="shared" si="103"/>
        <v>4.3796678429449228E-4</v>
      </c>
      <c r="F345" s="229">
        <f t="shared" ref="F345:F364" si="109">ROUND(+E345*F$367,2)</f>
        <v>28.39</v>
      </c>
      <c r="G345" s="180">
        <f t="shared" si="104"/>
        <v>1.2103809720883483</v>
      </c>
      <c r="H345" s="635">
        <f>ROUND(F345*'Actual Load'!$B$9/'Zonal Load'!$N$9,2)</f>
        <v>28.39</v>
      </c>
      <c r="I345" s="180">
        <f t="shared" si="105"/>
        <v>29.8</v>
      </c>
      <c r="J345" s="180">
        <f t="shared" si="106"/>
        <v>1.4100000000000001</v>
      </c>
      <c r="K345" s="180">
        <f t="shared" si="107"/>
        <v>2.6203809720883484</v>
      </c>
      <c r="L345" s="181">
        <f>E345*'Interest Over Collect'!$J$11</f>
        <v>2.7132042287043797E-2</v>
      </c>
      <c r="M345" s="180">
        <f t="shared" si="108"/>
        <v>2.647513014375392</v>
      </c>
      <c r="N345" s="86"/>
    </row>
    <row r="346" spans="1:14" s="185" customFormat="1">
      <c r="B346" s="132" t="s">
        <v>260</v>
      </c>
      <c r="C346" s="222">
        <f>(0.0520150575171606%*2)*0.579</f>
        <v>6.0233436604871971E-4</v>
      </c>
      <c r="D346" s="225">
        <f>0%*0.579</f>
        <v>0</v>
      </c>
      <c r="E346" s="223">
        <f>C346+D346</f>
        <v>6.0233436604871971E-4</v>
      </c>
      <c r="F346" s="229">
        <f t="shared" si="109"/>
        <v>39.049999999999997</v>
      </c>
      <c r="G346" s="180">
        <f>(F$367-F$368)*E346</f>
        <v>1.6646332133946642</v>
      </c>
      <c r="H346" s="635">
        <f>ROUND(F346*'Actual Load'!$B$10/'Zonal Load'!$N$10,2)</f>
        <v>39.17</v>
      </c>
      <c r="I346" s="180">
        <f t="shared" si="105"/>
        <v>41.11</v>
      </c>
      <c r="J346" s="180">
        <f>I346-F346</f>
        <v>2.0600000000000023</v>
      </c>
      <c r="K346" s="180">
        <f>+G346+J346</f>
        <v>3.7246332133946662</v>
      </c>
      <c r="L346" s="181">
        <f>E346*'Interest Over Collect'!$J$11</f>
        <v>3.7314613976718189E-2</v>
      </c>
      <c r="M346" s="180">
        <f>+K346+L346</f>
        <v>3.7619478273713844</v>
      </c>
      <c r="N346" s="86"/>
    </row>
    <row r="347" spans="1:14" s="185" customFormat="1">
      <c r="B347" s="23" t="s">
        <v>18</v>
      </c>
      <c r="C347" s="222">
        <f>0.00535819522270603%*2</f>
        <v>1.0716390445412061E-4</v>
      </c>
      <c r="D347" s="225">
        <v>0</v>
      </c>
      <c r="E347" s="223">
        <f t="shared" si="103"/>
        <v>1.0716390445412061E-4</v>
      </c>
      <c r="F347" s="229">
        <f t="shared" si="109"/>
        <v>6.95</v>
      </c>
      <c r="G347" s="180">
        <f t="shared" si="104"/>
        <v>0.29616207323782789</v>
      </c>
      <c r="H347" s="635">
        <f>ROUND(F347*'Actual Load'!$B$26/'Zonal Load'!$N$26,2)</f>
        <v>6.85</v>
      </c>
      <c r="I347" s="180">
        <f t="shared" si="105"/>
        <v>7.19</v>
      </c>
      <c r="J347" s="180">
        <f t="shared" si="106"/>
        <v>0.24000000000000021</v>
      </c>
      <c r="K347" s="180">
        <f t="shared" si="107"/>
        <v>0.53616207323782805</v>
      </c>
      <c r="L347" s="181">
        <f>E347*'Interest Over Collect'!$J$11</f>
        <v>6.6388038809327725E-3</v>
      </c>
      <c r="M347" s="180">
        <f t="shared" si="108"/>
        <v>0.54280087711876079</v>
      </c>
      <c r="N347" s="86"/>
    </row>
    <row r="348" spans="1:14" s="185" customFormat="1">
      <c r="B348" s="23" t="s">
        <v>19</v>
      </c>
      <c r="C348" s="222">
        <f>0.0134163336857722%*2</f>
        <v>2.6832667371544399E-4</v>
      </c>
      <c r="D348" s="225">
        <v>0</v>
      </c>
      <c r="E348" s="223">
        <f t="shared" si="103"/>
        <v>2.6832667371544399E-4</v>
      </c>
      <c r="F348" s="229">
        <f t="shared" si="109"/>
        <v>17.399999999999999</v>
      </c>
      <c r="G348" s="180">
        <f t="shared" si="104"/>
        <v>0.7415573779004877</v>
      </c>
      <c r="H348" s="635">
        <f>ROUND(F348*'Actual Load'!$B$16/'Zonal Load'!$N$16,2)</f>
        <v>16.53</v>
      </c>
      <c r="I348" s="180">
        <f t="shared" si="105"/>
        <v>17.350000000000001</v>
      </c>
      <c r="J348" s="180">
        <f t="shared" si="106"/>
        <v>-4.9999999999997158E-2</v>
      </c>
      <c r="K348" s="180">
        <f t="shared" si="107"/>
        <v>0.69155737790049054</v>
      </c>
      <c r="L348" s="181">
        <f>E348*'Interest Over Collect'!$J$11</f>
        <v>1.6622837436671756E-2</v>
      </c>
      <c r="M348" s="180">
        <f t="shared" si="108"/>
        <v>0.70818021533716236</v>
      </c>
      <c r="N348" s="86"/>
    </row>
    <row r="349" spans="1:14" s="185" customFormat="1">
      <c r="B349" s="23" t="s">
        <v>20</v>
      </c>
      <c r="C349" s="222">
        <f>0.014905873740698%*2</f>
        <v>2.9811747481395999E-4</v>
      </c>
      <c r="D349" s="225">
        <v>0</v>
      </c>
      <c r="E349" s="223">
        <f t="shared" si="103"/>
        <v>2.9811747481395999E-4</v>
      </c>
      <c r="F349" s="229">
        <f t="shared" si="109"/>
        <v>19.329999999999998</v>
      </c>
      <c r="G349" s="180">
        <f t="shared" si="104"/>
        <v>0.82388832190346162</v>
      </c>
      <c r="H349" s="635">
        <f>ROUND(F349*'Actual Load'!$B$22/'Zonal Load'!$N$22,2)</f>
        <v>18.52</v>
      </c>
      <c r="I349" s="180">
        <f t="shared" si="105"/>
        <v>19.440000000000001</v>
      </c>
      <c r="J349" s="180">
        <f t="shared" si="106"/>
        <v>0.11000000000000298</v>
      </c>
      <c r="K349" s="180">
        <f t="shared" si="107"/>
        <v>0.9338883219034646</v>
      </c>
      <c r="L349" s="181">
        <f>E349*'Interest Over Collect'!$J$11</f>
        <v>1.8468377564724824E-2</v>
      </c>
      <c r="M349" s="180">
        <f t="shared" si="108"/>
        <v>0.95235669946818946</v>
      </c>
      <c r="N349" s="86"/>
    </row>
    <row r="350" spans="1:14" s="185" customFormat="1">
      <c r="B350" s="23" t="s">
        <v>21</v>
      </c>
      <c r="C350" s="222">
        <f>0.0370869797072986%*2</f>
        <v>7.4173959414597205E-4</v>
      </c>
      <c r="D350" s="225">
        <v>0</v>
      </c>
      <c r="E350" s="223">
        <f t="shared" si="103"/>
        <v>7.4173959414597205E-4</v>
      </c>
      <c r="F350" s="229">
        <f t="shared" si="109"/>
        <v>48.09</v>
      </c>
      <c r="G350" s="180">
        <f t="shared" si="104"/>
        <v>2.0498985840787856</v>
      </c>
      <c r="H350" s="635">
        <f>ROUND(F350*'Actual Load'!$B$17/'Zonal Load'!$N$17,2)</f>
        <v>46.86</v>
      </c>
      <c r="I350" s="180">
        <f t="shared" si="105"/>
        <v>49.18</v>
      </c>
      <c r="J350" s="180">
        <f t="shared" si="106"/>
        <v>1.0899999999999963</v>
      </c>
      <c r="K350" s="180">
        <f t="shared" si="107"/>
        <v>3.1398985840787819</v>
      </c>
      <c r="L350" s="181">
        <f>E350*'Interest Over Collect'!$J$11</f>
        <v>4.5950767857342971E-2</v>
      </c>
      <c r="M350" s="180">
        <f t="shared" si="108"/>
        <v>3.1858493519361248</v>
      </c>
      <c r="N350" s="86"/>
    </row>
    <row r="351" spans="1:14" s="185" customFormat="1">
      <c r="B351" s="23" t="s">
        <v>22</v>
      </c>
      <c r="C351" s="222">
        <f>0.0486849665461369%*2</f>
        <v>9.7369933092273807E-4</v>
      </c>
      <c r="D351" s="225">
        <v>0</v>
      </c>
      <c r="E351" s="223">
        <f t="shared" si="103"/>
        <v>9.7369933092273807E-4</v>
      </c>
      <c r="F351" s="229">
        <f t="shared" si="109"/>
        <v>63.12</v>
      </c>
      <c r="G351" s="180">
        <f t="shared" si="104"/>
        <v>2.6909509692213871</v>
      </c>
      <c r="H351" s="635">
        <f>ROUND(F351*'Actual Load'!$B$15/'Zonal Load'!$N$15,2)</f>
        <v>60.28</v>
      </c>
      <c r="I351" s="180">
        <f t="shared" si="105"/>
        <v>63.27</v>
      </c>
      <c r="J351" s="180">
        <f t="shared" si="106"/>
        <v>0.15000000000000568</v>
      </c>
      <c r="K351" s="180">
        <f t="shared" si="107"/>
        <v>2.8409509692213928</v>
      </c>
      <c r="L351" s="181">
        <f>E351*'Interest Over Collect'!$J$11</f>
        <v>6.0320673550663624E-2</v>
      </c>
      <c r="M351" s="180">
        <f>+K351+L351</f>
        <v>2.9012716427720564</v>
      </c>
      <c r="N351" s="86"/>
    </row>
    <row r="352" spans="1:14" s="185" customFormat="1">
      <c r="B352" s="23" t="s">
        <v>23</v>
      </c>
      <c r="C352" s="222">
        <f>0.0153173753089281%*2</f>
        <v>3.0634750617856201E-4</v>
      </c>
      <c r="D352" s="225">
        <v>0</v>
      </c>
      <c r="E352" s="223">
        <f t="shared" si="103"/>
        <v>3.0634750617856201E-4</v>
      </c>
      <c r="F352" s="229">
        <f t="shared" si="109"/>
        <v>19.86</v>
      </c>
      <c r="G352" s="180">
        <f t="shared" si="104"/>
        <v>0.84663313662600104</v>
      </c>
      <c r="H352" s="635">
        <f>ROUND(F352*'Actual Load'!$B$4/'Zonal Load'!$N$4,2)</f>
        <v>19.53</v>
      </c>
      <c r="I352" s="180">
        <f t="shared" si="105"/>
        <v>20.5</v>
      </c>
      <c r="J352" s="180">
        <f t="shared" si="106"/>
        <v>0.64000000000000057</v>
      </c>
      <c r="K352" s="180">
        <f t="shared" si="107"/>
        <v>1.4866331366260015</v>
      </c>
      <c r="L352" s="181">
        <f>E352*'Interest Over Collect'!$J$11</f>
        <v>1.8978228007761916E-2</v>
      </c>
      <c r="M352" s="180">
        <f t="shared" ref="M352:M364" si="110">+K352+L352</f>
        <v>1.5056113646337634</v>
      </c>
      <c r="N352" s="86"/>
    </row>
    <row r="353" spans="1:14" s="185" customFormat="1">
      <c r="B353" s="23" t="s">
        <v>24</v>
      </c>
      <c r="C353" s="222">
        <f>0.00107876130111864%*2</f>
        <v>2.1575226022372797E-5</v>
      </c>
      <c r="D353" s="225">
        <v>0</v>
      </c>
      <c r="E353" s="223">
        <f t="shared" si="103"/>
        <v>2.1575226022372797E-5</v>
      </c>
      <c r="F353" s="229">
        <f t="shared" si="109"/>
        <v>1.4</v>
      </c>
      <c r="G353" s="180">
        <f t="shared" si="104"/>
        <v>5.9626081206254206E-2</v>
      </c>
      <c r="H353" s="635">
        <f>ROUND(F353*'Actual Load'!$B$11/'Zonal Load'!$N$11,2)</f>
        <v>1.38</v>
      </c>
      <c r="I353" s="180">
        <f t="shared" si="105"/>
        <v>1.45</v>
      </c>
      <c r="J353" s="180">
        <f t="shared" si="106"/>
        <v>5.0000000000000044E-2</v>
      </c>
      <c r="K353" s="180">
        <f t="shared" si="107"/>
        <v>0.10962608120625425</v>
      </c>
      <c r="L353" s="181">
        <f>E353*'Interest Over Collect'!$J$11</f>
        <v>1.3365852520859948E-3</v>
      </c>
      <c r="M353" s="180">
        <f t="shared" si="110"/>
        <v>0.11096266645834024</v>
      </c>
      <c r="N353" s="86"/>
    </row>
    <row r="354" spans="1:14" s="185" customFormat="1">
      <c r="B354" s="23" t="s">
        <v>25</v>
      </c>
      <c r="C354" s="222">
        <f>0.0365877633724287%*2</f>
        <v>7.3175526744857398E-4</v>
      </c>
      <c r="D354" s="225">
        <v>0</v>
      </c>
      <c r="E354" s="223">
        <f t="shared" si="103"/>
        <v>7.3175526744857398E-4</v>
      </c>
      <c r="F354" s="229">
        <f t="shared" si="109"/>
        <v>47.44</v>
      </c>
      <c r="G354" s="180">
        <f t="shared" si="104"/>
        <v>2.0223055348179577</v>
      </c>
      <c r="H354" s="635">
        <f>ROUND(F354*'Actual Load'!$B$6/'Zonal Load'!$N$6,2)</f>
        <v>46.28</v>
      </c>
      <c r="I354" s="180">
        <f t="shared" si="105"/>
        <v>48.58</v>
      </c>
      <c r="J354" s="180">
        <f t="shared" si="106"/>
        <v>1.1400000000000006</v>
      </c>
      <c r="K354" s="180">
        <f t="shared" si="107"/>
        <v>3.1623055348179583</v>
      </c>
      <c r="L354" s="181">
        <f>E354*'Interest Over Collect'!$J$11</f>
        <v>4.5332238818439161E-2</v>
      </c>
      <c r="M354" s="180">
        <f t="shared" si="110"/>
        <v>3.2076377736363972</v>
      </c>
      <c r="N354" s="86"/>
    </row>
    <row r="355" spans="1:14" s="185" customFormat="1">
      <c r="B355" s="23" t="s">
        <v>26</v>
      </c>
      <c r="C355" s="222">
        <f>0.036101299351104%*2</f>
        <v>7.2202598702208012E-4</v>
      </c>
      <c r="D355" s="225">
        <v>0</v>
      </c>
      <c r="E355" s="223">
        <f t="shared" si="103"/>
        <v>7.2202598702208012E-4</v>
      </c>
      <c r="F355" s="229">
        <f t="shared" si="109"/>
        <v>46.81</v>
      </c>
      <c r="G355" s="180">
        <f t="shared" si="104"/>
        <v>1.9954173407296558</v>
      </c>
      <c r="H355" s="635">
        <f>ROUND(F355*'Actual Load'!$B$7/'Zonal Load'!$N$7,2)</f>
        <v>43.91</v>
      </c>
      <c r="I355" s="180">
        <f t="shared" si="105"/>
        <v>46.09</v>
      </c>
      <c r="J355" s="180">
        <f t="shared" si="106"/>
        <v>-0.71999999999999886</v>
      </c>
      <c r="K355" s="180">
        <f t="shared" si="107"/>
        <v>1.275417340729657</v>
      </c>
      <c r="L355" s="181">
        <f>E355*'Interest Over Collect'!$J$11</f>
        <v>4.4729509896017865E-2</v>
      </c>
      <c r="M355" s="180">
        <f t="shared" si="110"/>
        <v>1.3201468506256748</v>
      </c>
      <c r="N355" s="86"/>
    </row>
    <row r="356" spans="1:14" s="185" customFormat="1">
      <c r="B356" s="23" t="s">
        <v>27</v>
      </c>
      <c r="C356" s="222">
        <f>0.00169370735682878%*2</f>
        <v>3.3874147136575603E-5</v>
      </c>
      <c r="D356" s="225">
        <v>0</v>
      </c>
      <c r="E356" s="223">
        <f t="shared" si="103"/>
        <v>3.3874147136575603E-5</v>
      </c>
      <c r="F356" s="229">
        <f t="shared" si="109"/>
        <v>2.2000000000000002</v>
      </c>
      <c r="G356" s="180">
        <f t="shared" si="104"/>
        <v>9.3615827980833774E-2</v>
      </c>
      <c r="H356" s="635">
        <f>ROUND(F356*'Actual Load'!$B$12/'Zonal Load'!$N$12,2)</f>
        <v>2.21</v>
      </c>
      <c r="I356" s="180">
        <f t="shared" si="105"/>
        <v>2.3199999999999998</v>
      </c>
      <c r="J356" s="180">
        <f t="shared" si="106"/>
        <v>0.11999999999999966</v>
      </c>
      <c r="K356" s="180">
        <f t="shared" si="107"/>
        <v>0.21361582798083345</v>
      </c>
      <c r="L356" s="181">
        <f>E356*'Interest Over Collect'!$J$11</f>
        <v>2.0985034151108587E-3</v>
      </c>
      <c r="M356" s="180">
        <f t="shared" si="110"/>
        <v>0.21571433139594431</v>
      </c>
      <c r="N356" s="86"/>
    </row>
    <row r="357" spans="1:14" s="185" customFormat="1">
      <c r="B357" s="23" t="s">
        <v>28</v>
      </c>
      <c r="C357" s="222">
        <f>0.00178751268736084%*2</f>
        <v>3.5750253747216796E-5</v>
      </c>
      <c r="D357" s="225">
        <v>0</v>
      </c>
      <c r="E357" s="223">
        <f t="shared" si="103"/>
        <v>3.5750253747216796E-5</v>
      </c>
      <c r="F357" s="229">
        <f t="shared" si="109"/>
        <v>2.3199999999999998</v>
      </c>
      <c r="G357" s="180">
        <f t="shared" si="104"/>
        <v>9.8800704607464804E-2</v>
      </c>
      <c r="H357" s="635">
        <f>ROUND(F357*'Actual Load'!$B$24/'Zonal Load'!$N$24,2)</f>
        <v>2.2999999999999998</v>
      </c>
      <c r="I357" s="180">
        <f t="shared" si="105"/>
        <v>2.41</v>
      </c>
      <c r="J357" s="180">
        <f t="shared" si="106"/>
        <v>9.0000000000000302E-2</v>
      </c>
      <c r="K357" s="180">
        <f t="shared" si="107"/>
        <v>0.18880070460746512</v>
      </c>
      <c r="L357" s="181">
        <f>E357*'Interest Over Collect'!$J$11</f>
        <v>2.2147282196400804E-3</v>
      </c>
      <c r="M357" s="180">
        <f t="shared" si="110"/>
        <v>0.1910154328271052</v>
      </c>
      <c r="N357" s="86"/>
    </row>
    <row r="358" spans="1:14" s="185" customFormat="1">
      <c r="B358" s="23" t="s">
        <v>29</v>
      </c>
      <c r="C358" s="222">
        <f>0.0543889768569851%*2</f>
        <v>1.0877795371397019E-3</v>
      </c>
      <c r="D358" s="225">
        <v>0</v>
      </c>
      <c r="E358" s="223">
        <f t="shared" si="103"/>
        <v>1.0877795371397019E-3</v>
      </c>
      <c r="F358" s="229">
        <f t="shared" si="109"/>
        <v>70.52</v>
      </c>
      <c r="G358" s="180">
        <f t="shared" si="104"/>
        <v>3.0062271861595224</v>
      </c>
      <c r="H358" s="635">
        <f>ROUND(F358*'Actual Load'!$B$5/'Zonal Load'!$N$5,2)</f>
        <v>68.42</v>
      </c>
      <c r="I358" s="180">
        <f t="shared" si="105"/>
        <v>71.81</v>
      </c>
      <c r="J358" s="180">
        <f t="shared" si="106"/>
        <v>1.2900000000000063</v>
      </c>
      <c r="K358" s="180">
        <f t="shared" si="107"/>
        <v>4.2962271861595287</v>
      </c>
      <c r="L358" s="181">
        <f>E358*'Interest Over Collect'!$J$11</f>
        <v>6.7387942325804542E-2</v>
      </c>
      <c r="M358" s="180">
        <f t="shared" si="110"/>
        <v>4.3636151284853328</v>
      </c>
      <c r="N358" s="86"/>
    </row>
    <row r="359" spans="1:14" s="185" customFormat="1">
      <c r="B359" s="23" t="s">
        <v>30</v>
      </c>
      <c r="C359" s="222">
        <f>0.040943654847444%*2</f>
        <v>8.1887309694888004E-4</v>
      </c>
      <c r="D359" s="225">
        <f>49.558805238415%*2</f>
        <v>0.99117610476829998</v>
      </c>
      <c r="E359" s="223">
        <f t="shared" si="103"/>
        <v>0.99199497786524882</v>
      </c>
      <c r="F359" s="229">
        <f t="shared" si="109"/>
        <v>64309.99</v>
      </c>
      <c r="G359" s="180">
        <f t="shared" si="104"/>
        <v>2741.5134861184929</v>
      </c>
      <c r="H359" s="635">
        <f>ROUND(F359*'Actual Load'!$B$21/'Zonal Load'!$N$21,2)</f>
        <v>61434.84</v>
      </c>
      <c r="I359" s="180">
        <f t="shared" si="105"/>
        <v>64481.87</v>
      </c>
      <c r="J359" s="180">
        <f t="shared" si="106"/>
        <v>171.88000000000466</v>
      </c>
      <c r="K359" s="180">
        <f t="shared" si="107"/>
        <v>2913.3934861184975</v>
      </c>
      <c r="L359" s="181">
        <f>E359*'Interest Over Collect'!$J$11</f>
        <v>61.454088878752167</v>
      </c>
      <c r="M359" s="180">
        <f t="shared" si="110"/>
        <v>2974.8475749972499</v>
      </c>
      <c r="N359" s="86"/>
    </row>
    <row r="360" spans="1:14" s="185" customFormat="1">
      <c r="B360" s="23" t="s">
        <v>31</v>
      </c>
      <c r="C360" s="222">
        <f>0.00875984228956821%*2</f>
        <v>1.7519684579136421E-4</v>
      </c>
      <c r="D360" s="225">
        <v>0</v>
      </c>
      <c r="E360" s="223">
        <f t="shared" si="103"/>
        <v>1.7519684579136421E-4</v>
      </c>
      <c r="F360" s="229">
        <f t="shared" si="109"/>
        <v>11.36</v>
      </c>
      <c r="G360" s="180">
        <f t="shared" si="104"/>
        <v>0.48418039020323628</v>
      </c>
      <c r="H360" s="635">
        <f>ROUND(F360*'Actual Load'!$B$19/'Zonal Load'!$N$19,2)</f>
        <v>10.58</v>
      </c>
      <c r="I360" s="180">
        <f t="shared" si="105"/>
        <v>11.1</v>
      </c>
      <c r="J360" s="180">
        <f t="shared" si="106"/>
        <v>-0.25999999999999979</v>
      </c>
      <c r="K360" s="180">
        <f t="shared" si="107"/>
        <v>0.22418039020323649</v>
      </c>
      <c r="L360" s="181">
        <f>E360*'Interest Over Collect'!$J$11</f>
        <v>1.0853444596775013E-2</v>
      </c>
      <c r="M360" s="180">
        <f t="shared" si="110"/>
        <v>0.2350338348000115</v>
      </c>
      <c r="N360" s="86"/>
    </row>
    <row r="361" spans="1:14" s="185" customFormat="1">
      <c r="B361" s="23" t="s">
        <v>32</v>
      </c>
      <c r="C361" s="222">
        <f>0.00133255683428037%*2</f>
        <v>2.6651136685607399E-5</v>
      </c>
      <c r="D361" s="225">
        <v>0</v>
      </c>
      <c r="E361" s="223">
        <f t="shared" si="103"/>
        <v>2.6651136685607399E-5</v>
      </c>
      <c r="F361" s="229">
        <f t="shared" si="109"/>
        <v>1.73</v>
      </c>
      <c r="G361" s="180">
        <f t="shared" si="104"/>
        <v>7.365405296830542E-2</v>
      </c>
      <c r="H361" s="635">
        <f>ROUND(F361*'Actual Load'!$B$25/'Zonal Load'!$N$25,2)</f>
        <v>1.65</v>
      </c>
      <c r="I361" s="180">
        <f t="shared" si="105"/>
        <v>1.73</v>
      </c>
      <c r="J361" s="180">
        <f t="shared" si="106"/>
        <v>0</v>
      </c>
      <c r="K361" s="180">
        <f t="shared" si="107"/>
        <v>7.365405296830542E-2</v>
      </c>
      <c r="L361" s="181">
        <f>E361*'Interest Over Collect'!$J$11</f>
        <v>1.6510379176733784E-3</v>
      </c>
      <c r="M361" s="180">
        <f t="shared" si="110"/>
        <v>7.5305090885978795E-2</v>
      </c>
      <c r="N361" s="86"/>
    </row>
    <row r="362" spans="1:14" s="185" customFormat="1">
      <c r="B362" s="23" t="s">
        <v>33</v>
      </c>
      <c r="C362" s="222">
        <f>0.00520737437012833%*2</f>
        <v>1.0414748740256659E-4</v>
      </c>
      <c r="D362" s="225">
        <v>0</v>
      </c>
      <c r="E362" s="223">
        <f t="shared" si="103"/>
        <v>1.0414748740256659E-4</v>
      </c>
      <c r="F362" s="229">
        <f t="shared" si="109"/>
        <v>6.75</v>
      </c>
      <c r="G362" s="180">
        <f t="shared" si="104"/>
        <v>0.28782579310424394</v>
      </c>
      <c r="H362" s="635">
        <f>ROUND(F362*'Actual Load'!$B$13/'Zonal Load'!$N$13,2)</f>
        <v>6.55</v>
      </c>
      <c r="I362" s="180">
        <f t="shared" si="105"/>
        <v>6.87</v>
      </c>
      <c r="J362" s="180">
        <f t="shared" si="106"/>
        <v>0.12000000000000011</v>
      </c>
      <c r="K362" s="180">
        <f t="shared" si="107"/>
        <v>0.40782579310424405</v>
      </c>
      <c r="L362" s="181">
        <f>E362*'Interest Over Collect'!$J$11</f>
        <v>6.4519368445890004E-3</v>
      </c>
      <c r="M362" s="180">
        <f t="shared" si="110"/>
        <v>0.41427772994883305</v>
      </c>
      <c r="N362" s="86"/>
    </row>
    <row r="363" spans="1:14" s="185" customFormat="1">
      <c r="B363" s="23" t="s">
        <v>34</v>
      </c>
      <c r="C363" s="222">
        <f>0.0036511927546943%*2</f>
        <v>7.3023855093885993E-5</v>
      </c>
      <c r="D363" s="225">
        <v>0</v>
      </c>
      <c r="E363" s="223">
        <f t="shared" si="103"/>
        <v>7.3023855093885993E-5</v>
      </c>
      <c r="F363" s="229">
        <f t="shared" si="109"/>
        <v>4.7300000000000004</v>
      </c>
      <c r="G363" s="180">
        <f t="shared" si="104"/>
        <v>0.20181138817765806</v>
      </c>
      <c r="H363" s="635">
        <f>ROUND(F363*'Actual Load'!$B$23/'Zonal Load'!$N$23,2)</f>
        <v>4.72</v>
      </c>
      <c r="I363" s="180">
        <f t="shared" si="105"/>
        <v>4.95</v>
      </c>
      <c r="J363" s="180">
        <f t="shared" si="106"/>
        <v>0.21999999999999975</v>
      </c>
      <c r="K363" s="180">
        <f t="shared" si="107"/>
        <v>0.42181138817765784</v>
      </c>
      <c r="L363" s="181">
        <f>E363*'Interest Over Collect'!$J$11</f>
        <v>4.5238278230662378E-3</v>
      </c>
      <c r="M363" s="180">
        <f t="shared" si="110"/>
        <v>0.4263352160007241</v>
      </c>
      <c r="N363" s="86"/>
    </row>
    <row r="364" spans="1:14" s="185" customFormat="1">
      <c r="B364" s="24" t="s">
        <v>35</v>
      </c>
      <c r="C364" s="222">
        <f>0.00288336219285807%*2</f>
        <v>5.7667243857161401E-5</v>
      </c>
      <c r="D364" s="225">
        <v>0</v>
      </c>
      <c r="E364" s="223">
        <f t="shared" si="103"/>
        <v>5.7667243857161401E-5</v>
      </c>
      <c r="F364" s="229">
        <f t="shared" si="109"/>
        <v>3.74</v>
      </c>
      <c r="G364" s="180">
        <f t="shared" si="104"/>
        <v>0.15937129750587031</v>
      </c>
      <c r="H364" s="635">
        <f>ROUND(F364*'Actual Load'!$B$20/'Zonal Load'!$N$20,2)</f>
        <v>3.72</v>
      </c>
      <c r="I364" s="180">
        <f t="shared" si="105"/>
        <v>3.9</v>
      </c>
      <c r="J364" s="180">
        <f t="shared" si="106"/>
        <v>0.1599999999999997</v>
      </c>
      <c r="K364" s="180">
        <f t="shared" si="107"/>
        <v>0.31937129750587001</v>
      </c>
      <c r="L364" s="181">
        <f>E364*'Interest Over Collect'!$J$11</f>
        <v>3.5724857569511491E-3</v>
      </c>
      <c r="M364" s="180">
        <f t="shared" si="110"/>
        <v>0.32294378326282114</v>
      </c>
      <c r="N364" s="86"/>
    </row>
    <row r="365" spans="1:14">
      <c r="A365" s="172"/>
      <c r="B365" s="25"/>
      <c r="C365" s="26">
        <f t="shared" ref="C365:M365" si="111">SUM(C343:C364)</f>
        <v>8.8238952316991304E-3</v>
      </c>
      <c r="D365" s="27">
        <f t="shared" si="111"/>
        <v>0.99117610476829998</v>
      </c>
      <c r="E365" s="101">
        <f t="shared" si="111"/>
        <v>0.99999999999999911</v>
      </c>
      <c r="F365" s="95">
        <f t="shared" si="111"/>
        <v>64828.960000000006</v>
      </c>
      <c r="G365" s="78">
        <f t="shared" si="111"/>
        <v>2763.6364571302233</v>
      </c>
      <c r="H365" s="138">
        <f t="shared" si="111"/>
        <v>61940.340000000004</v>
      </c>
      <c r="I365" s="79">
        <f t="shared" si="111"/>
        <v>65012.420000000006</v>
      </c>
      <c r="J365" s="79">
        <f t="shared" si="111"/>
        <v>183.4600000000047</v>
      </c>
      <c r="K365" s="561">
        <f t="shared" si="111"/>
        <v>2947.0964571302275</v>
      </c>
      <c r="L365" s="79">
        <f t="shared" si="111"/>
        <v>61.949999999999946</v>
      </c>
      <c r="M365" s="79">
        <f t="shared" si="111"/>
        <v>3009.0464571302282</v>
      </c>
    </row>
    <row r="366" spans="1:14">
      <c r="A366" s="172"/>
      <c r="G366" s="21"/>
      <c r="I366" s="80"/>
    </row>
    <row r="367" spans="1:14">
      <c r="A367" s="172"/>
      <c r="E367" s="96" t="s">
        <v>618</v>
      </c>
      <c r="F367" s="178">
        <v>64828.948989303288</v>
      </c>
      <c r="H367" s="139"/>
      <c r="I367" s="29"/>
      <c r="J367" s="112"/>
      <c r="K367" s="81"/>
      <c r="L367" s="84"/>
    </row>
    <row r="368" spans="1:14">
      <c r="A368" s="172"/>
      <c r="E368" s="97" t="s">
        <v>619</v>
      </c>
      <c r="F368" s="179">
        <v>62065.312532173062</v>
      </c>
      <c r="G368" s="632">
        <f>F367-F368</f>
        <v>2763.6364571302256</v>
      </c>
      <c r="H368" s="633"/>
      <c r="L368" s="81"/>
    </row>
    <row r="369" spans="1:14">
      <c r="A369" s="172"/>
      <c r="E369" s="97" t="s">
        <v>160</v>
      </c>
      <c r="F369" s="186">
        <f>I365</f>
        <v>65012.420000000006</v>
      </c>
      <c r="G369" s="632">
        <f>F369-F367</f>
        <v>183.47101069671771</v>
      </c>
      <c r="H369" s="634"/>
      <c r="L369" s="81"/>
    </row>
    <row r="370" spans="1:14">
      <c r="A370" s="172"/>
      <c r="G370" s="632">
        <f>G368+G369</f>
        <v>2947.1074678269433</v>
      </c>
      <c r="H370" s="633">
        <f>F369-F368</f>
        <v>2947.1074678269433</v>
      </c>
    </row>
    <row r="371" spans="1:14">
      <c r="A371" s="172"/>
      <c r="B371" s="82"/>
      <c r="C371" s="82"/>
      <c r="D371" s="82"/>
      <c r="E371" s="82"/>
      <c r="F371" s="82"/>
      <c r="G371" s="82"/>
      <c r="H371" s="82"/>
      <c r="I371" s="82"/>
      <c r="J371" s="111"/>
      <c r="K371" s="82"/>
      <c r="L371" s="82"/>
      <c r="M371" s="82"/>
    </row>
    <row r="372" spans="1:14">
      <c r="A372" s="172"/>
    </row>
    <row r="373" spans="1:14" ht="15.75" customHeight="1">
      <c r="A373" s="172"/>
      <c r="B373" s="88" t="s">
        <v>0</v>
      </c>
      <c r="C373" s="664" t="s">
        <v>134</v>
      </c>
      <c r="D373" s="665"/>
      <c r="E373" s="665"/>
      <c r="F373" s="665"/>
      <c r="G373" s="665"/>
      <c r="H373" s="666"/>
      <c r="I373" s="1"/>
    </row>
    <row r="374" spans="1:14" ht="15.75" customHeight="1">
      <c r="A374" s="172"/>
      <c r="B374" s="89" t="s">
        <v>2</v>
      </c>
      <c r="C374" s="670" t="s">
        <v>153</v>
      </c>
      <c r="D374" s="671"/>
      <c r="E374" s="671"/>
      <c r="F374" s="671"/>
      <c r="G374" s="671"/>
      <c r="H374" s="672"/>
      <c r="I374" s="1"/>
    </row>
    <row r="375" spans="1:14" ht="15.75" customHeight="1">
      <c r="A375" s="172"/>
      <c r="B375" s="89" t="s">
        <v>4</v>
      </c>
      <c r="C375" s="667"/>
      <c r="D375" s="668"/>
      <c r="E375" s="668"/>
      <c r="F375" s="668"/>
      <c r="G375" s="668"/>
      <c r="H375" s="669"/>
      <c r="I375" s="1"/>
    </row>
    <row r="376" spans="1:14" ht="15.75" customHeight="1">
      <c r="A376" s="172"/>
      <c r="B376" s="90" t="s">
        <v>6</v>
      </c>
      <c r="C376" s="661" t="s">
        <v>30</v>
      </c>
      <c r="D376" s="662"/>
      <c r="E376" s="662"/>
      <c r="F376" s="662"/>
      <c r="G376" s="662"/>
      <c r="H376" s="663"/>
      <c r="I376" s="1"/>
    </row>
    <row r="377" spans="1:14">
      <c r="A377" s="172"/>
      <c r="B377" s="76"/>
      <c r="C377" s="76"/>
      <c r="D377" s="76"/>
      <c r="E377" s="76"/>
      <c r="F377" s="76"/>
      <c r="J377" s="105" t="s">
        <v>163</v>
      </c>
      <c r="K377" s="3" t="s">
        <v>42</v>
      </c>
      <c r="M377" s="3" t="s">
        <v>56</v>
      </c>
    </row>
    <row r="378" spans="1:14">
      <c r="A378" s="172"/>
      <c r="B378" s="76"/>
      <c r="C378" s="76"/>
      <c r="D378" s="76"/>
      <c r="E378" s="76"/>
      <c r="F378" s="76"/>
      <c r="G378" s="3" t="s">
        <v>39</v>
      </c>
      <c r="H378" s="134" t="s">
        <v>40</v>
      </c>
      <c r="I378" s="98" t="s">
        <v>41</v>
      </c>
      <c r="J378" s="106" t="s">
        <v>164</v>
      </c>
      <c r="K378" s="4" t="s">
        <v>165</v>
      </c>
      <c r="L378" s="4" t="s">
        <v>55</v>
      </c>
      <c r="M378" s="4" t="s">
        <v>166</v>
      </c>
      <c r="N378" s="202"/>
    </row>
    <row r="379" spans="1:14">
      <c r="A379" s="172"/>
      <c r="B379" s="76"/>
      <c r="C379" s="76"/>
      <c r="D379" s="76"/>
      <c r="E379" s="76"/>
      <c r="F379" s="76"/>
      <c r="G379" s="5"/>
      <c r="H379" s="658" t="s">
        <v>43</v>
      </c>
      <c r="I379" s="659"/>
      <c r="J379" s="660"/>
      <c r="K379" s="6" t="s">
        <v>44</v>
      </c>
      <c r="L379" s="5"/>
      <c r="M379" s="6" t="s">
        <v>45</v>
      </c>
      <c r="N379" s="202"/>
    </row>
    <row r="380" spans="1:14">
      <c r="A380" s="172"/>
      <c r="B380" s="77"/>
      <c r="C380" s="7">
        <v>0.2</v>
      </c>
      <c r="D380" s="7">
        <v>0.8</v>
      </c>
      <c r="E380" s="7"/>
      <c r="F380" s="92" t="s">
        <v>162</v>
      </c>
      <c r="G380" s="8" t="s">
        <v>46</v>
      </c>
      <c r="H380" s="135"/>
      <c r="I380" s="5"/>
      <c r="J380" s="107" t="s">
        <v>47</v>
      </c>
      <c r="K380" s="8" t="s">
        <v>48</v>
      </c>
      <c r="L380" s="9"/>
      <c r="M380" s="8" t="s">
        <v>49</v>
      </c>
    </row>
    <row r="381" spans="1:14">
      <c r="A381" s="172"/>
      <c r="B381" s="10"/>
      <c r="C381" s="69" t="s">
        <v>9</v>
      </c>
      <c r="D381" s="69" t="s">
        <v>10</v>
      </c>
      <c r="E381" s="69" t="s">
        <v>11</v>
      </c>
      <c r="F381" s="93" t="s">
        <v>8</v>
      </c>
      <c r="G381" s="11" t="s">
        <v>50</v>
      </c>
      <c r="H381" s="136" t="s">
        <v>51</v>
      </c>
      <c r="I381" s="12" t="s">
        <v>159</v>
      </c>
      <c r="J381" s="108" t="s">
        <v>50</v>
      </c>
      <c r="K381" s="12" t="s">
        <v>50</v>
      </c>
      <c r="L381" s="12" t="s">
        <v>52</v>
      </c>
      <c r="M381" s="12" t="s">
        <v>53</v>
      </c>
    </row>
    <row r="382" spans="1:14" ht="31.5">
      <c r="A382" s="172"/>
      <c r="B382" s="13" t="s">
        <v>13</v>
      </c>
      <c r="C382" s="14" t="s">
        <v>14</v>
      </c>
      <c r="D382" s="14" t="s">
        <v>14</v>
      </c>
      <c r="E382" s="15" t="s">
        <v>14</v>
      </c>
      <c r="F382" s="94" t="s">
        <v>15</v>
      </c>
      <c r="G382" s="16" t="s">
        <v>54</v>
      </c>
      <c r="H382" s="137"/>
      <c r="I382" s="17"/>
      <c r="J382" s="109" t="s">
        <v>54</v>
      </c>
      <c r="K382" s="17"/>
      <c r="L382" s="17"/>
      <c r="M382" s="16" t="s">
        <v>54</v>
      </c>
    </row>
    <row r="383" spans="1:14" s="185" customFormat="1">
      <c r="B383" s="18" t="s">
        <v>16</v>
      </c>
      <c r="C383" s="222">
        <v>0</v>
      </c>
      <c r="D383" s="225">
        <v>0</v>
      </c>
      <c r="E383" s="223">
        <f t="shared" ref="E383:E406" si="112">C383+D383</f>
        <v>0</v>
      </c>
      <c r="F383" s="226">
        <f>ROUND(+E383*F$409,2)</f>
        <v>0</v>
      </c>
      <c r="G383" s="180">
        <f t="shared" ref="G383:G406" si="113">(F$409-F$410)*E383</f>
        <v>0</v>
      </c>
      <c r="H383" s="635">
        <f>ROUND(F383*'Actual Load'!$B$8/'Zonal Load'!$N$8,2)</f>
        <v>0</v>
      </c>
      <c r="I383" s="180">
        <f t="shared" ref="I383:I406" si="114">ROUND((H383*$H$912)/$H$910,2)</f>
        <v>0</v>
      </c>
      <c r="J383" s="180">
        <f t="shared" ref="J383:J406" si="115">I383-F383</f>
        <v>0</v>
      </c>
      <c r="K383" s="180">
        <f t="shared" ref="K383:K406" si="116">+G383+J383</f>
        <v>0</v>
      </c>
      <c r="L383" s="181">
        <f>E383*'Interest Over Collect'!$J$12</f>
        <v>0</v>
      </c>
      <c r="M383" s="180">
        <f t="shared" ref="M383:M390" si="117">+K383+L383</f>
        <v>0</v>
      </c>
      <c r="N383" s="86"/>
    </row>
    <row r="384" spans="1:14" s="185" customFormat="1">
      <c r="B384" s="23" t="s">
        <v>17</v>
      </c>
      <c r="C384" s="222">
        <v>0</v>
      </c>
      <c r="D384" s="225">
        <v>0</v>
      </c>
      <c r="E384" s="223">
        <f t="shared" si="112"/>
        <v>0</v>
      </c>
      <c r="F384" s="224">
        <f>ROUND(+E384*F$409,2)</f>
        <v>0</v>
      </c>
      <c r="G384" s="180">
        <f t="shared" si="113"/>
        <v>0</v>
      </c>
      <c r="H384" s="635">
        <f>ROUND(F384*'Actual Load'!$B$14/'Zonal Load'!$N$14,2)</f>
        <v>0</v>
      </c>
      <c r="I384" s="180">
        <f t="shared" si="114"/>
        <v>0</v>
      </c>
      <c r="J384" s="180">
        <f t="shared" si="115"/>
        <v>0</v>
      </c>
      <c r="K384" s="180">
        <f t="shared" si="116"/>
        <v>0</v>
      </c>
      <c r="L384" s="181">
        <f>E384*'Interest Over Collect'!$J$12</f>
        <v>0</v>
      </c>
      <c r="M384" s="180">
        <f t="shared" si="117"/>
        <v>0</v>
      </c>
      <c r="N384" s="86"/>
    </row>
    <row r="385" spans="1:14" s="185" customFormat="1">
      <c r="B385" s="23" t="s">
        <v>201</v>
      </c>
      <c r="C385" s="222">
        <f>0%*0.421</f>
        <v>0</v>
      </c>
      <c r="D385" s="225">
        <f>0%*0.421</f>
        <v>0</v>
      </c>
      <c r="E385" s="223">
        <f t="shared" si="112"/>
        <v>0</v>
      </c>
      <c r="F385" s="224">
        <f t="shared" ref="F385:F406" si="118">ROUND(+E385*F$409,2)</f>
        <v>0</v>
      </c>
      <c r="G385" s="180">
        <f t="shared" si="113"/>
        <v>0</v>
      </c>
      <c r="H385" s="635">
        <f>ROUND(F385*'Actual Load'!$B$9/'Zonal Load'!$N$9,2)</f>
        <v>0</v>
      </c>
      <c r="I385" s="180">
        <f t="shared" si="114"/>
        <v>0</v>
      </c>
      <c r="J385" s="180">
        <f t="shared" si="115"/>
        <v>0</v>
      </c>
      <c r="K385" s="180">
        <f t="shared" si="116"/>
        <v>0</v>
      </c>
      <c r="L385" s="181">
        <f>E385*'Interest Over Collect'!$J$12</f>
        <v>0</v>
      </c>
      <c r="M385" s="180">
        <f t="shared" si="117"/>
        <v>0</v>
      </c>
      <c r="N385" s="86"/>
    </row>
    <row r="386" spans="1:14" s="185" customFormat="1">
      <c r="B386" s="132" t="s">
        <v>260</v>
      </c>
      <c r="C386" s="222">
        <f>0%*0.579</f>
        <v>0</v>
      </c>
      <c r="D386" s="225">
        <f>0%*0.579</f>
        <v>0</v>
      </c>
      <c r="E386" s="223">
        <f>C386+D386</f>
        <v>0</v>
      </c>
      <c r="F386" s="224">
        <f t="shared" si="118"/>
        <v>0</v>
      </c>
      <c r="G386" s="180">
        <f>(F$409-F$410)*E386</f>
        <v>0</v>
      </c>
      <c r="H386" s="635">
        <f>ROUND(F386*'Actual Load'!$B$10/'Zonal Load'!$N$10,2)</f>
        <v>0</v>
      </c>
      <c r="I386" s="180">
        <f t="shared" si="114"/>
        <v>0</v>
      </c>
      <c r="J386" s="180">
        <f>I386-F386</f>
        <v>0</v>
      </c>
      <c r="K386" s="180">
        <f>+G386+J386</f>
        <v>0</v>
      </c>
      <c r="L386" s="181">
        <f>E386*'Interest Over Collect'!$J$12</f>
        <v>0</v>
      </c>
      <c r="M386" s="180">
        <f>+K386+L386</f>
        <v>0</v>
      </c>
      <c r="N386" s="86"/>
    </row>
    <row r="387" spans="1:14" s="185" customFormat="1">
      <c r="B387" s="23" t="s">
        <v>18</v>
      </c>
      <c r="C387" s="222">
        <v>0</v>
      </c>
      <c r="D387" s="225">
        <v>0</v>
      </c>
      <c r="E387" s="223">
        <f t="shared" si="112"/>
        <v>0</v>
      </c>
      <c r="F387" s="224">
        <f t="shared" si="118"/>
        <v>0</v>
      </c>
      <c r="G387" s="180">
        <f t="shared" si="113"/>
        <v>0</v>
      </c>
      <c r="H387" s="635">
        <f>ROUND(F387*'Actual Load'!$B$26/'Zonal Load'!$N$26,2)</f>
        <v>0</v>
      </c>
      <c r="I387" s="180">
        <f t="shared" si="114"/>
        <v>0</v>
      </c>
      <c r="J387" s="180">
        <f t="shared" si="115"/>
        <v>0</v>
      </c>
      <c r="K387" s="180">
        <f t="shared" si="116"/>
        <v>0</v>
      </c>
      <c r="L387" s="181">
        <f>E387*'Interest Over Collect'!$J$12</f>
        <v>0</v>
      </c>
      <c r="M387" s="180">
        <f t="shared" si="117"/>
        <v>0</v>
      </c>
      <c r="N387" s="86"/>
    </row>
    <row r="388" spans="1:14" s="185" customFormat="1">
      <c r="B388" s="23" t="s">
        <v>19</v>
      </c>
      <c r="C388" s="222">
        <v>0</v>
      </c>
      <c r="D388" s="225">
        <v>0</v>
      </c>
      <c r="E388" s="223">
        <f t="shared" si="112"/>
        <v>0</v>
      </c>
      <c r="F388" s="224">
        <f t="shared" si="118"/>
        <v>0</v>
      </c>
      <c r="G388" s="180">
        <f t="shared" si="113"/>
        <v>0</v>
      </c>
      <c r="H388" s="635">
        <f>ROUND(F388*'Actual Load'!$B$16/'Zonal Load'!$N$16,2)</f>
        <v>0</v>
      </c>
      <c r="I388" s="180">
        <f t="shared" si="114"/>
        <v>0</v>
      </c>
      <c r="J388" s="180">
        <f t="shared" si="115"/>
        <v>0</v>
      </c>
      <c r="K388" s="180">
        <f t="shared" si="116"/>
        <v>0</v>
      </c>
      <c r="L388" s="181">
        <f>E388*'Interest Over Collect'!$J$12</f>
        <v>0</v>
      </c>
      <c r="M388" s="180">
        <f t="shared" si="117"/>
        <v>0</v>
      </c>
      <c r="N388" s="86"/>
    </row>
    <row r="389" spans="1:14" s="185" customFormat="1">
      <c r="B389" s="23" t="s">
        <v>20</v>
      </c>
      <c r="C389" s="222">
        <v>0</v>
      </c>
      <c r="D389" s="225">
        <v>0</v>
      </c>
      <c r="E389" s="223">
        <f t="shared" si="112"/>
        <v>0</v>
      </c>
      <c r="F389" s="224">
        <f t="shared" si="118"/>
        <v>0</v>
      </c>
      <c r="G389" s="180">
        <f t="shared" si="113"/>
        <v>0</v>
      </c>
      <c r="H389" s="635">
        <f>ROUND(F389*'Actual Load'!$B$22/'Zonal Load'!$N$22,2)</f>
        <v>0</v>
      </c>
      <c r="I389" s="180">
        <f t="shared" si="114"/>
        <v>0</v>
      </c>
      <c r="J389" s="180">
        <f t="shared" si="115"/>
        <v>0</v>
      </c>
      <c r="K389" s="180">
        <f t="shared" si="116"/>
        <v>0</v>
      </c>
      <c r="L389" s="181">
        <f>E389*'Interest Over Collect'!$J$12</f>
        <v>0</v>
      </c>
      <c r="M389" s="180">
        <f t="shared" si="117"/>
        <v>0</v>
      </c>
      <c r="N389" s="86"/>
    </row>
    <row r="390" spans="1:14" s="185" customFormat="1">
      <c r="B390" s="23" t="s">
        <v>21</v>
      </c>
      <c r="C390" s="222">
        <v>0</v>
      </c>
      <c r="D390" s="225">
        <v>0</v>
      </c>
      <c r="E390" s="223">
        <f t="shared" si="112"/>
        <v>0</v>
      </c>
      <c r="F390" s="224">
        <f t="shared" si="118"/>
        <v>0</v>
      </c>
      <c r="G390" s="180">
        <f t="shared" si="113"/>
        <v>0</v>
      </c>
      <c r="H390" s="635">
        <f>ROUND(F390*'Actual Load'!$B$17/'Zonal Load'!$N$17,2)</f>
        <v>0</v>
      </c>
      <c r="I390" s="180">
        <f t="shared" si="114"/>
        <v>0</v>
      </c>
      <c r="J390" s="180">
        <f t="shared" si="115"/>
        <v>0</v>
      </c>
      <c r="K390" s="180">
        <f t="shared" si="116"/>
        <v>0</v>
      </c>
      <c r="L390" s="181">
        <f>E390*'Interest Over Collect'!$J$12</f>
        <v>0</v>
      </c>
      <c r="M390" s="180">
        <f t="shared" si="117"/>
        <v>0</v>
      </c>
      <c r="N390" s="86"/>
    </row>
    <row r="391" spans="1:14" s="185" customFormat="1">
      <c r="B391" s="23" t="s">
        <v>22</v>
      </c>
      <c r="C391" s="222">
        <v>0</v>
      </c>
      <c r="D391" s="225">
        <v>0</v>
      </c>
      <c r="E391" s="223">
        <f t="shared" si="112"/>
        <v>0</v>
      </c>
      <c r="F391" s="224">
        <f t="shared" si="118"/>
        <v>0</v>
      </c>
      <c r="G391" s="180">
        <f t="shared" si="113"/>
        <v>0</v>
      </c>
      <c r="H391" s="635">
        <f>ROUND(F391*'Actual Load'!$B$15/'Zonal Load'!$N$15,2)</f>
        <v>0</v>
      </c>
      <c r="I391" s="180">
        <f t="shared" si="114"/>
        <v>0</v>
      </c>
      <c r="J391" s="180">
        <f t="shared" si="115"/>
        <v>0</v>
      </c>
      <c r="K391" s="180">
        <f t="shared" si="116"/>
        <v>0</v>
      </c>
      <c r="L391" s="181">
        <f>E391*'Interest Over Collect'!$J$12</f>
        <v>0</v>
      </c>
      <c r="M391" s="180">
        <f>+K391+L391</f>
        <v>0</v>
      </c>
      <c r="N391" s="86"/>
    </row>
    <row r="392" spans="1:14" s="185" customFormat="1">
      <c r="B392" s="23" t="s">
        <v>23</v>
      </c>
      <c r="C392" s="222">
        <v>0</v>
      </c>
      <c r="D392" s="225">
        <v>0</v>
      </c>
      <c r="E392" s="223">
        <f t="shared" si="112"/>
        <v>0</v>
      </c>
      <c r="F392" s="224">
        <f t="shared" si="118"/>
        <v>0</v>
      </c>
      <c r="G392" s="180">
        <f t="shared" si="113"/>
        <v>0</v>
      </c>
      <c r="H392" s="635">
        <f>ROUND(F392*'Actual Load'!$B$4/'Zonal Load'!$N$4,2)</f>
        <v>0</v>
      </c>
      <c r="I392" s="180">
        <f t="shared" si="114"/>
        <v>0</v>
      </c>
      <c r="J392" s="180">
        <f t="shared" si="115"/>
        <v>0</v>
      </c>
      <c r="K392" s="180">
        <f t="shared" si="116"/>
        <v>0</v>
      </c>
      <c r="L392" s="181">
        <f>E392*'Interest Over Collect'!$J$12</f>
        <v>0</v>
      </c>
      <c r="M392" s="180">
        <f t="shared" ref="M392:M403" si="119">+K392+L392</f>
        <v>0</v>
      </c>
      <c r="N392" s="86"/>
    </row>
    <row r="393" spans="1:14" s="185" customFormat="1">
      <c r="B393" s="23" t="s">
        <v>24</v>
      </c>
      <c r="C393" s="222">
        <v>0</v>
      </c>
      <c r="D393" s="225">
        <v>0</v>
      </c>
      <c r="E393" s="223">
        <f t="shared" si="112"/>
        <v>0</v>
      </c>
      <c r="F393" s="224">
        <f t="shared" si="118"/>
        <v>0</v>
      </c>
      <c r="G393" s="180">
        <f t="shared" si="113"/>
        <v>0</v>
      </c>
      <c r="H393" s="635">
        <f>ROUND(F393*'Actual Load'!$B$11/'Zonal Load'!$N$11,2)</f>
        <v>0</v>
      </c>
      <c r="I393" s="180">
        <f t="shared" si="114"/>
        <v>0</v>
      </c>
      <c r="J393" s="180">
        <f t="shared" si="115"/>
        <v>0</v>
      </c>
      <c r="K393" s="180">
        <f t="shared" si="116"/>
        <v>0</v>
      </c>
      <c r="L393" s="181">
        <f>E393*'Interest Over Collect'!$J$12</f>
        <v>0</v>
      </c>
      <c r="M393" s="180">
        <f t="shared" si="119"/>
        <v>0</v>
      </c>
      <c r="N393" s="86"/>
    </row>
    <row r="394" spans="1:14" s="185" customFormat="1">
      <c r="B394" s="23" t="s">
        <v>26</v>
      </c>
      <c r="C394" s="222">
        <v>0</v>
      </c>
      <c r="D394" s="225">
        <v>0</v>
      </c>
      <c r="E394" s="223">
        <f t="shared" si="112"/>
        <v>0</v>
      </c>
      <c r="F394" s="224">
        <f t="shared" si="118"/>
        <v>0</v>
      </c>
      <c r="G394" s="180">
        <f t="shared" si="113"/>
        <v>0</v>
      </c>
      <c r="H394" s="635">
        <f>ROUND(F394*'Actual Load'!$B$7/'Zonal Load'!$N$7,2)</f>
        <v>0</v>
      </c>
      <c r="I394" s="180">
        <f t="shared" si="114"/>
        <v>0</v>
      </c>
      <c r="J394" s="180">
        <f t="shared" si="115"/>
        <v>0</v>
      </c>
      <c r="K394" s="180">
        <f t="shared" si="116"/>
        <v>0</v>
      </c>
      <c r="L394" s="181">
        <f>E394*'Interest Over Collect'!$J$12</f>
        <v>0</v>
      </c>
      <c r="M394" s="180">
        <f t="shared" si="119"/>
        <v>0</v>
      </c>
      <c r="N394" s="86"/>
    </row>
    <row r="395" spans="1:14" s="185" customFormat="1">
      <c r="B395" s="23" t="s">
        <v>25</v>
      </c>
      <c r="C395" s="222">
        <v>0</v>
      </c>
      <c r="D395" s="225">
        <v>0</v>
      </c>
      <c r="E395" s="223">
        <f t="shared" si="112"/>
        <v>0</v>
      </c>
      <c r="F395" s="224">
        <f t="shared" si="118"/>
        <v>0</v>
      </c>
      <c r="G395" s="180">
        <f t="shared" si="113"/>
        <v>0</v>
      </c>
      <c r="H395" s="635">
        <f>ROUND(F395*'Actual Load'!$B$6/'Zonal Load'!$N$6,2)</f>
        <v>0</v>
      </c>
      <c r="I395" s="180">
        <f t="shared" si="114"/>
        <v>0</v>
      </c>
      <c r="J395" s="180">
        <f t="shared" si="115"/>
        <v>0</v>
      </c>
      <c r="K395" s="180">
        <f t="shared" si="116"/>
        <v>0</v>
      </c>
      <c r="L395" s="181">
        <f>E395*'Interest Over Collect'!$J$12</f>
        <v>0</v>
      </c>
      <c r="M395" s="180">
        <f t="shared" si="119"/>
        <v>0</v>
      </c>
      <c r="N395" s="86"/>
    </row>
    <row r="396" spans="1:14" s="185" customFormat="1">
      <c r="B396" s="23" t="s">
        <v>119</v>
      </c>
      <c r="C396" s="222">
        <v>0</v>
      </c>
      <c r="D396" s="225">
        <v>0</v>
      </c>
      <c r="E396" s="223">
        <f t="shared" si="112"/>
        <v>0</v>
      </c>
      <c r="F396" s="224">
        <f t="shared" si="118"/>
        <v>0</v>
      </c>
      <c r="G396" s="180">
        <f t="shared" si="113"/>
        <v>0</v>
      </c>
      <c r="H396" s="635">
        <f>ROUND(F396*'Actual Load'!$B$18/'Zonal Load'!$N$18,2)</f>
        <v>0</v>
      </c>
      <c r="I396" s="180">
        <f t="shared" si="114"/>
        <v>0</v>
      </c>
      <c r="J396" s="180">
        <f t="shared" si="115"/>
        <v>0</v>
      </c>
      <c r="K396" s="180">
        <f t="shared" si="116"/>
        <v>0</v>
      </c>
      <c r="L396" s="181">
        <f>E396*'Interest Over Collect'!$J$12</f>
        <v>0</v>
      </c>
      <c r="M396" s="180">
        <f t="shared" si="119"/>
        <v>0</v>
      </c>
      <c r="N396" s="86"/>
    </row>
    <row r="397" spans="1:14" s="185" customFormat="1">
      <c r="B397" s="23" t="s">
        <v>120</v>
      </c>
      <c r="C397" s="222">
        <v>0</v>
      </c>
      <c r="D397" s="225">
        <v>0</v>
      </c>
      <c r="E397" s="223">
        <f t="shared" si="112"/>
        <v>0</v>
      </c>
      <c r="F397" s="224">
        <f t="shared" si="118"/>
        <v>0</v>
      </c>
      <c r="G397" s="180">
        <f t="shared" si="113"/>
        <v>0</v>
      </c>
      <c r="H397" s="635">
        <f>ROUND(F397*'Actual Load'!$B$17/'Zonal Load'!$N$17,2)</f>
        <v>0</v>
      </c>
      <c r="I397" s="180">
        <f t="shared" si="114"/>
        <v>0</v>
      </c>
      <c r="J397" s="180">
        <f t="shared" si="115"/>
        <v>0</v>
      </c>
      <c r="K397" s="180">
        <f t="shared" si="116"/>
        <v>0</v>
      </c>
      <c r="L397" s="181">
        <f>E397*'Interest Over Collect'!$J$12</f>
        <v>0</v>
      </c>
      <c r="M397" s="180">
        <f t="shared" si="119"/>
        <v>0</v>
      </c>
      <c r="N397" s="86"/>
    </row>
    <row r="398" spans="1:14" s="185" customFormat="1">
      <c r="B398" s="23" t="s">
        <v>27</v>
      </c>
      <c r="C398" s="222">
        <v>0</v>
      </c>
      <c r="D398" s="225">
        <v>0</v>
      </c>
      <c r="E398" s="223">
        <f t="shared" si="112"/>
        <v>0</v>
      </c>
      <c r="F398" s="224">
        <f t="shared" si="118"/>
        <v>0</v>
      </c>
      <c r="G398" s="180">
        <f t="shared" si="113"/>
        <v>0</v>
      </c>
      <c r="H398" s="635">
        <f>ROUND(F398*'Actual Load'!$B$12/'Zonal Load'!$N$12,2)</f>
        <v>0</v>
      </c>
      <c r="I398" s="180">
        <f t="shared" si="114"/>
        <v>0</v>
      </c>
      <c r="J398" s="180">
        <f t="shared" si="115"/>
        <v>0</v>
      </c>
      <c r="K398" s="180">
        <f t="shared" si="116"/>
        <v>0</v>
      </c>
      <c r="L398" s="181">
        <f>E398*'Interest Over Collect'!$J$12</f>
        <v>0</v>
      </c>
      <c r="M398" s="180">
        <f t="shared" si="119"/>
        <v>0</v>
      </c>
      <c r="N398" s="86"/>
    </row>
    <row r="399" spans="1:14" s="185" customFormat="1">
      <c r="B399" s="23" t="s">
        <v>28</v>
      </c>
      <c r="C399" s="222">
        <v>0</v>
      </c>
      <c r="D399" s="225">
        <v>0</v>
      </c>
      <c r="E399" s="223">
        <f t="shared" si="112"/>
        <v>0</v>
      </c>
      <c r="F399" s="224">
        <f t="shared" si="118"/>
        <v>0</v>
      </c>
      <c r="G399" s="180">
        <f t="shared" si="113"/>
        <v>0</v>
      </c>
      <c r="H399" s="635">
        <f>ROUND(F399*'Actual Load'!$B$24/'Zonal Load'!$N$24,2)</f>
        <v>0</v>
      </c>
      <c r="I399" s="180">
        <f t="shared" si="114"/>
        <v>0</v>
      </c>
      <c r="J399" s="180">
        <f t="shared" si="115"/>
        <v>0</v>
      </c>
      <c r="K399" s="180">
        <f t="shared" si="116"/>
        <v>0</v>
      </c>
      <c r="L399" s="181">
        <f>E399*'Interest Over Collect'!$J$12</f>
        <v>0</v>
      </c>
      <c r="M399" s="180">
        <f t="shared" si="119"/>
        <v>0</v>
      </c>
      <c r="N399" s="86"/>
    </row>
    <row r="400" spans="1:14" s="185" customFormat="1">
      <c r="B400" s="23" t="s">
        <v>29</v>
      </c>
      <c r="C400" s="222">
        <v>0</v>
      </c>
      <c r="D400" s="225">
        <v>0</v>
      </c>
      <c r="E400" s="223">
        <f t="shared" si="112"/>
        <v>0</v>
      </c>
      <c r="F400" s="224">
        <f t="shared" si="118"/>
        <v>0</v>
      </c>
      <c r="G400" s="180">
        <f t="shared" si="113"/>
        <v>0</v>
      </c>
      <c r="H400" s="635">
        <f>ROUND(F400*'Actual Load'!$B$5/'Zonal Load'!$N$5,2)</f>
        <v>0</v>
      </c>
      <c r="I400" s="180">
        <f t="shared" si="114"/>
        <v>0</v>
      </c>
      <c r="J400" s="180">
        <f t="shared" si="115"/>
        <v>0</v>
      </c>
      <c r="K400" s="180">
        <f t="shared" si="116"/>
        <v>0</v>
      </c>
      <c r="L400" s="181">
        <f>E400*'Interest Over Collect'!$J$12</f>
        <v>0</v>
      </c>
      <c r="M400" s="180">
        <f t="shared" si="119"/>
        <v>0</v>
      </c>
      <c r="N400" s="86"/>
    </row>
    <row r="401" spans="1:14" s="185" customFormat="1">
      <c r="B401" s="23" t="s">
        <v>30</v>
      </c>
      <c r="C401" s="222">
        <v>0</v>
      </c>
      <c r="D401" s="225">
        <v>0</v>
      </c>
      <c r="E401" s="223">
        <v>1</v>
      </c>
      <c r="F401" s="224">
        <f t="shared" si="118"/>
        <v>17235.55</v>
      </c>
      <c r="G401" s="180">
        <f t="shared" si="113"/>
        <v>744.44457129541843</v>
      </c>
      <c r="H401" s="635">
        <f>ROUND(F401*'Actual Load'!$B$21/'Zonal Load'!$N$21,2)</f>
        <v>16464.990000000002</v>
      </c>
      <c r="I401" s="180">
        <f t="shared" si="114"/>
        <v>17281.62</v>
      </c>
      <c r="J401" s="180">
        <f t="shared" si="115"/>
        <v>46.069999999999709</v>
      </c>
      <c r="K401" s="180">
        <f t="shared" si="116"/>
        <v>790.51457129541814</v>
      </c>
      <c r="L401" s="181">
        <f>E401*'Interest Over Collect'!$J$12</f>
        <v>16.47</v>
      </c>
      <c r="M401" s="180">
        <f t="shared" si="119"/>
        <v>806.98457129541816</v>
      </c>
      <c r="N401" s="86"/>
    </row>
    <row r="402" spans="1:14" s="185" customFormat="1">
      <c r="B402" s="23" t="s">
        <v>31</v>
      </c>
      <c r="C402" s="222">
        <v>0</v>
      </c>
      <c r="D402" s="225">
        <v>0</v>
      </c>
      <c r="E402" s="223">
        <f t="shared" si="112"/>
        <v>0</v>
      </c>
      <c r="F402" s="224">
        <f t="shared" si="118"/>
        <v>0</v>
      </c>
      <c r="G402" s="180">
        <f t="shared" si="113"/>
        <v>0</v>
      </c>
      <c r="H402" s="635">
        <f>ROUND(F402*'Actual Load'!$B$19/'Zonal Load'!$N$19,2)</f>
        <v>0</v>
      </c>
      <c r="I402" s="180">
        <f t="shared" si="114"/>
        <v>0</v>
      </c>
      <c r="J402" s="180">
        <f t="shared" si="115"/>
        <v>0</v>
      </c>
      <c r="K402" s="180">
        <f t="shared" si="116"/>
        <v>0</v>
      </c>
      <c r="L402" s="181">
        <f>E402*'Interest Over Collect'!$J$12</f>
        <v>0</v>
      </c>
      <c r="M402" s="180">
        <f t="shared" si="119"/>
        <v>0</v>
      </c>
      <c r="N402" s="86"/>
    </row>
    <row r="403" spans="1:14" s="185" customFormat="1">
      <c r="B403" s="23" t="s">
        <v>32</v>
      </c>
      <c r="C403" s="222">
        <v>0</v>
      </c>
      <c r="D403" s="225">
        <v>0</v>
      </c>
      <c r="E403" s="223">
        <f t="shared" si="112"/>
        <v>0</v>
      </c>
      <c r="F403" s="224">
        <f t="shared" si="118"/>
        <v>0</v>
      </c>
      <c r="G403" s="180">
        <f t="shared" si="113"/>
        <v>0</v>
      </c>
      <c r="H403" s="635">
        <f>ROUND(F403*'Actual Load'!$B$25/'Zonal Load'!$N$25,2)</f>
        <v>0</v>
      </c>
      <c r="I403" s="180">
        <f t="shared" si="114"/>
        <v>0</v>
      </c>
      <c r="J403" s="180">
        <f t="shared" si="115"/>
        <v>0</v>
      </c>
      <c r="K403" s="180">
        <f t="shared" si="116"/>
        <v>0</v>
      </c>
      <c r="L403" s="181">
        <f>E403*'Interest Over Collect'!$J$12</f>
        <v>0</v>
      </c>
      <c r="M403" s="180">
        <f t="shared" si="119"/>
        <v>0</v>
      </c>
      <c r="N403" s="86"/>
    </row>
    <row r="404" spans="1:14" s="185" customFormat="1">
      <c r="B404" s="23" t="s">
        <v>33</v>
      </c>
      <c r="C404" s="222">
        <v>0</v>
      </c>
      <c r="D404" s="225">
        <v>0</v>
      </c>
      <c r="E404" s="223">
        <f t="shared" si="112"/>
        <v>0</v>
      </c>
      <c r="F404" s="224">
        <f t="shared" si="118"/>
        <v>0</v>
      </c>
      <c r="G404" s="180">
        <f t="shared" si="113"/>
        <v>0</v>
      </c>
      <c r="H404" s="635">
        <f>ROUND(F404*'Actual Load'!$B$13/'Zonal Load'!$N$13,2)</f>
        <v>0</v>
      </c>
      <c r="I404" s="180">
        <f t="shared" si="114"/>
        <v>0</v>
      </c>
      <c r="J404" s="180">
        <f t="shared" si="115"/>
        <v>0</v>
      </c>
      <c r="K404" s="180">
        <f t="shared" si="116"/>
        <v>0</v>
      </c>
      <c r="L404" s="181">
        <f>E404*'Interest Over Collect'!$J$12</f>
        <v>0</v>
      </c>
      <c r="M404" s="180">
        <f>+K404+L404</f>
        <v>0</v>
      </c>
      <c r="N404" s="86"/>
    </row>
    <row r="405" spans="1:14" s="185" customFormat="1">
      <c r="B405" s="23" t="s">
        <v>34</v>
      </c>
      <c r="C405" s="222">
        <v>0</v>
      </c>
      <c r="D405" s="225">
        <v>0</v>
      </c>
      <c r="E405" s="223">
        <f t="shared" si="112"/>
        <v>0</v>
      </c>
      <c r="F405" s="224">
        <f t="shared" si="118"/>
        <v>0</v>
      </c>
      <c r="G405" s="180">
        <f t="shared" si="113"/>
        <v>0</v>
      </c>
      <c r="H405" s="635">
        <f>ROUND(F405*'Actual Load'!$B$23/'Zonal Load'!$N$23,2)</f>
        <v>0</v>
      </c>
      <c r="I405" s="180">
        <f t="shared" si="114"/>
        <v>0</v>
      </c>
      <c r="J405" s="180">
        <f t="shared" si="115"/>
        <v>0</v>
      </c>
      <c r="K405" s="180">
        <f t="shared" si="116"/>
        <v>0</v>
      </c>
      <c r="L405" s="181">
        <f>E405*'Interest Over Collect'!$J$12</f>
        <v>0</v>
      </c>
      <c r="M405" s="180">
        <f>+K405+L405</f>
        <v>0</v>
      </c>
      <c r="N405" s="86"/>
    </row>
    <row r="406" spans="1:14" s="185" customFormat="1">
      <c r="B406" s="24" t="s">
        <v>35</v>
      </c>
      <c r="C406" s="222">
        <v>0</v>
      </c>
      <c r="D406" s="225">
        <v>0</v>
      </c>
      <c r="E406" s="223">
        <f t="shared" si="112"/>
        <v>0</v>
      </c>
      <c r="F406" s="224">
        <f t="shared" si="118"/>
        <v>0</v>
      </c>
      <c r="G406" s="180">
        <f t="shared" si="113"/>
        <v>0</v>
      </c>
      <c r="H406" s="635">
        <f>ROUND(F406*'Actual Load'!$B$20/'Zonal Load'!$N$20,2)</f>
        <v>0</v>
      </c>
      <c r="I406" s="180">
        <f t="shared" si="114"/>
        <v>0</v>
      </c>
      <c r="J406" s="180">
        <f t="shared" si="115"/>
        <v>0</v>
      </c>
      <c r="K406" s="180">
        <f t="shared" si="116"/>
        <v>0</v>
      </c>
      <c r="L406" s="181">
        <f>E406*'Interest Over Collect'!$J$12</f>
        <v>0</v>
      </c>
      <c r="M406" s="180">
        <f>+K406+L406</f>
        <v>0</v>
      </c>
      <c r="N406" s="86"/>
    </row>
    <row r="407" spans="1:14">
      <c r="A407" s="172"/>
      <c r="B407" s="25"/>
      <c r="C407" s="26">
        <f>SUM(C383:C406)</f>
        <v>0</v>
      </c>
      <c r="D407" s="27">
        <f>SUM(D383:D406)</f>
        <v>0</v>
      </c>
      <c r="E407" s="101">
        <f>SUM(E383:E406)</f>
        <v>1</v>
      </c>
      <c r="F407" s="95">
        <f>SUM(F383:F406)</f>
        <v>17235.55</v>
      </c>
      <c r="G407" s="78">
        <f t="shared" ref="G407:M407" si="120">SUM(G385:G406)</f>
        <v>744.44457129541843</v>
      </c>
      <c r="H407" s="636">
        <f t="shared" si="120"/>
        <v>16464.990000000002</v>
      </c>
      <c r="I407" s="79">
        <f t="shared" si="120"/>
        <v>17281.62</v>
      </c>
      <c r="J407" s="79">
        <f t="shared" si="120"/>
        <v>46.069999999999709</v>
      </c>
      <c r="K407" s="561">
        <f t="shared" si="120"/>
        <v>790.51457129541814</v>
      </c>
      <c r="L407" s="79">
        <f t="shared" si="120"/>
        <v>16.47</v>
      </c>
      <c r="M407" s="79">
        <f t="shared" si="120"/>
        <v>806.98457129541816</v>
      </c>
    </row>
    <row r="408" spans="1:14">
      <c r="A408" s="172"/>
      <c r="G408" s="21"/>
      <c r="I408" s="80"/>
    </row>
    <row r="409" spans="1:14">
      <c r="A409" s="172"/>
      <c r="E409" s="96" t="s">
        <v>618</v>
      </c>
      <c r="F409" s="178">
        <v>17235.548651717618</v>
      </c>
      <c r="H409" s="83"/>
    </row>
    <row r="410" spans="1:14">
      <c r="A410" s="172"/>
      <c r="E410" s="97" t="s">
        <v>619</v>
      </c>
      <c r="F410" s="179">
        <v>16491.104080422199</v>
      </c>
      <c r="G410" s="632">
        <f>F409-F410</f>
        <v>744.44457129541843</v>
      </c>
      <c r="H410" s="633"/>
      <c r="I410" s="29"/>
      <c r="L410" s="84"/>
    </row>
    <row r="411" spans="1:14">
      <c r="A411" s="172"/>
      <c r="E411" s="97" t="s">
        <v>160</v>
      </c>
      <c r="F411" s="186">
        <f>I407</f>
        <v>17281.62</v>
      </c>
      <c r="G411" s="632">
        <f>F411-F409</f>
        <v>46.071348282381223</v>
      </c>
      <c r="H411" s="634"/>
    </row>
    <row r="412" spans="1:14">
      <c r="A412" s="172"/>
      <c r="G412" s="632">
        <f>G410+G411</f>
        <v>790.51591957779965</v>
      </c>
      <c r="H412" s="633">
        <f>F411-F410</f>
        <v>790.51591957779965</v>
      </c>
      <c r="L412" s="81"/>
    </row>
    <row r="413" spans="1:14">
      <c r="A413" s="172"/>
      <c r="B413" s="82"/>
      <c r="C413" s="82"/>
      <c r="D413" s="82"/>
      <c r="E413" s="82"/>
      <c r="F413" s="82"/>
      <c r="G413" s="82"/>
      <c r="H413" s="82"/>
      <c r="I413" s="82"/>
      <c r="J413" s="111"/>
      <c r="K413" s="82"/>
      <c r="L413" s="82"/>
      <c r="M413" s="82"/>
    </row>
    <row r="414" spans="1:14">
      <c r="A414" s="172"/>
      <c r="L414" s="81"/>
    </row>
    <row r="415" spans="1:14">
      <c r="A415" s="172"/>
      <c r="B415" s="640" t="s">
        <v>0</v>
      </c>
      <c r="C415" s="641"/>
      <c r="D415" s="642" t="s">
        <v>182</v>
      </c>
      <c r="E415" s="643"/>
      <c r="F415" s="643"/>
      <c r="G415" s="643"/>
      <c r="H415" s="644"/>
      <c r="I415" s="150"/>
      <c r="J415" s="1"/>
    </row>
    <row r="416" spans="1:14">
      <c r="A416" s="172"/>
      <c r="B416" s="645" t="s">
        <v>2</v>
      </c>
      <c r="C416" s="646"/>
      <c r="D416" s="647" t="s">
        <v>183</v>
      </c>
      <c r="E416" s="648"/>
      <c r="F416" s="648"/>
      <c r="G416" s="648"/>
      <c r="H416" s="649"/>
      <c r="I416" s="151"/>
      <c r="J416" s="1"/>
    </row>
    <row r="417" spans="1:14">
      <c r="A417" s="172"/>
      <c r="B417" s="645" t="s">
        <v>4</v>
      </c>
      <c r="C417" s="646"/>
      <c r="D417" s="650">
        <v>115</v>
      </c>
      <c r="E417" s="651"/>
      <c r="F417" s="651"/>
      <c r="G417" s="651"/>
      <c r="H417" s="652"/>
      <c r="I417" s="152"/>
      <c r="J417" s="1"/>
    </row>
    <row r="418" spans="1:14">
      <c r="A418" s="172"/>
      <c r="B418" s="653" t="s">
        <v>6</v>
      </c>
      <c r="C418" s="654"/>
      <c r="D418" s="655" t="s">
        <v>7</v>
      </c>
      <c r="E418" s="656"/>
      <c r="F418" s="656"/>
      <c r="G418" s="656"/>
      <c r="H418" s="657"/>
      <c r="I418" s="153"/>
      <c r="J418" s="1"/>
    </row>
    <row r="419" spans="1:14">
      <c r="A419" s="172"/>
      <c r="B419" s="76"/>
      <c r="C419" s="76"/>
      <c r="D419" s="76"/>
      <c r="E419" s="76"/>
      <c r="F419" s="76"/>
      <c r="J419" s="105" t="s">
        <v>163</v>
      </c>
      <c r="K419" s="3" t="s">
        <v>42</v>
      </c>
      <c r="M419" s="3" t="s">
        <v>56</v>
      </c>
    </row>
    <row r="420" spans="1:14">
      <c r="A420" s="172"/>
      <c r="B420" s="76"/>
      <c r="C420" s="76"/>
      <c r="D420" s="76"/>
      <c r="E420" s="76"/>
      <c r="F420" s="76"/>
      <c r="G420" s="3" t="s">
        <v>39</v>
      </c>
      <c r="H420" s="134" t="s">
        <v>40</v>
      </c>
      <c r="I420" s="98" t="s">
        <v>41</v>
      </c>
      <c r="J420" s="106" t="s">
        <v>164</v>
      </c>
      <c r="K420" s="4" t="s">
        <v>165</v>
      </c>
      <c r="L420" s="4" t="s">
        <v>55</v>
      </c>
      <c r="M420" s="4" t="s">
        <v>166</v>
      </c>
      <c r="N420" s="202"/>
    </row>
    <row r="421" spans="1:14">
      <c r="A421" s="172"/>
      <c r="B421" s="76"/>
      <c r="C421" s="76"/>
      <c r="D421" s="76"/>
      <c r="E421" s="76"/>
      <c r="F421" s="76"/>
      <c r="G421" s="5"/>
      <c r="H421" s="658" t="s">
        <v>43</v>
      </c>
      <c r="I421" s="659"/>
      <c r="J421" s="660"/>
      <c r="K421" s="6" t="s">
        <v>44</v>
      </c>
      <c r="L421" s="5"/>
      <c r="M421" s="6" t="s">
        <v>45</v>
      </c>
      <c r="N421" s="202"/>
    </row>
    <row r="422" spans="1:14">
      <c r="A422" s="172"/>
      <c r="B422" s="77"/>
      <c r="C422" s="7">
        <v>0.2</v>
      </c>
      <c r="D422" s="7">
        <v>0.8</v>
      </c>
      <c r="E422" s="7"/>
      <c r="F422" s="92" t="s">
        <v>162</v>
      </c>
      <c r="G422" s="8" t="s">
        <v>46</v>
      </c>
      <c r="H422" s="135"/>
      <c r="I422" s="5"/>
      <c r="J422" s="107" t="s">
        <v>47</v>
      </c>
      <c r="K422" s="8" t="s">
        <v>48</v>
      </c>
      <c r="L422" s="9"/>
      <c r="M422" s="8" t="s">
        <v>49</v>
      </c>
    </row>
    <row r="423" spans="1:14">
      <c r="A423" s="172"/>
      <c r="B423" s="10"/>
      <c r="C423" s="69" t="s">
        <v>9</v>
      </c>
      <c r="D423" s="69" t="s">
        <v>10</v>
      </c>
      <c r="E423" s="69" t="s">
        <v>11</v>
      </c>
      <c r="F423" s="93" t="s">
        <v>8</v>
      </c>
      <c r="G423" s="11" t="s">
        <v>50</v>
      </c>
      <c r="H423" s="136" t="s">
        <v>51</v>
      </c>
      <c r="I423" s="12" t="s">
        <v>159</v>
      </c>
      <c r="J423" s="108" t="s">
        <v>50</v>
      </c>
      <c r="K423" s="12" t="s">
        <v>50</v>
      </c>
      <c r="L423" s="12" t="s">
        <v>52</v>
      </c>
      <c r="M423" s="12" t="s">
        <v>53</v>
      </c>
    </row>
    <row r="424" spans="1:14" ht="31.5">
      <c r="A424" s="172"/>
      <c r="B424" s="13" t="s">
        <v>13</v>
      </c>
      <c r="C424" s="14" t="s">
        <v>14</v>
      </c>
      <c r="D424" s="14" t="s">
        <v>14</v>
      </c>
      <c r="E424" s="15" t="s">
        <v>14</v>
      </c>
      <c r="F424" s="94" t="s">
        <v>15</v>
      </c>
      <c r="G424" s="16" t="s">
        <v>54</v>
      </c>
      <c r="H424" s="137"/>
      <c r="I424" s="17"/>
      <c r="J424" s="109" t="s">
        <v>54</v>
      </c>
      <c r="K424" s="17"/>
      <c r="L424" s="17"/>
      <c r="M424" s="16" t="s">
        <v>54</v>
      </c>
    </row>
    <row r="425" spans="1:14" s="185" customFormat="1">
      <c r="B425" s="18" t="s">
        <v>16</v>
      </c>
      <c r="C425" s="222">
        <v>0</v>
      </c>
      <c r="D425" s="225">
        <v>0</v>
      </c>
      <c r="E425" s="223">
        <f t="shared" ref="E425:E442" si="121">C425+D425</f>
        <v>0</v>
      </c>
      <c r="F425" s="226">
        <f t="shared" ref="F425:F448" si="122">ROUND(+E425*F$451,2)</f>
        <v>0</v>
      </c>
      <c r="G425" s="180">
        <f t="shared" ref="G425:G448" si="123">(F$409-F$410)*E425</f>
        <v>0</v>
      </c>
      <c r="H425" s="635">
        <f>ROUND(F425*'Actual Load'!$B$8/'Zonal Load'!$N$8,2)</f>
        <v>0</v>
      </c>
      <c r="I425" s="180">
        <f t="shared" ref="I425:I448" si="124">ROUND((H425*$H$912)/$H$910,2)</f>
        <v>0</v>
      </c>
      <c r="J425" s="180">
        <f t="shared" ref="J425:J448" si="125">I425-F425</f>
        <v>0</v>
      </c>
      <c r="K425" s="180">
        <f t="shared" ref="K425:K448" si="126">+G425+J425</f>
        <v>0</v>
      </c>
      <c r="L425" s="181">
        <f>E425*'Interest Over Collect'!$J$13</f>
        <v>0</v>
      </c>
      <c r="M425" s="180">
        <f t="shared" ref="M425:M432" si="127">+K425+L425</f>
        <v>0</v>
      </c>
      <c r="N425" s="86"/>
    </row>
    <row r="426" spans="1:14" s="185" customFormat="1">
      <c r="B426" s="23" t="s">
        <v>17</v>
      </c>
      <c r="C426" s="222">
        <v>0</v>
      </c>
      <c r="D426" s="225">
        <v>0</v>
      </c>
      <c r="E426" s="223">
        <f t="shared" si="121"/>
        <v>0</v>
      </c>
      <c r="F426" s="224">
        <f t="shared" si="122"/>
        <v>0</v>
      </c>
      <c r="G426" s="180">
        <f t="shared" si="123"/>
        <v>0</v>
      </c>
      <c r="H426" s="635">
        <f>ROUND(F426*'Actual Load'!$B$14/'Zonal Load'!$N$14,2)</f>
        <v>0</v>
      </c>
      <c r="I426" s="180">
        <f t="shared" si="124"/>
        <v>0</v>
      </c>
      <c r="J426" s="180">
        <f t="shared" si="125"/>
        <v>0</v>
      </c>
      <c r="K426" s="180">
        <f t="shared" si="126"/>
        <v>0</v>
      </c>
      <c r="L426" s="181">
        <f>E426*'Interest Over Collect'!$J$13</f>
        <v>0</v>
      </c>
      <c r="M426" s="180">
        <f t="shared" si="127"/>
        <v>0</v>
      </c>
      <c r="N426" s="86"/>
    </row>
    <row r="427" spans="1:14" s="185" customFormat="1">
      <c r="B427" s="23" t="s">
        <v>201</v>
      </c>
      <c r="C427" s="222">
        <f>0%*0.421</f>
        <v>0</v>
      </c>
      <c r="D427" s="225">
        <f>0%*0.421</f>
        <v>0</v>
      </c>
      <c r="E427" s="223">
        <f t="shared" si="121"/>
        <v>0</v>
      </c>
      <c r="F427" s="224">
        <f t="shared" si="122"/>
        <v>0</v>
      </c>
      <c r="G427" s="180">
        <f t="shared" si="123"/>
        <v>0</v>
      </c>
      <c r="H427" s="635">
        <f>ROUND(F427*'Actual Load'!$B$9/'Zonal Load'!$N$9,2)</f>
        <v>0</v>
      </c>
      <c r="I427" s="180">
        <f t="shared" si="124"/>
        <v>0</v>
      </c>
      <c r="J427" s="180">
        <f t="shared" si="125"/>
        <v>0</v>
      </c>
      <c r="K427" s="180">
        <f t="shared" si="126"/>
        <v>0</v>
      </c>
      <c r="L427" s="181">
        <f>E427*'Interest Over Collect'!$J$13</f>
        <v>0</v>
      </c>
      <c r="M427" s="180">
        <f t="shared" si="127"/>
        <v>0</v>
      </c>
      <c r="N427" s="86"/>
    </row>
    <row r="428" spans="1:14" s="185" customFormat="1">
      <c r="B428" s="132" t="s">
        <v>260</v>
      </c>
      <c r="C428" s="222">
        <f>0%*0.579</f>
        <v>0</v>
      </c>
      <c r="D428" s="225">
        <f>0%*0.579</f>
        <v>0</v>
      </c>
      <c r="E428" s="223">
        <f>C428+D428</f>
        <v>0</v>
      </c>
      <c r="F428" s="224">
        <f t="shared" si="122"/>
        <v>0</v>
      </c>
      <c r="G428" s="180">
        <f>(F$409-F$410)*E428</f>
        <v>0</v>
      </c>
      <c r="H428" s="635">
        <f>ROUND(F428*'Actual Load'!$B$10/'Zonal Load'!$N$10,2)</f>
        <v>0</v>
      </c>
      <c r="I428" s="180">
        <f t="shared" si="124"/>
        <v>0</v>
      </c>
      <c r="J428" s="180">
        <f>I428-F428</f>
        <v>0</v>
      </c>
      <c r="K428" s="180">
        <f>+G428+J428</f>
        <v>0</v>
      </c>
      <c r="L428" s="181">
        <f>E428*'Interest Over Collect'!$J$13</f>
        <v>0</v>
      </c>
      <c r="M428" s="180">
        <f>+K428+L428</f>
        <v>0</v>
      </c>
      <c r="N428" s="86"/>
    </row>
    <row r="429" spans="1:14" s="185" customFormat="1">
      <c r="B429" s="23" t="s">
        <v>18</v>
      </c>
      <c r="C429" s="222">
        <v>0</v>
      </c>
      <c r="D429" s="225">
        <v>0</v>
      </c>
      <c r="E429" s="223">
        <f t="shared" si="121"/>
        <v>0</v>
      </c>
      <c r="F429" s="224">
        <f t="shared" si="122"/>
        <v>0</v>
      </c>
      <c r="G429" s="180">
        <f t="shared" si="123"/>
        <v>0</v>
      </c>
      <c r="H429" s="635">
        <f>ROUND(F429*'Actual Load'!$B$26/'Zonal Load'!$N$26,2)</f>
        <v>0</v>
      </c>
      <c r="I429" s="180">
        <f t="shared" si="124"/>
        <v>0</v>
      </c>
      <c r="J429" s="180">
        <f t="shared" si="125"/>
        <v>0</v>
      </c>
      <c r="K429" s="180">
        <f t="shared" si="126"/>
        <v>0</v>
      </c>
      <c r="L429" s="181">
        <f>E429*'Interest Over Collect'!$J$13</f>
        <v>0</v>
      </c>
      <c r="M429" s="180">
        <f t="shared" si="127"/>
        <v>0</v>
      </c>
      <c r="N429" s="86"/>
    </row>
    <row r="430" spans="1:14" s="185" customFormat="1">
      <c r="B430" s="23" t="s">
        <v>19</v>
      </c>
      <c r="C430" s="222">
        <v>0</v>
      </c>
      <c r="D430" s="225">
        <v>0</v>
      </c>
      <c r="E430" s="223">
        <f t="shared" si="121"/>
        <v>0</v>
      </c>
      <c r="F430" s="224">
        <f t="shared" si="122"/>
        <v>0</v>
      </c>
      <c r="G430" s="180">
        <f t="shared" si="123"/>
        <v>0</v>
      </c>
      <c r="H430" s="635">
        <f>ROUND(F430*'Actual Load'!$B$16/'Zonal Load'!$N$16,2)</f>
        <v>0</v>
      </c>
      <c r="I430" s="180">
        <f t="shared" si="124"/>
        <v>0</v>
      </c>
      <c r="J430" s="180">
        <f t="shared" si="125"/>
        <v>0</v>
      </c>
      <c r="K430" s="180">
        <f t="shared" si="126"/>
        <v>0</v>
      </c>
      <c r="L430" s="181">
        <f>E430*'Interest Over Collect'!$J$13</f>
        <v>0</v>
      </c>
      <c r="M430" s="180">
        <f t="shared" si="127"/>
        <v>0</v>
      </c>
      <c r="N430" s="86"/>
    </row>
    <row r="431" spans="1:14" s="185" customFormat="1">
      <c r="B431" s="23" t="s">
        <v>20</v>
      </c>
      <c r="C431" s="222">
        <v>0</v>
      </c>
      <c r="D431" s="225">
        <v>0</v>
      </c>
      <c r="E431" s="223">
        <f t="shared" si="121"/>
        <v>0</v>
      </c>
      <c r="F431" s="224">
        <f t="shared" si="122"/>
        <v>0</v>
      </c>
      <c r="G431" s="180">
        <f t="shared" si="123"/>
        <v>0</v>
      </c>
      <c r="H431" s="635">
        <f>ROUND(F431*'Actual Load'!$B$22/'Zonal Load'!$N$22,2)</f>
        <v>0</v>
      </c>
      <c r="I431" s="180">
        <f t="shared" si="124"/>
        <v>0</v>
      </c>
      <c r="J431" s="180">
        <f t="shared" si="125"/>
        <v>0</v>
      </c>
      <c r="K431" s="180">
        <f t="shared" si="126"/>
        <v>0</v>
      </c>
      <c r="L431" s="181">
        <f>E431*'Interest Over Collect'!$J$13</f>
        <v>0</v>
      </c>
      <c r="M431" s="180">
        <f t="shared" si="127"/>
        <v>0</v>
      </c>
      <c r="N431" s="86"/>
    </row>
    <row r="432" spans="1:14" s="185" customFormat="1">
      <c r="B432" s="23" t="s">
        <v>21</v>
      </c>
      <c r="C432" s="222">
        <v>0</v>
      </c>
      <c r="D432" s="225">
        <v>0</v>
      </c>
      <c r="E432" s="223">
        <f t="shared" si="121"/>
        <v>0</v>
      </c>
      <c r="F432" s="224">
        <f t="shared" si="122"/>
        <v>0</v>
      </c>
      <c r="G432" s="180">
        <f t="shared" si="123"/>
        <v>0</v>
      </c>
      <c r="H432" s="635">
        <f>ROUND(F432*'Actual Load'!$B$17/'Zonal Load'!$N$17,2)</f>
        <v>0</v>
      </c>
      <c r="I432" s="180">
        <f t="shared" si="124"/>
        <v>0</v>
      </c>
      <c r="J432" s="180">
        <f t="shared" si="125"/>
        <v>0</v>
      </c>
      <c r="K432" s="180">
        <f t="shared" si="126"/>
        <v>0</v>
      </c>
      <c r="L432" s="181">
        <f>E432*'Interest Over Collect'!$J$13</f>
        <v>0</v>
      </c>
      <c r="M432" s="180">
        <f t="shared" si="127"/>
        <v>0</v>
      </c>
      <c r="N432" s="86"/>
    </row>
    <row r="433" spans="2:14" s="185" customFormat="1">
      <c r="B433" s="23" t="s">
        <v>22</v>
      </c>
      <c r="C433" s="222">
        <v>0</v>
      </c>
      <c r="D433" s="225">
        <v>0</v>
      </c>
      <c r="E433" s="223">
        <f t="shared" si="121"/>
        <v>0</v>
      </c>
      <c r="F433" s="224">
        <f t="shared" si="122"/>
        <v>0</v>
      </c>
      <c r="G433" s="180">
        <f t="shared" si="123"/>
        <v>0</v>
      </c>
      <c r="H433" s="635">
        <f>ROUND(F433*'Actual Load'!$B$15/'Zonal Load'!$N$15,2)</f>
        <v>0</v>
      </c>
      <c r="I433" s="180">
        <f t="shared" si="124"/>
        <v>0</v>
      </c>
      <c r="J433" s="180">
        <f t="shared" si="125"/>
        <v>0</v>
      </c>
      <c r="K433" s="180">
        <f t="shared" si="126"/>
        <v>0</v>
      </c>
      <c r="L433" s="181">
        <f>E433*'Interest Over Collect'!$J$13</f>
        <v>0</v>
      </c>
      <c r="M433" s="180">
        <f>+K433+L433</f>
        <v>0</v>
      </c>
      <c r="N433" s="86"/>
    </row>
    <row r="434" spans="2:14" s="185" customFormat="1">
      <c r="B434" s="23" t="s">
        <v>23</v>
      </c>
      <c r="C434" s="222">
        <v>0</v>
      </c>
      <c r="D434" s="225">
        <v>0</v>
      </c>
      <c r="E434" s="223">
        <f t="shared" si="121"/>
        <v>0</v>
      </c>
      <c r="F434" s="224">
        <f t="shared" si="122"/>
        <v>0</v>
      </c>
      <c r="G434" s="180">
        <f t="shared" si="123"/>
        <v>0</v>
      </c>
      <c r="H434" s="635">
        <f>ROUND(F434*'Actual Load'!$B$4/'Zonal Load'!$N$4,2)</f>
        <v>0</v>
      </c>
      <c r="I434" s="180">
        <f t="shared" si="124"/>
        <v>0</v>
      </c>
      <c r="J434" s="180">
        <f t="shared" si="125"/>
        <v>0</v>
      </c>
      <c r="K434" s="180">
        <f t="shared" si="126"/>
        <v>0</v>
      </c>
      <c r="L434" s="181">
        <f>E434*'Interest Over Collect'!$J$13</f>
        <v>0</v>
      </c>
      <c r="M434" s="180">
        <f t="shared" ref="M434:M445" si="128">+K434+L434</f>
        <v>0</v>
      </c>
      <c r="N434" s="86"/>
    </row>
    <row r="435" spans="2:14" s="185" customFormat="1">
      <c r="B435" s="23" t="s">
        <v>24</v>
      </c>
      <c r="C435" s="222">
        <v>0</v>
      </c>
      <c r="D435" s="225">
        <v>0</v>
      </c>
      <c r="E435" s="223">
        <f t="shared" si="121"/>
        <v>0</v>
      </c>
      <c r="F435" s="224">
        <f t="shared" si="122"/>
        <v>0</v>
      </c>
      <c r="G435" s="180">
        <f t="shared" si="123"/>
        <v>0</v>
      </c>
      <c r="H435" s="635">
        <f>ROUND(F435*'Actual Load'!$B$11/'Zonal Load'!$N$11,2)</f>
        <v>0</v>
      </c>
      <c r="I435" s="180">
        <f t="shared" si="124"/>
        <v>0</v>
      </c>
      <c r="J435" s="180">
        <f t="shared" si="125"/>
        <v>0</v>
      </c>
      <c r="K435" s="180">
        <f t="shared" si="126"/>
        <v>0</v>
      </c>
      <c r="L435" s="181">
        <f>E435*'Interest Over Collect'!$J$13</f>
        <v>0</v>
      </c>
      <c r="M435" s="180">
        <f t="shared" si="128"/>
        <v>0</v>
      </c>
      <c r="N435" s="86"/>
    </row>
    <row r="436" spans="2:14" s="185" customFormat="1">
      <c r="B436" s="23" t="s">
        <v>26</v>
      </c>
      <c r="C436" s="222">
        <v>0</v>
      </c>
      <c r="D436" s="225">
        <v>0</v>
      </c>
      <c r="E436" s="223">
        <f t="shared" si="121"/>
        <v>0</v>
      </c>
      <c r="F436" s="224">
        <f t="shared" si="122"/>
        <v>0</v>
      </c>
      <c r="G436" s="180">
        <f t="shared" si="123"/>
        <v>0</v>
      </c>
      <c r="H436" s="635">
        <f>ROUND(F436*'Actual Load'!$B$7/'Zonal Load'!$N$7,2)</f>
        <v>0</v>
      </c>
      <c r="I436" s="180">
        <f t="shared" si="124"/>
        <v>0</v>
      </c>
      <c r="J436" s="180">
        <f t="shared" si="125"/>
        <v>0</v>
      </c>
      <c r="K436" s="180">
        <f t="shared" si="126"/>
        <v>0</v>
      </c>
      <c r="L436" s="181">
        <f>E436*'Interest Over Collect'!$J$13</f>
        <v>0</v>
      </c>
      <c r="M436" s="180">
        <f t="shared" si="128"/>
        <v>0</v>
      </c>
      <c r="N436" s="86"/>
    </row>
    <row r="437" spans="2:14" s="185" customFormat="1">
      <c r="B437" s="23" t="s">
        <v>25</v>
      </c>
      <c r="C437" s="222">
        <v>0</v>
      </c>
      <c r="D437" s="225">
        <v>0</v>
      </c>
      <c r="E437" s="223">
        <f t="shared" si="121"/>
        <v>0</v>
      </c>
      <c r="F437" s="224">
        <f t="shared" si="122"/>
        <v>0</v>
      </c>
      <c r="G437" s="180">
        <f t="shared" si="123"/>
        <v>0</v>
      </c>
      <c r="H437" s="635">
        <f>ROUND(F437*'Actual Load'!$B$6/'Zonal Load'!$N$6,2)</f>
        <v>0</v>
      </c>
      <c r="I437" s="180">
        <f t="shared" si="124"/>
        <v>0</v>
      </c>
      <c r="J437" s="180">
        <f t="shared" si="125"/>
        <v>0</v>
      </c>
      <c r="K437" s="180">
        <f t="shared" si="126"/>
        <v>0</v>
      </c>
      <c r="L437" s="181">
        <f>E437*'Interest Over Collect'!$J$13</f>
        <v>0</v>
      </c>
      <c r="M437" s="180">
        <f t="shared" si="128"/>
        <v>0</v>
      </c>
      <c r="N437" s="86"/>
    </row>
    <row r="438" spans="2:14" s="185" customFormat="1">
      <c r="B438" s="23" t="s">
        <v>119</v>
      </c>
      <c r="C438" s="222">
        <v>0</v>
      </c>
      <c r="D438" s="225">
        <v>0</v>
      </c>
      <c r="E438" s="223">
        <f t="shared" si="121"/>
        <v>0</v>
      </c>
      <c r="F438" s="224">
        <f t="shared" si="122"/>
        <v>0</v>
      </c>
      <c r="G438" s="180">
        <f t="shared" si="123"/>
        <v>0</v>
      </c>
      <c r="H438" s="635">
        <f>ROUND(F438*'Actual Load'!$B$18/'Zonal Load'!$N$18,2)</f>
        <v>0</v>
      </c>
      <c r="I438" s="180">
        <f t="shared" si="124"/>
        <v>0</v>
      </c>
      <c r="J438" s="180">
        <f t="shared" si="125"/>
        <v>0</v>
      </c>
      <c r="K438" s="180">
        <f t="shared" si="126"/>
        <v>0</v>
      </c>
      <c r="L438" s="181">
        <f>E438*'Interest Over Collect'!$J$13</f>
        <v>0</v>
      </c>
      <c r="M438" s="180">
        <f t="shared" si="128"/>
        <v>0</v>
      </c>
      <c r="N438" s="86"/>
    </row>
    <row r="439" spans="2:14" s="185" customFormat="1">
      <c r="B439" s="23" t="s">
        <v>120</v>
      </c>
      <c r="C439" s="222">
        <v>0</v>
      </c>
      <c r="D439" s="225">
        <v>0</v>
      </c>
      <c r="E439" s="223">
        <f t="shared" si="121"/>
        <v>0</v>
      </c>
      <c r="F439" s="224">
        <f t="shared" si="122"/>
        <v>0</v>
      </c>
      <c r="G439" s="180">
        <f t="shared" si="123"/>
        <v>0</v>
      </c>
      <c r="H439" s="635">
        <f>ROUND(F439*'Actual Load'!$B$17/'Zonal Load'!$N$17,2)</f>
        <v>0</v>
      </c>
      <c r="I439" s="180">
        <f t="shared" si="124"/>
        <v>0</v>
      </c>
      <c r="J439" s="180">
        <f t="shared" si="125"/>
        <v>0</v>
      </c>
      <c r="K439" s="180">
        <f t="shared" si="126"/>
        <v>0</v>
      </c>
      <c r="L439" s="181">
        <f>E439*'Interest Over Collect'!$J$13</f>
        <v>0</v>
      </c>
      <c r="M439" s="180">
        <f t="shared" si="128"/>
        <v>0</v>
      </c>
      <c r="N439" s="86"/>
    </row>
    <row r="440" spans="2:14" s="185" customFormat="1">
      <c r="B440" s="23" t="s">
        <v>27</v>
      </c>
      <c r="C440" s="222">
        <v>0</v>
      </c>
      <c r="D440" s="225">
        <v>0</v>
      </c>
      <c r="E440" s="223">
        <f t="shared" si="121"/>
        <v>0</v>
      </c>
      <c r="F440" s="224">
        <f t="shared" si="122"/>
        <v>0</v>
      </c>
      <c r="G440" s="180">
        <f t="shared" si="123"/>
        <v>0</v>
      </c>
      <c r="H440" s="635">
        <f>ROUND(F440*'Actual Load'!$B$12/'Zonal Load'!$N$12,2)</f>
        <v>0</v>
      </c>
      <c r="I440" s="180">
        <f t="shared" si="124"/>
        <v>0</v>
      </c>
      <c r="J440" s="180">
        <f t="shared" si="125"/>
        <v>0</v>
      </c>
      <c r="K440" s="180">
        <f t="shared" si="126"/>
        <v>0</v>
      </c>
      <c r="L440" s="181">
        <f>E440*'Interest Over Collect'!$J$13</f>
        <v>0</v>
      </c>
      <c r="M440" s="180">
        <f t="shared" si="128"/>
        <v>0</v>
      </c>
      <c r="N440" s="86"/>
    </row>
    <row r="441" spans="2:14" s="185" customFormat="1">
      <c r="B441" s="23" t="s">
        <v>28</v>
      </c>
      <c r="C441" s="222">
        <v>0</v>
      </c>
      <c r="D441" s="225">
        <v>0</v>
      </c>
      <c r="E441" s="223">
        <f t="shared" si="121"/>
        <v>0</v>
      </c>
      <c r="F441" s="224">
        <f t="shared" si="122"/>
        <v>0</v>
      </c>
      <c r="G441" s="180">
        <f t="shared" si="123"/>
        <v>0</v>
      </c>
      <c r="H441" s="635">
        <f>ROUND(F441*'Actual Load'!$B$24/'Zonal Load'!$N$24,2)</f>
        <v>0</v>
      </c>
      <c r="I441" s="180">
        <f t="shared" si="124"/>
        <v>0</v>
      </c>
      <c r="J441" s="180">
        <f t="shared" si="125"/>
        <v>0</v>
      </c>
      <c r="K441" s="180">
        <f t="shared" si="126"/>
        <v>0</v>
      </c>
      <c r="L441" s="181">
        <f>E441*'Interest Over Collect'!$J$13</f>
        <v>0</v>
      </c>
      <c r="M441" s="180">
        <f t="shared" si="128"/>
        <v>0</v>
      </c>
      <c r="N441" s="86"/>
    </row>
    <row r="442" spans="2:14" s="185" customFormat="1">
      <c r="B442" s="23" t="s">
        <v>29</v>
      </c>
      <c r="C442" s="222">
        <v>0</v>
      </c>
      <c r="D442" s="225">
        <v>0</v>
      </c>
      <c r="E442" s="223">
        <f t="shared" si="121"/>
        <v>0</v>
      </c>
      <c r="F442" s="224">
        <f t="shared" si="122"/>
        <v>0</v>
      </c>
      <c r="G442" s="180">
        <f t="shared" si="123"/>
        <v>0</v>
      </c>
      <c r="H442" s="635">
        <f>ROUND(F442*'Actual Load'!$B$5/'Zonal Load'!$N$5,2)</f>
        <v>0</v>
      </c>
      <c r="I442" s="180">
        <f t="shared" si="124"/>
        <v>0</v>
      </c>
      <c r="J442" s="180">
        <f t="shared" si="125"/>
        <v>0</v>
      </c>
      <c r="K442" s="180">
        <f t="shared" si="126"/>
        <v>0</v>
      </c>
      <c r="L442" s="181">
        <f>E442*'Interest Over Collect'!$J$13</f>
        <v>0</v>
      </c>
      <c r="M442" s="180">
        <f t="shared" si="128"/>
        <v>0</v>
      </c>
      <c r="N442" s="86"/>
    </row>
    <row r="443" spans="2:14" s="185" customFormat="1">
      <c r="B443" s="23" t="s">
        <v>30</v>
      </c>
      <c r="C443" s="222">
        <v>0</v>
      </c>
      <c r="D443" s="225">
        <v>0</v>
      </c>
      <c r="E443" s="223">
        <v>1</v>
      </c>
      <c r="F443" s="224">
        <f t="shared" si="122"/>
        <v>5599.66</v>
      </c>
      <c r="G443" s="180">
        <f>(F$451-F$452)*E443</f>
        <v>272.09908343777261</v>
      </c>
      <c r="H443" s="635">
        <f>ROUND(F443*'Actual Load'!$B$21/'Zonal Load'!$N$21,2)</f>
        <v>5349.31</v>
      </c>
      <c r="I443" s="180">
        <f t="shared" si="124"/>
        <v>5614.62</v>
      </c>
      <c r="J443" s="180">
        <f t="shared" si="125"/>
        <v>14.960000000000036</v>
      </c>
      <c r="K443" s="180">
        <f t="shared" si="126"/>
        <v>287.05908343777264</v>
      </c>
      <c r="L443" s="181">
        <f>E443*'Interest Over Collect'!$J$13</f>
        <v>5.35</v>
      </c>
      <c r="M443" s="180">
        <f t="shared" si="128"/>
        <v>292.40908343777267</v>
      </c>
      <c r="N443" s="86"/>
    </row>
    <row r="444" spans="2:14" s="185" customFormat="1">
      <c r="B444" s="23" t="s">
        <v>31</v>
      </c>
      <c r="C444" s="222">
        <v>0</v>
      </c>
      <c r="D444" s="225">
        <v>0</v>
      </c>
      <c r="E444" s="223">
        <f>C444+D444</f>
        <v>0</v>
      </c>
      <c r="F444" s="224">
        <f t="shared" si="122"/>
        <v>0</v>
      </c>
      <c r="G444" s="180">
        <f t="shared" si="123"/>
        <v>0</v>
      </c>
      <c r="H444" s="635">
        <f>ROUND(F444*'Actual Load'!$B$19/'Zonal Load'!$N$19,2)</f>
        <v>0</v>
      </c>
      <c r="I444" s="180">
        <f t="shared" si="124"/>
        <v>0</v>
      </c>
      <c r="J444" s="180">
        <f t="shared" si="125"/>
        <v>0</v>
      </c>
      <c r="K444" s="180">
        <f t="shared" si="126"/>
        <v>0</v>
      </c>
      <c r="L444" s="181">
        <f>E444*'Interest Over Collect'!$J$13</f>
        <v>0</v>
      </c>
      <c r="M444" s="180">
        <f t="shared" si="128"/>
        <v>0</v>
      </c>
      <c r="N444" s="86"/>
    </row>
    <row r="445" spans="2:14" s="185" customFormat="1">
      <c r="B445" s="23" t="s">
        <v>32</v>
      </c>
      <c r="C445" s="222">
        <v>0</v>
      </c>
      <c r="D445" s="225">
        <v>0</v>
      </c>
      <c r="E445" s="223">
        <f>C445+D445</f>
        <v>0</v>
      </c>
      <c r="F445" s="224">
        <f t="shared" si="122"/>
        <v>0</v>
      </c>
      <c r="G445" s="180">
        <f t="shared" si="123"/>
        <v>0</v>
      </c>
      <c r="H445" s="635">
        <f>ROUND(F445*'Actual Load'!$B$25/'Zonal Load'!$N$25,2)</f>
        <v>0</v>
      </c>
      <c r="I445" s="180">
        <f t="shared" si="124"/>
        <v>0</v>
      </c>
      <c r="J445" s="180">
        <f t="shared" si="125"/>
        <v>0</v>
      </c>
      <c r="K445" s="180">
        <f t="shared" si="126"/>
        <v>0</v>
      </c>
      <c r="L445" s="181">
        <f>E445*'Interest Over Collect'!$J$13</f>
        <v>0</v>
      </c>
      <c r="M445" s="180">
        <f t="shared" si="128"/>
        <v>0</v>
      </c>
      <c r="N445" s="86"/>
    </row>
    <row r="446" spans="2:14" s="185" customFormat="1">
      <c r="B446" s="23" t="s">
        <v>33</v>
      </c>
      <c r="C446" s="222">
        <v>0</v>
      </c>
      <c r="D446" s="225">
        <v>0</v>
      </c>
      <c r="E446" s="223">
        <f>C446+D446</f>
        <v>0</v>
      </c>
      <c r="F446" s="224">
        <f t="shared" si="122"/>
        <v>0</v>
      </c>
      <c r="G446" s="180">
        <f t="shared" si="123"/>
        <v>0</v>
      </c>
      <c r="H446" s="635">
        <f>ROUND(F446*'Actual Load'!$B$13/'Zonal Load'!$N$13,2)</f>
        <v>0</v>
      </c>
      <c r="I446" s="180">
        <f t="shared" si="124"/>
        <v>0</v>
      </c>
      <c r="J446" s="180">
        <f t="shared" si="125"/>
        <v>0</v>
      </c>
      <c r="K446" s="180">
        <f t="shared" si="126"/>
        <v>0</v>
      </c>
      <c r="L446" s="181">
        <f>E446*'Interest Over Collect'!$J$13</f>
        <v>0</v>
      </c>
      <c r="M446" s="180">
        <f>+K446+L446</f>
        <v>0</v>
      </c>
      <c r="N446" s="86"/>
    </row>
    <row r="447" spans="2:14" s="185" customFormat="1">
      <c r="B447" s="23" t="s">
        <v>34</v>
      </c>
      <c r="C447" s="222">
        <v>0</v>
      </c>
      <c r="D447" s="225">
        <v>0</v>
      </c>
      <c r="E447" s="223">
        <f>C447+D447</f>
        <v>0</v>
      </c>
      <c r="F447" s="224">
        <f t="shared" si="122"/>
        <v>0</v>
      </c>
      <c r="G447" s="180">
        <f t="shared" si="123"/>
        <v>0</v>
      </c>
      <c r="H447" s="635">
        <f>ROUND(F447*'Actual Load'!$B$23/'Zonal Load'!$N$23,2)</f>
        <v>0</v>
      </c>
      <c r="I447" s="180">
        <f t="shared" si="124"/>
        <v>0</v>
      </c>
      <c r="J447" s="180">
        <f t="shared" si="125"/>
        <v>0</v>
      </c>
      <c r="K447" s="180">
        <f t="shared" si="126"/>
        <v>0</v>
      </c>
      <c r="L447" s="181">
        <f>E447*'Interest Over Collect'!$J$13</f>
        <v>0</v>
      </c>
      <c r="M447" s="180">
        <f>+K447+L447</f>
        <v>0</v>
      </c>
      <c r="N447" s="86"/>
    </row>
    <row r="448" spans="2:14" s="185" customFormat="1">
      <c r="B448" s="24" t="s">
        <v>35</v>
      </c>
      <c r="C448" s="222">
        <v>0</v>
      </c>
      <c r="D448" s="225">
        <v>0</v>
      </c>
      <c r="E448" s="223">
        <f>C448+D448</f>
        <v>0</v>
      </c>
      <c r="F448" s="224">
        <f t="shared" si="122"/>
        <v>0</v>
      </c>
      <c r="G448" s="180">
        <f t="shared" si="123"/>
        <v>0</v>
      </c>
      <c r="H448" s="635">
        <f>ROUND(F448*'Actual Load'!$B$20/'Zonal Load'!$N$20,2)</f>
        <v>0</v>
      </c>
      <c r="I448" s="180">
        <f t="shared" si="124"/>
        <v>0</v>
      </c>
      <c r="J448" s="180">
        <f t="shared" si="125"/>
        <v>0</v>
      </c>
      <c r="K448" s="180">
        <f t="shared" si="126"/>
        <v>0</v>
      </c>
      <c r="L448" s="181">
        <f>E448*'Interest Over Collect'!$J$13</f>
        <v>0</v>
      </c>
      <c r="M448" s="180">
        <f>+K448+L448</f>
        <v>0</v>
      </c>
      <c r="N448" s="86"/>
    </row>
    <row r="449" spans="1:15">
      <c r="A449" s="172"/>
      <c r="B449" s="25"/>
      <c r="C449" s="26">
        <f>SUM(C425:C448)</f>
        <v>0</v>
      </c>
      <c r="D449" s="27">
        <f>SUM(D425:D448)</f>
        <v>0</v>
      </c>
      <c r="E449" s="101">
        <f>SUM(E425:E448)</f>
        <v>1</v>
      </c>
      <c r="F449" s="95">
        <f>SUM(F425:F448)</f>
        <v>5599.66</v>
      </c>
      <c r="G449" s="78">
        <f t="shared" ref="G449:M449" si="129">SUM(G427:G448)</f>
        <v>272.09908343777261</v>
      </c>
      <c r="H449" s="138">
        <f t="shared" si="129"/>
        <v>5349.31</v>
      </c>
      <c r="I449" s="79">
        <f t="shared" si="129"/>
        <v>5614.62</v>
      </c>
      <c r="J449" s="79">
        <f t="shared" si="129"/>
        <v>14.960000000000036</v>
      </c>
      <c r="K449" s="561">
        <f t="shared" si="129"/>
        <v>287.05908343777264</v>
      </c>
      <c r="L449" s="79">
        <f t="shared" si="129"/>
        <v>5.35</v>
      </c>
      <c r="M449" s="79">
        <f t="shared" si="129"/>
        <v>292.40908343777267</v>
      </c>
    </row>
    <row r="450" spans="1:15">
      <c r="A450" s="172"/>
      <c r="G450" s="21"/>
      <c r="I450" s="80"/>
      <c r="N450" s="203"/>
      <c r="O450"/>
    </row>
    <row r="451" spans="1:15">
      <c r="A451" s="172"/>
      <c r="E451" s="96" t="s">
        <v>618</v>
      </c>
      <c r="F451" s="178">
        <v>5599.663552114197</v>
      </c>
      <c r="N451" s="203"/>
      <c r="O451"/>
    </row>
    <row r="452" spans="1:15">
      <c r="A452" s="172"/>
      <c r="E452" s="97" t="s">
        <v>619</v>
      </c>
      <c r="F452" s="179">
        <v>5327.5644686764244</v>
      </c>
      <c r="G452" s="632">
        <f>F451-F452</f>
        <v>272.09908343777261</v>
      </c>
      <c r="H452" s="633"/>
      <c r="I452" s="29"/>
      <c r="L452" s="84"/>
      <c r="N452" s="203"/>
      <c r="O452"/>
    </row>
    <row r="453" spans="1:15">
      <c r="A453" s="172"/>
      <c r="E453" s="97" t="s">
        <v>160</v>
      </c>
      <c r="F453" s="186">
        <f>I449</f>
        <v>5614.62</v>
      </c>
      <c r="G453" s="632">
        <f>F453-F451</f>
        <v>14.956447885802845</v>
      </c>
      <c r="H453" s="634"/>
      <c r="N453" s="203"/>
      <c r="O453"/>
    </row>
    <row r="454" spans="1:15">
      <c r="A454" s="172"/>
      <c r="B454" s="147"/>
      <c r="C454" s="147"/>
      <c r="D454" s="147"/>
      <c r="E454" s="147"/>
      <c r="F454" s="147"/>
      <c r="G454" s="632">
        <f>G452+G453</f>
        <v>287.05553132357545</v>
      </c>
      <c r="H454" s="633">
        <f>F453-F452</f>
        <v>287.05553132357545</v>
      </c>
      <c r="I454" s="147"/>
      <c r="J454" s="147"/>
      <c r="K454"/>
      <c r="L454"/>
      <c r="M454"/>
      <c r="N454" s="203"/>
      <c r="O454"/>
    </row>
    <row r="455" spans="1:15">
      <c r="A455" s="172"/>
      <c r="B455" s="82"/>
      <c r="C455" s="82"/>
      <c r="D455" s="82"/>
      <c r="E455" s="82"/>
      <c r="F455" s="82"/>
      <c r="G455" s="82"/>
      <c r="H455" s="82"/>
      <c r="I455" s="82"/>
      <c r="J455" s="111"/>
      <c r="K455" s="82"/>
      <c r="L455" s="82"/>
      <c r="M455" s="82"/>
    </row>
    <row r="456" spans="1:15">
      <c r="A456" s="172"/>
      <c r="L456" s="81"/>
    </row>
    <row r="457" spans="1:15">
      <c r="A457" s="172"/>
      <c r="B457" s="640" t="s">
        <v>0</v>
      </c>
      <c r="C457" s="641"/>
      <c r="D457" s="642" t="s">
        <v>184</v>
      </c>
      <c r="E457" s="643"/>
      <c r="F457" s="643"/>
      <c r="G457" s="643"/>
      <c r="H457" s="644"/>
      <c r="I457" s="154"/>
      <c r="J457" s="146"/>
      <c r="K457"/>
      <c r="L457"/>
      <c r="M457"/>
      <c r="N457" s="203"/>
      <c r="O457"/>
    </row>
    <row r="458" spans="1:15" ht="15.75" customHeight="1">
      <c r="A458" s="172"/>
      <c r="B458" s="645" t="s">
        <v>2</v>
      </c>
      <c r="C458" s="646"/>
      <c r="D458" s="647" t="s">
        <v>185</v>
      </c>
      <c r="E458" s="648"/>
      <c r="F458" s="648"/>
      <c r="G458" s="648"/>
      <c r="H458" s="649"/>
      <c r="I458" s="154"/>
      <c r="J458" s="146"/>
      <c r="K458"/>
      <c r="L458"/>
      <c r="M458"/>
      <c r="N458" s="203"/>
      <c r="O458"/>
    </row>
    <row r="459" spans="1:15">
      <c r="A459" s="172"/>
      <c r="B459" s="645" t="s">
        <v>4</v>
      </c>
      <c r="C459" s="646"/>
      <c r="D459" s="650">
        <v>69</v>
      </c>
      <c r="E459" s="651"/>
      <c r="F459" s="651"/>
      <c r="G459" s="651"/>
      <c r="H459" s="652"/>
      <c r="I459" s="154"/>
      <c r="J459" s="146"/>
      <c r="K459"/>
      <c r="L459"/>
      <c r="M459"/>
      <c r="N459" s="203"/>
      <c r="O459"/>
    </row>
    <row r="460" spans="1:15">
      <c r="A460" s="172"/>
      <c r="B460" s="653" t="s">
        <v>6</v>
      </c>
      <c r="C460" s="654"/>
      <c r="D460" s="655" t="s">
        <v>7</v>
      </c>
      <c r="E460" s="656"/>
      <c r="F460" s="656"/>
      <c r="G460" s="656"/>
      <c r="H460" s="657"/>
      <c r="I460" s="154"/>
      <c r="J460" s="146"/>
      <c r="K460"/>
      <c r="L460"/>
      <c r="M460"/>
      <c r="N460" s="203"/>
      <c r="O460"/>
    </row>
    <row r="461" spans="1:15">
      <c r="A461" s="172"/>
      <c r="B461" s="76"/>
      <c r="C461" s="76"/>
      <c r="D461" s="76"/>
      <c r="E461" s="76"/>
      <c r="F461" s="76"/>
      <c r="J461" s="105" t="s">
        <v>163</v>
      </c>
      <c r="K461" s="3" t="s">
        <v>42</v>
      </c>
      <c r="M461" s="3" t="s">
        <v>56</v>
      </c>
      <c r="N461" s="203"/>
      <c r="O461"/>
    </row>
    <row r="462" spans="1:15">
      <c r="A462" s="172"/>
      <c r="B462" s="76"/>
      <c r="C462" s="76"/>
      <c r="D462" s="76"/>
      <c r="E462" s="76"/>
      <c r="F462" s="76"/>
      <c r="G462" s="3" t="s">
        <v>39</v>
      </c>
      <c r="H462" s="134" t="s">
        <v>40</v>
      </c>
      <c r="I462" s="98" t="s">
        <v>41</v>
      </c>
      <c r="J462" s="106" t="s">
        <v>164</v>
      </c>
      <c r="K462" s="4" t="s">
        <v>165</v>
      </c>
      <c r="L462" s="4" t="s">
        <v>55</v>
      </c>
      <c r="M462" s="4" t="s">
        <v>166</v>
      </c>
      <c r="N462" s="203"/>
      <c r="O462"/>
    </row>
    <row r="463" spans="1:15">
      <c r="A463" s="172"/>
      <c r="B463" s="76"/>
      <c r="C463" s="76"/>
      <c r="D463" s="76"/>
      <c r="E463" s="76"/>
      <c r="F463" s="76"/>
      <c r="G463" s="5"/>
      <c r="H463" s="658" t="s">
        <v>43</v>
      </c>
      <c r="I463" s="659"/>
      <c r="J463" s="660"/>
      <c r="K463" s="6" t="s">
        <v>44</v>
      </c>
      <c r="L463" s="5"/>
      <c r="M463" s="6" t="s">
        <v>45</v>
      </c>
      <c r="N463" s="203"/>
      <c r="O463"/>
    </row>
    <row r="464" spans="1:15">
      <c r="A464" s="172"/>
      <c r="B464" s="77"/>
      <c r="C464" s="7">
        <v>0.2</v>
      </c>
      <c r="D464" s="7">
        <v>0.8</v>
      </c>
      <c r="E464" s="7"/>
      <c r="F464" s="92" t="s">
        <v>162</v>
      </c>
      <c r="G464" s="8" t="s">
        <v>46</v>
      </c>
      <c r="H464" s="135"/>
      <c r="I464" s="5"/>
      <c r="J464" s="107" t="s">
        <v>47</v>
      </c>
      <c r="K464" s="8" t="s">
        <v>48</v>
      </c>
      <c r="L464" s="9"/>
      <c r="M464" s="8" t="s">
        <v>49</v>
      </c>
      <c r="N464" s="203"/>
      <c r="O464"/>
    </row>
    <row r="465" spans="1:15">
      <c r="A465" s="172"/>
      <c r="B465" s="10"/>
      <c r="C465" s="69" t="s">
        <v>9</v>
      </c>
      <c r="D465" s="69" t="s">
        <v>10</v>
      </c>
      <c r="E465" s="69" t="s">
        <v>11</v>
      </c>
      <c r="F465" s="93" t="s">
        <v>8</v>
      </c>
      <c r="G465" s="11" t="s">
        <v>50</v>
      </c>
      <c r="H465" s="136" t="s">
        <v>51</v>
      </c>
      <c r="I465" s="12" t="s">
        <v>159</v>
      </c>
      <c r="J465" s="108" t="s">
        <v>50</v>
      </c>
      <c r="K465" s="12" t="s">
        <v>50</v>
      </c>
      <c r="L465" s="12" t="s">
        <v>52</v>
      </c>
      <c r="M465" s="12" t="s">
        <v>53</v>
      </c>
      <c r="N465" s="203"/>
      <c r="O465"/>
    </row>
    <row r="466" spans="1:15" ht="31.5">
      <c r="A466" s="172"/>
      <c r="B466" s="13" t="s">
        <v>13</v>
      </c>
      <c r="C466" s="14" t="s">
        <v>14</v>
      </c>
      <c r="D466" s="14" t="s">
        <v>14</v>
      </c>
      <c r="E466" s="15" t="s">
        <v>14</v>
      </c>
      <c r="F466" s="94" t="s">
        <v>15</v>
      </c>
      <c r="G466" s="16" t="s">
        <v>54</v>
      </c>
      <c r="H466" s="137"/>
      <c r="I466" s="17"/>
      <c r="J466" s="109" t="s">
        <v>54</v>
      </c>
      <c r="K466" s="17"/>
      <c r="L466" s="17"/>
      <c r="M466" s="16" t="s">
        <v>54</v>
      </c>
      <c r="N466" s="203"/>
      <c r="O466"/>
    </row>
    <row r="467" spans="1:15" s="185" customFormat="1">
      <c r="B467" s="18" t="s">
        <v>16</v>
      </c>
      <c r="C467" s="222">
        <v>0</v>
      </c>
      <c r="D467" s="225">
        <v>0</v>
      </c>
      <c r="E467" s="223">
        <f t="shared" ref="E467:E484" si="130">C467+D467</f>
        <v>0</v>
      </c>
      <c r="F467" s="226">
        <f t="shared" ref="F467:F490" si="131">ROUND(+E467*F$493,2)</f>
        <v>0</v>
      </c>
      <c r="G467" s="180">
        <f t="shared" ref="G467:G484" si="132">(F$409-F$410)*E467</f>
        <v>0</v>
      </c>
      <c r="H467" s="635">
        <f>ROUND(F467*'Actual Load'!$B$8/'Zonal Load'!$N$8,2)</f>
        <v>0</v>
      </c>
      <c r="I467" s="180">
        <f t="shared" ref="I467:I490" si="133">ROUND((H467*$H$912)/$H$910,2)</f>
        <v>0</v>
      </c>
      <c r="J467" s="180">
        <f t="shared" ref="J467:J490" si="134">I467-F467</f>
        <v>0</v>
      </c>
      <c r="K467" s="180">
        <f t="shared" ref="K467:K490" si="135">+G467+J467</f>
        <v>0</v>
      </c>
      <c r="L467" s="181">
        <f>E467*'Interest Over Collect'!$J$14</f>
        <v>0</v>
      </c>
      <c r="M467" s="180">
        <f t="shared" ref="M467:M474" si="136">+K467+L467</f>
        <v>0</v>
      </c>
      <c r="N467" s="203"/>
      <c r="O467" s="230"/>
    </row>
    <row r="468" spans="1:15" s="185" customFormat="1">
      <c r="B468" s="23" t="s">
        <v>17</v>
      </c>
      <c r="C468" s="222">
        <v>0</v>
      </c>
      <c r="D468" s="225">
        <v>0</v>
      </c>
      <c r="E468" s="223">
        <f t="shared" si="130"/>
        <v>0</v>
      </c>
      <c r="F468" s="224">
        <f t="shared" si="131"/>
        <v>0</v>
      </c>
      <c r="G468" s="180">
        <f t="shared" si="132"/>
        <v>0</v>
      </c>
      <c r="H468" s="635">
        <f>ROUND(F468*'Actual Load'!$B$14/'Zonal Load'!$N$14,2)</f>
        <v>0</v>
      </c>
      <c r="I468" s="180">
        <f t="shared" si="133"/>
        <v>0</v>
      </c>
      <c r="J468" s="180">
        <f t="shared" si="134"/>
        <v>0</v>
      </c>
      <c r="K468" s="180">
        <f t="shared" si="135"/>
        <v>0</v>
      </c>
      <c r="L468" s="181">
        <f>E468*'Interest Over Collect'!$J$14</f>
        <v>0</v>
      </c>
      <c r="M468" s="180">
        <f t="shared" si="136"/>
        <v>0</v>
      </c>
      <c r="N468" s="203"/>
      <c r="O468" s="230"/>
    </row>
    <row r="469" spans="1:15" s="185" customFormat="1">
      <c r="B469" s="23" t="s">
        <v>201</v>
      </c>
      <c r="C469" s="222">
        <f>0%*0.421</f>
        <v>0</v>
      </c>
      <c r="D469" s="225">
        <f>0%*0.421</f>
        <v>0</v>
      </c>
      <c r="E469" s="223">
        <f t="shared" si="130"/>
        <v>0</v>
      </c>
      <c r="F469" s="224">
        <f t="shared" si="131"/>
        <v>0</v>
      </c>
      <c r="G469" s="180">
        <f t="shared" si="132"/>
        <v>0</v>
      </c>
      <c r="H469" s="635">
        <f>ROUND(F469*'Actual Load'!$B$9/'Zonal Load'!$N$9,2)</f>
        <v>0</v>
      </c>
      <c r="I469" s="180">
        <f t="shared" si="133"/>
        <v>0</v>
      </c>
      <c r="J469" s="180">
        <f t="shared" si="134"/>
        <v>0</v>
      </c>
      <c r="K469" s="180">
        <f t="shared" si="135"/>
        <v>0</v>
      </c>
      <c r="L469" s="181">
        <f>E469*'Interest Over Collect'!$J$14</f>
        <v>0</v>
      </c>
      <c r="M469" s="180">
        <f t="shared" si="136"/>
        <v>0</v>
      </c>
      <c r="N469" s="203"/>
      <c r="O469" s="230"/>
    </row>
    <row r="470" spans="1:15" s="185" customFormat="1">
      <c r="B470" s="132" t="s">
        <v>260</v>
      </c>
      <c r="C470" s="222">
        <f>0%*0.579</f>
        <v>0</v>
      </c>
      <c r="D470" s="225">
        <f>0%*0.579</f>
        <v>0</v>
      </c>
      <c r="E470" s="223">
        <f>C470+D470</f>
        <v>0</v>
      </c>
      <c r="F470" s="224">
        <f t="shared" si="131"/>
        <v>0</v>
      </c>
      <c r="G470" s="180">
        <f>(F$409-F$410)*E470</f>
        <v>0</v>
      </c>
      <c r="H470" s="635">
        <f>ROUND(F470*'Actual Load'!$B$10/'Zonal Load'!$N$10,2)</f>
        <v>0</v>
      </c>
      <c r="I470" s="180">
        <f t="shared" si="133"/>
        <v>0</v>
      </c>
      <c r="J470" s="180">
        <f>I470-F470</f>
        <v>0</v>
      </c>
      <c r="K470" s="180">
        <f>+G470+J470</f>
        <v>0</v>
      </c>
      <c r="L470" s="181">
        <f>E470*'Interest Over Collect'!$J$14</f>
        <v>0</v>
      </c>
      <c r="M470" s="180">
        <f>+K470+L470</f>
        <v>0</v>
      </c>
      <c r="N470" s="203"/>
      <c r="O470" s="230"/>
    </row>
    <row r="471" spans="1:15" s="185" customFormat="1">
      <c r="B471" s="23" t="s">
        <v>18</v>
      </c>
      <c r="C471" s="222">
        <v>0</v>
      </c>
      <c r="D471" s="225">
        <v>0</v>
      </c>
      <c r="E471" s="223">
        <f t="shared" si="130"/>
        <v>0</v>
      </c>
      <c r="F471" s="224">
        <f t="shared" si="131"/>
        <v>0</v>
      </c>
      <c r="G471" s="180">
        <f t="shared" si="132"/>
        <v>0</v>
      </c>
      <c r="H471" s="635">
        <f>ROUND(F471*'Actual Load'!$B$26/'Zonal Load'!$N$26,2)</f>
        <v>0</v>
      </c>
      <c r="I471" s="180">
        <f t="shared" si="133"/>
        <v>0</v>
      </c>
      <c r="J471" s="180">
        <f t="shared" si="134"/>
        <v>0</v>
      </c>
      <c r="K471" s="180">
        <f t="shared" si="135"/>
        <v>0</v>
      </c>
      <c r="L471" s="181">
        <f>E471*'Interest Over Collect'!$J$14</f>
        <v>0</v>
      </c>
      <c r="M471" s="180">
        <f t="shared" si="136"/>
        <v>0</v>
      </c>
      <c r="N471" s="203"/>
      <c r="O471" s="230"/>
    </row>
    <row r="472" spans="1:15" s="185" customFormat="1">
      <c r="B472" s="23" t="s">
        <v>19</v>
      </c>
      <c r="C472" s="222">
        <v>0</v>
      </c>
      <c r="D472" s="225">
        <v>0</v>
      </c>
      <c r="E472" s="223">
        <f t="shared" si="130"/>
        <v>0</v>
      </c>
      <c r="F472" s="224">
        <f t="shared" si="131"/>
        <v>0</v>
      </c>
      <c r="G472" s="180">
        <f t="shared" si="132"/>
        <v>0</v>
      </c>
      <c r="H472" s="635">
        <f>ROUND(F472*'Actual Load'!$B$16/'Zonal Load'!$N$16,2)</f>
        <v>0</v>
      </c>
      <c r="I472" s="180">
        <f t="shared" si="133"/>
        <v>0</v>
      </c>
      <c r="J472" s="180">
        <f t="shared" si="134"/>
        <v>0</v>
      </c>
      <c r="K472" s="180">
        <f t="shared" si="135"/>
        <v>0</v>
      </c>
      <c r="L472" s="181">
        <f>E472*'Interest Over Collect'!$J$14</f>
        <v>0</v>
      </c>
      <c r="M472" s="180">
        <f t="shared" si="136"/>
        <v>0</v>
      </c>
      <c r="N472" s="203"/>
      <c r="O472" s="230"/>
    </row>
    <row r="473" spans="1:15" s="185" customFormat="1">
      <c r="B473" s="23" t="s">
        <v>20</v>
      </c>
      <c r="C473" s="222">
        <v>0</v>
      </c>
      <c r="D473" s="225">
        <v>0</v>
      </c>
      <c r="E473" s="223">
        <f t="shared" si="130"/>
        <v>0</v>
      </c>
      <c r="F473" s="224">
        <f t="shared" si="131"/>
        <v>0</v>
      </c>
      <c r="G473" s="180">
        <f t="shared" si="132"/>
        <v>0</v>
      </c>
      <c r="H473" s="635">
        <f>ROUND(F473*'Actual Load'!$B$22/'Zonal Load'!$N$22,2)</f>
        <v>0</v>
      </c>
      <c r="I473" s="180">
        <f t="shared" si="133"/>
        <v>0</v>
      </c>
      <c r="J473" s="180">
        <f t="shared" si="134"/>
        <v>0</v>
      </c>
      <c r="K473" s="180">
        <f t="shared" si="135"/>
        <v>0</v>
      </c>
      <c r="L473" s="181">
        <f>E473*'Interest Over Collect'!$J$14</f>
        <v>0</v>
      </c>
      <c r="M473" s="180">
        <f t="shared" si="136"/>
        <v>0</v>
      </c>
      <c r="N473" s="203"/>
      <c r="O473" s="230"/>
    </row>
    <row r="474" spans="1:15" s="185" customFormat="1">
      <c r="B474" s="23" t="s">
        <v>21</v>
      </c>
      <c r="C474" s="222">
        <v>0</v>
      </c>
      <c r="D474" s="225">
        <v>0</v>
      </c>
      <c r="E474" s="223">
        <f t="shared" si="130"/>
        <v>0</v>
      </c>
      <c r="F474" s="224">
        <f t="shared" si="131"/>
        <v>0</v>
      </c>
      <c r="G474" s="180">
        <f t="shared" si="132"/>
        <v>0</v>
      </c>
      <c r="H474" s="635">
        <f>ROUND(F474*'Actual Load'!$B$17/'Zonal Load'!$N$17,2)</f>
        <v>0</v>
      </c>
      <c r="I474" s="180">
        <f t="shared" si="133"/>
        <v>0</v>
      </c>
      <c r="J474" s="180">
        <f t="shared" si="134"/>
        <v>0</v>
      </c>
      <c r="K474" s="180">
        <f t="shared" si="135"/>
        <v>0</v>
      </c>
      <c r="L474" s="181">
        <f>E474*'Interest Over Collect'!$J$14</f>
        <v>0</v>
      </c>
      <c r="M474" s="180">
        <f t="shared" si="136"/>
        <v>0</v>
      </c>
      <c r="N474" s="203"/>
      <c r="O474" s="230"/>
    </row>
    <row r="475" spans="1:15" s="185" customFormat="1">
      <c r="B475" s="23" t="s">
        <v>22</v>
      </c>
      <c r="C475" s="222">
        <v>0</v>
      </c>
      <c r="D475" s="225">
        <v>0</v>
      </c>
      <c r="E475" s="223">
        <f t="shared" si="130"/>
        <v>0</v>
      </c>
      <c r="F475" s="224">
        <f t="shared" si="131"/>
        <v>0</v>
      </c>
      <c r="G475" s="180">
        <f t="shared" si="132"/>
        <v>0</v>
      </c>
      <c r="H475" s="635">
        <f>ROUND(F475*'Actual Load'!$B$15/'Zonal Load'!$N$15,2)</f>
        <v>0</v>
      </c>
      <c r="I475" s="180">
        <f t="shared" si="133"/>
        <v>0</v>
      </c>
      <c r="J475" s="180">
        <f t="shared" si="134"/>
        <v>0</v>
      </c>
      <c r="K475" s="180">
        <f t="shared" si="135"/>
        <v>0</v>
      </c>
      <c r="L475" s="181">
        <f>E475*'Interest Over Collect'!$J$14</f>
        <v>0</v>
      </c>
      <c r="M475" s="180">
        <f>+K475+L475</f>
        <v>0</v>
      </c>
      <c r="N475" s="203"/>
      <c r="O475" s="230"/>
    </row>
    <row r="476" spans="1:15" s="185" customFormat="1">
      <c r="B476" s="23" t="s">
        <v>23</v>
      </c>
      <c r="C476" s="222">
        <v>0</v>
      </c>
      <c r="D476" s="225">
        <v>0</v>
      </c>
      <c r="E476" s="223">
        <f t="shared" si="130"/>
        <v>0</v>
      </c>
      <c r="F476" s="224">
        <f t="shared" si="131"/>
        <v>0</v>
      </c>
      <c r="G476" s="180">
        <f t="shared" si="132"/>
        <v>0</v>
      </c>
      <c r="H476" s="635">
        <f>ROUND(F476*'Actual Load'!$B$4/'Zonal Load'!$N$4,2)</f>
        <v>0</v>
      </c>
      <c r="I476" s="180">
        <f t="shared" si="133"/>
        <v>0</v>
      </c>
      <c r="J476" s="180">
        <f t="shared" si="134"/>
        <v>0</v>
      </c>
      <c r="K476" s="180">
        <f t="shared" si="135"/>
        <v>0</v>
      </c>
      <c r="L476" s="181">
        <f>E476*'Interest Over Collect'!$J$14</f>
        <v>0</v>
      </c>
      <c r="M476" s="180">
        <f t="shared" ref="M476:M487" si="137">+K476+L476</f>
        <v>0</v>
      </c>
      <c r="N476" s="203"/>
      <c r="O476" s="230"/>
    </row>
    <row r="477" spans="1:15" s="185" customFormat="1">
      <c r="B477" s="23" t="s">
        <v>24</v>
      </c>
      <c r="C477" s="222">
        <v>0</v>
      </c>
      <c r="D477" s="225">
        <v>0</v>
      </c>
      <c r="E477" s="223">
        <f t="shared" si="130"/>
        <v>0</v>
      </c>
      <c r="F477" s="224">
        <f t="shared" si="131"/>
        <v>0</v>
      </c>
      <c r="G477" s="180">
        <f t="shared" si="132"/>
        <v>0</v>
      </c>
      <c r="H477" s="635">
        <f>ROUND(F477*'Actual Load'!$B$11/'Zonal Load'!$N$11,2)</f>
        <v>0</v>
      </c>
      <c r="I477" s="180">
        <f t="shared" si="133"/>
        <v>0</v>
      </c>
      <c r="J477" s="180">
        <f t="shared" si="134"/>
        <v>0</v>
      </c>
      <c r="K477" s="180">
        <f t="shared" si="135"/>
        <v>0</v>
      </c>
      <c r="L477" s="181">
        <f>E477*'Interest Over Collect'!$J$14</f>
        <v>0</v>
      </c>
      <c r="M477" s="180">
        <f t="shared" si="137"/>
        <v>0</v>
      </c>
      <c r="N477" s="203"/>
      <c r="O477" s="230"/>
    </row>
    <row r="478" spans="1:15" s="185" customFormat="1">
      <c r="B478" s="23" t="s">
        <v>26</v>
      </c>
      <c r="C478" s="222">
        <v>0</v>
      </c>
      <c r="D478" s="225">
        <v>0</v>
      </c>
      <c r="E478" s="223">
        <f t="shared" si="130"/>
        <v>0</v>
      </c>
      <c r="F478" s="224">
        <f t="shared" si="131"/>
        <v>0</v>
      </c>
      <c r="G478" s="180">
        <f t="shared" si="132"/>
        <v>0</v>
      </c>
      <c r="H478" s="635">
        <f>ROUND(F478*'Actual Load'!$B$7/'Zonal Load'!$N$7,2)</f>
        <v>0</v>
      </c>
      <c r="I478" s="180">
        <f t="shared" si="133"/>
        <v>0</v>
      </c>
      <c r="J478" s="180">
        <f t="shared" si="134"/>
        <v>0</v>
      </c>
      <c r="K478" s="180">
        <f t="shared" si="135"/>
        <v>0</v>
      </c>
      <c r="L478" s="181">
        <f>E478*'Interest Over Collect'!$J$14</f>
        <v>0</v>
      </c>
      <c r="M478" s="180">
        <f t="shared" si="137"/>
        <v>0</v>
      </c>
      <c r="N478" s="203"/>
      <c r="O478" s="230"/>
    </row>
    <row r="479" spans="1:15" s="185" customFormat="1">
      <c r="B479" s="23" t="s">
        <v>25</v>
      </c>
      <c r="C479" s="222">
        <v>0</v>
      </c>
      <c r="D479" s="225">
        <v>0</v>
      </c>
      <c r="E479" s="223">
        <f t="shared" si="130"/>
        <v>0</v>
      </c>
      <c r="F479" s="224">
        <f t="shared" si="131"/>
        <v>0</v>
      </c>
      <c r="G479" s="180">
        <f t="shared" si="132"/>
        <v>0</v>
      </c>
      <c r="H479" s="635">
        <f>ROUND(F479*'Actual Load'!$B$6/'Zonal Load'!$N$6,2)</f>
        <v>0</v>
      </c>
      <c r="I479" s="180">
        <f t="shared" si="133"/>
        <v>0</v>
      </c>
      <c r="J479" s="180">
        <f t="shared" si="134"/>
        <v>0</v>
      </c>
      <c r="K479" s="180">
        <f t="shared" si="135"/>
        <v>0</v>
      </c>
      <c r="L479" s="181">
        <f>E479*'Interest Over Collect'!$J$14</f>
        <v>0</v>
      </c>
      <c r="M479" s="180">
        <f t="shared" si="137"/>
        <v>0</v>
      </c>
      <c r="N479" s="203"/>
      <c r="O479" s="230"/>
    </row>
    <row r="480" spans="1:15" s="185" customFormat="1">
      <c r="B480" s="23" t="s">
        <v>119</v>
      </c>
      <c r="C480" s="222">
        <v>0</v>
      </c>
      <c r="D480" s="225">
        <v>0</v>
      </c>
      <c r="E480" s="223">
        <f t="shared" si="130"/>
        <v>0</v>
      </c>
      <c r="F480" s="224">
        <f t="shared" si="131"/>
        <v>0</v>
      </c>
      <c r="G480" s="180">
        <f t="shared" si="132"/>
        <v>0</v>
      </c>
      <c r="H480" s="635">
        <f>ROUND(F480*'Actual Load'!$B$18/'Zonal Load'!$N$18,2)</f>
        <v>0</v>
      </c>
      <c r="I480" s="180">
        <f t="shared" si="133"/>
        <v>0</v>
      </c>
      <c r="J480" s="180">
        <f t="shared" si="134"/>
        <v>0</v>
      </c>
      <c r="K480" s="180">
        <f t="shared" si="135"/>
        <v>0</v>
      </c>
      <c r="L480" s="181">
        <f>E480*'Interest Over Collect'!$J$14</f>
        <v>0</v>
      </c>
      <c r="M480" s="180">
        <f t="shared" si="137"/>
        <v>0</v>
      </c>
      <c r="N480" s="203"/>
      <c r="O480" s="230"/>
    </row>
    <row r="481" spans="1:15" s="185" customFormat="1">
      <c r="B481" s="23" t="s">
        <v>120</v>
      </c>
      <c r="C481" s="222">
        <v>0</v>
      </c>
      <c r="D481" s="225">
        <v>0</v>
      </c>
      <c r="E481" s="223">
        <f t="shared" si="130"/>
        <v>0</v>
      </c>
      <c r="F481" s="224">
        <f t="shared" si="131"/>
        <v>0</v>
      </c>
      <c r="G481" s="180">
        <f t="shared" si="132"/>
        <v>0</v>
      </c>
      <c r="H481" s="635">
        <f>ROUND(F481*'Actual Load'!$B$17/'Zonal Load'!$N$17,2)</f>
        <v>0</v>
      </c>
      <c r="I481" s="180">
        <f t="shared" si="133"/>
        <v>0</v>
      </c>
      <c r="J481" s="180">
        <f t="shared" si="134"/>
        <v>0</v>
      </c>
      <c r="K481" s="180">
        <f t="shared" si="135"/>
        <v>0</v>
      </c>
      <c r="L481" s="181">
        <f>E481*'Interest Over Collect'!$J$14</f>
        <v>0</v>
      </c>
      <c r="M481" s="180">
        <f t="shared" si="137"/>
        <v>0</v>
      </c>
      <c r="N481" s="203"/>
      <c r="O481" s="230"/>
    </row>
    <row r="482" spans="1:15" s="185" customFormat="1">
      <c r="B482" s="23" t="s">
        <v>27</v>
      </c>
      <c r="C482" s="222">
        <v>0</v>
      </c>
      <c r="D482" s="225">
        <v>0</v>
      </c>
      <c r="E482" s="223">
        <f t="shared" si="130"/>
        <v>0</v>
      </c>
      <c r="F482" s="224">
        <f t="shared" si="131"/>
        <v>0</v>
      </c>
      <c r="G482" s="180">
        <f t="shared" si="132"/>
        <v>0</v>
      </c>
      <c r="H482" s="635">
        <f>ROUND(F482*'Actual Load'!$B$12/'Zonal Load'!$N$12,2)</f>
        <v>0</v>
      </c>
      <c r="I482" s="180">
        <f t="shared" si="133"/>
        <v>0</v>
      </c>
      <c r="J482" s="180">
        <f t="shared" si="134"/>
        <v>0</v>
      </c>
      <c r="K482" s="180">
        <f t="shared" si="135"/>
        <v>0</v>
      </c>
      <c r="L482" s="181">
        <f>E482*'Interest Over Collect'!$J$14</f>
        <v>0</v>
      </c>
      <c r="M482" s="180">
        <f t="shared" si="137"/>
        <v>0</v>
      </c>
      <c r="N482" s="203"/>
      <c r="O482" s="230"/>
    </row>
    <row r="483" spans="1:15" s="185" customFormat="1">
      <c r="B483" s="23" t="s">
        <v>28</v>
      </c>
      <c r="C483" s="222">
        <v>0</v>
      </c>
      <c r="D483" s="225">
        <v>0</v>
      </c>
      <c r="E483" s="223">
        <f t="shared" si="130"/>
        <v>0</v>
      </c>
      <c r="F483" s="224">
        <f t="shared" si="131"/>
        <v>0</v>
      </c>
      <c r="G483" s="180">
        <f t="shared" si="132"/>
        <v>0</v>
      </c>
      <c r="H483" s="635">
        <f>ROUND(F483*'Actual Load'!$B$24/'Zonal Load'!$N$24,2)</f>
        <v>0</v>
      </c>
      <c r="I483" s="180">
        <f t="shared" si="133"/>
        <v>0</v>
      </c>
      <c r="J483" s="180">
        <f t="shared" si="134"/>
        <v>0</v>
      </c>
      <c r="K483" s="180">
        <f t="shared" si="135"/>
        <v>0</v>
      </c>
      <c r="L483" s="181">
        <f>E483*'Interest Over Collect'!$J$14</f>
        <v>0</v>
      </c>
      <c r="M483" s="180">
        <f t="shared" si="137"/>
        <v>0</v>
      </c>
      <c r="N483" s="203"/>
      <c r="O483" s="230"/>
    </row>
    <row r="484" spans="1:15" s="185" customFormat="1">
      <c r="B484" s="23" t="s">
        <v>29</v>
      </c>
      <c r="C484" s="222">
        <v>0</v>
      </c>
      <c r="D484" s="225">
        <v>0</v>
      </c>
      <c r="E484" s="223">
        <f t="shared" si="130"/>
        <v>0</v>
      </c>
      <c r="F484" s="224">
        <f t="shared" si="131"/>
        <v>0</v>
      </c>
      <c r="G484" s="180">
        <f t="shared" si="132"/>
        <v>0</v>
      </c>
      <c r="H484" s="635">
        <f>ROUND(F484*'Actual Load'!$B$5/'Zonal Load'!$N$5,2)</f>
        <v>0</v>
      </c>
      <c r="I484" s="180">
        <f t="shared" si="133"/>
        <v>0</v>
      </c>
      <c r="J484" s="180">
        <f t="shared" si="134"/>
        <v>0</v>
      </c>
      <c r="K484" s="180">
        <f t="shared" si="135"/>
        <v>0</v>
      </c>
      <c r="L484" s="181">
        <f>E484*'Interest Over Collect'!$J$14</f>
        <v>0</v>
      </c>
      <c r="M484" s="180">
        <f t="shared" si="137"/>
        <v>0</v>
      </c>
      <c r="N484" s="203"/>
      <c r="O484" s="230"/>
    </row>
    <row r="485" spans="1:15" s="185" customFormat="1">
      <c r="B485" s="23" t="s">
        <v>30</v>
      </c>
      <c r="C485" s="222">
        <v>0</v>
      </c>
      <c r="D485" s="225">
        <v>0</v>
      </c>
      <c r="E485" s="223">
        <v>1</v>
      </c>
      <c r="F485" s="224">
        <f t="shared" si="131"/>
        <v>27808.5</v>
      </c>
      <c r="G485" s="180">
        <f>(F$493-F$494)*E485</f>
        <v>1345.1989139446778</v>
      </c>
      <c r="H485" s="635">
        <f>ROUND(F485*'Actual Load'!$B$21/'Zonal Load'!$N$21,2)</f>
        <v>26565.25</v>
      </c>
      <c r="I485" s="180">
        <f t="shared" si="133"/>
        <v>27882.83</v>
      </c>
      <c r="J485" s="180">
        <f t="shared" si="134"/>
        <v>74.330000000001746</v>
      </c>
      <c r="K485" s="180">
        <f t="shared" si="135"/>
        <v>1419.5289139446795</v>
      </c>
      <c r="L485" s="181">
        <f>E485*'Interest Over Collect'!$J$14</f>
        <v>26.57</v>
      </c>
      <c r="M485" s="180">
        <f t="shared" si="137"/>
        <v>1446.0989139446795</v>
      </c>
      <c r="N485" s="203"/>
      <c r="O485" s="230"/>
    </row>
    <row r="486" spans="1:15" s="185" customFormat="1">
      <c r="B486" s="23" t="s">
        <v>31</v>
      </c>
      <c r="C486" s="222">
        <v>0</v>
      </c>
      <c r="D486" s="225">
        <v>0</v>
      </c>
      <c r="E486" s="223">
        <f>C486+D486</f>
        <v>0</v>
      </c>
      <c r="F486" s="224">
        <f t="shared" si="131"/>
        <v>0</v>
      </c>
      <c r="G486" s="180">
        <f>(F$409-F$410)*E486</f>
        <v>0</v>
      </c>
      <c r="H486" s="635">
        <f>ROUND(F486*'Actual Load'!$B$19/'Zonal Load'!$N$19,2)</f>
        <v>0</v>
      </c>
      <c r="I486" s="180">
        <f t="shared" si="133"/>
        <v>0</v>
      </c>
      <c r="J486" s="180">
        <f t="shared" si="134"/>
        <v>0</v>
      </c>
      <c r="K486" s="180">
        <f t="shared" si="135"/>
        <v>0</v>
      </c>
      <c r="L486" s="181">
        <f>E486*'Interest Over Collect'!$J$14</f>
        <v>0</v>
      </c>
      <c r="M486" s="180">
        <f t="shared" si="137"/>
        <v>0</v>
      </c>
      <c r="N486" s="203"/>
      <c r="O486" s="230"/>
    </row>
    <row r="487" spans="1:15" s="185" customFormat="1">
      <c r="B487" s="23" t="s">
        <v>32</v>
      </c>
      <c r="C487" s="222">
        <v>0</v>
      </c>
      <c r="D487" s="225">
        <v>0</v>
      </c>
      <c r="E487" s="223">
        <f>C487+D487</f>
        <v>0</v>
      </c>
      <c r="F487" s="224">
        <f t="shared" si="131"/>
        <v>0</v>
      </c>
      <c r="G487" s="180">
        <f>(F$409-F$410)*E487</f>
        <v>0</v>
      </c>
      <c r="H487" s="635">
        <f>ROUND(F487*'Actual Load'!$B$25/'Zonal Load'!$N$25,2)</f>
        <v>0</v>
      </c>
      <c r="I487" s="180">
        <f t="shared" si="133"/>
        <v>0</v>
      </c>
      <c r="J487" s="180">
        <f t="shared" si="134"/>
        <v>0</v>
      </c>
      <c r="K487" s="180">
        <f t="shared" si="135"/>
        <v>0</v>
      </c>
      <c r="L487" s="181">
        <f>E487*'Interest Over Collect'!$J$14</f>
        <v>0</v>
      </c>
      <c r="M487" s="180">
        <f t="shared" si="137"/>
        <v>0</v>
      </c>
      <c r="N487" s="203"/>
      <c r="O487" s="230"/>
    </row>
    <row r="488" spans="1:15" s="185" customFormat="1">
      <c r="B488" s="23" t="s">
        <v>33</v>
      </c>
      <c r="C488" s="222">
        <v>0</v>
      </c>
      <c r="D488" s="225">
        <v>0</v>
      </c>
      <c r="E488" s="223">
        <f>C488+D488</f>
        <v>0</v>
      </c>
      <c r="F488" s="224">
        <f t="shared" si="131"/>
        <v>0</v>
      </c>
      <c r="G488" s="180">
        <f>(F$409-F$410)*E488</f>
        <v>0</v>
      </c>
      <c r="H488" s="635">
        <f>ROUND(F488*'Actual Load'!$B$13/'Zonal Load'!$N$13,2)</f>
        <v>0</v>
      </c>
      <c r="I488" s="180">
        <f t="shared" si="133"/>
        <v>0</v>
      </c>
      <c r="J488" s="180">
        <f t="shared" si="134"/>
        <v>0</v>
      </c>
      <c r="K488" s="180">
        <f t="shared" si="135"/>
        <v>0</v>
      </c>
      <c r="L488" s="181">
        <f>E488*'Interest Over Collect'!$J$14</f>
        <v>0</v>
      </c>
      <c r="M488" s="180">
        <f>+K488+L488</f>
        <v>0</v>
      </c>
      <c r="N488" s="203"/>
      <c r="O488" s="230"/>
    </row>
    <row r="489" spans="1:15" s="185" customFormat="1">
      <c r="B489" s="23" t="s">
        <v>34</v>
      </c>
      <c r="C489" s="222">
        <v>0</v>
      </c>
      <c r="D489" s="225">
        <v>0</v>
      </c>
      <c r="E489" s="223">
        <f>C489+D489</f>
        <v>0</v>
      </c>
      <c r="F489" s="224">
        <f t="shared" si="131"/>
        <v>0</v>
      </c>
      <c r="G489" s="180">
        <f>(F$409-F$410)*E489</f>
        <v>0</v>
      </c>
      <c r="H489" s="635">
        <f>ROUND(F489*'Actual Load'!$B$23/'Zonal Load'!$N$23,2)</f>
        <v>0</v>
      </c>
      <c r="I489" s="180">
        <f t="shared" si="133"/>
        <v>0</v>
      </c>
      <c r="J489" s="180">
        <f t="shared" si="134"/>
        <v>0</v>
      </c>
      <c r="K489" s="180">
        <f t="shared" si="135"/>
        <v>0</v>
      </c>
      <c r="L489" s="181">
        <f>E489*'Interest Over Collect'!$J$14</f>
        <v>0</v>
      </c>
      <c r="M489" s="180">
        <f>+K489+L489</f>
        <v>0</v>
      </c>
      <c r="N489" s="203"/>
      <c r="O489" s="230"/>
    </row>
    <row r="490" spans="1:15" s="185" customFormat="1">
      <c r="B490" s="24" t="s">
        <v>35</v>
      </c>
      <c r="C490" s="222">
        <v>0</v>
      </c>
      <c r="D490" s="225">
        <v>0</v>
      </c>
      <c r="E490" s="223">
        <f>C490+D490</f>
        <v>0</v>
      </c>
      <c r="F490" s="224">
        <f t="shared" si="131"/>
        <v>0</v>
      </c>
      <c r="G490" s="180">
        <f>(F$409-F$410)*E490</f>
        <v>0</v>
      </c>
      <c r="H490" s="635">
        <f>ROUND(F490*'Actual Load'!$B$20/'Zonal Load'!$N$20,2)</f>
        <v>0</v>
      </c>
      <c r="I490" s="180">
        <f t="shared" si="133"/>
        <v>0</v>
      </c>
      <c r="J490" s="180">
        <f t="shared" si="134"/>
        <v>0</v>
      </c>
      <c r="K490" s="180">
        <f t="shared" si="135"/>
        <v>0</v>
      </c>
      <c r="L490" s="181">
        <f>E490*'Interest Over Collect'!$J$14</f>
        <v>0</v>
      </c>
      <c r="M490" s="180">
        <f>+K490+L490</f>
        <v>0</v>
      </c>
      <c r="N490" s="203"/>
      <c r="O490" s="230"/>
    </row>
    <row r="491" spans="1:15">
      <c r="A491" s="172"/>
      <c r="B491" s="25"/>
      <c r="C491" s="26">
        <f>SUM(C467:C490)</f>
        <v>0</v>
      </c>
      <c r="D491" s="27">
        <f>SUM(D467:D490)</f>
        <v>0</v>
      </c>
      <c r="E491" s="101">
        <f>SUM(E467:E490)</f>
        <v>1</v>
      </c>
      <c r="F491" s="95">
        <f>SUM(F467:F490)</f>
        <v>27808.5</v>
      </c>
      <c r="G491" s="78">
        <f t="shared" ref="G491:M491" si="138">SUM(G469:G490)</f>
        <v>1345.1989139446778</v>
      </c>
      <c r="H491" s="138">
        <f t="shared" si="138"/>
        <v>26565.25</v>
      </c>
      <c r="I491" s="79">
        <f t="shared" si="138"/>
        <v>27882.83</v>
      </c>
      <c r="J491" s="79">
        <f t="shared" si="138"/>
        <v>74.330000000001746</v>
      </c>
      <c r="K491" s="561">
        <f t="shared" si="138"/>
        <v>1419.5289139446795</v>
      </c>
      <c r="L491" s="79">
        <f t="shared" si="138"/>
        <v>26.57</v>
      </c>
      <c r="M491" s="79">
        <f t="shared" si="138"/>
        <v>1446.0989139446795</v>
      </c>
      <c r="N491" s="203"/>
      <c r="O491"/>
    </row>
    <row r="492" spans="1:15">
      <c r="A492" s="172"/>
      <c r="G492" s="21"/>
      <c r="I492" s="80"/>
      <c r="N492" s="203"/>
      <c r="O492"/>
    </row>
    <row r="493" spans="1:15">
      <c r="A493" s="172"/>
      <c r="E493" s="96" t="s">
        <v>618</v>
      </c>
      <c r="F493" s="178">
        <v>27808.504480376574</v>
      </c>
      <c r="N493" s="203"/>
      <c r="O493"/>
    </row>
    <row r="494" spans="1:15">
      <c r="A494" s="172"/>
      <c r="E494" s="97" t="s">
        <v>619</v>
      </c>
      <c r="F494" s="179">
        <v>26463.305566431896</v>
      </c>
      <c r="G494" s="632">
        <f>F493-F494</f>
        <v>1345.1989139446778</v>
      </c>
      <c r="H494" s="633"/>
      <c r="I494" s="29"/>
      <c r="L494" s="84"/>
      <c r="N494" s="203"/>
      <c r="O494"/>
    </row>
    <row r="495" spans="1:15">
      <c r="A495" s="172"/>
      <c r="E495" s="97" t="s">
        <v>160</v>
      </c>
      <c r="F495" s="186">
        <f>I491</f>
        <v>27882.83</v>
      </c>
      <c r="G495" s="632">
        <f>F495-F493</f>
        <v>74.325519623427681</v>
      </c>
      <c r="H495" s="634"/>
      <c r="N495" s="203"/>
      <c r="O495"/>
    </row>
    <row r="496" spans="1:15">
      <c r="A496" s="172"/>
      <c r="B496" s="148"/>
      <c r="C496" s="148"/>
      <c r="D496" s="149"/>
      <c r="E496" s="149"/>
      <c r="F496" s="149"/>
      <c r="G496" s="632">
        <f>G494+G495</f>
        <v>1419.5244335681055</v>
      </c>
      <c r="H496" s="633">
        <f>F495-F494</f>
        <v>1419.5244335681055</v>
      </c>
      <c r="I496" s="149"/>
      <c r="J496" s="146"/>
      <c r="K496"/>
      <c r="L496"/>
      <c r="M496"/>
      <c r="N496" s="203"/>
      <c r="O496"/>
    </row>
    <row r="497" spans="1:14">
      <c r="A497" s="172"/>
      <c r="B497" s="82"/>
      <c r="C497" s="82"/>
      <c r="D497" s="82"/>
      <c r="E497" s="82"/>
      <c r="F497" s="82"/>
      <c r="G497" s="82"/>
      <c r="H497" s="82"/>
      <c r="I497" s="82"/>
      <c r="J497" s="111"/>
      <c r="K497" s="82"/>
      <c r="L497" s="82"/>
      <c r="M497" s="82"/>
    </row>
    <row r="498" spans="1:14">
      <c r="A498" s="172"/>
      <c r="L498" s="81"/>
    </row>
    <row r="499" spans="1:14">
      <c r="A499" s="172"/>
      <c r="B499" s="640" t="s">
        <v>0</v>
      </c>
      <c r="C499" s="641"/>
      <c r="D499" s="642" t="s">
        <v>194</v>
      </c>
      <c r="E499" s="643"/>
      <c r="F499" s="643"/>
      <c r="G499" s="643"/>
      <c r="H499" s="644"/>
      <c r="I499" s="150"/>
      <c r="J499" s="1"/>
    </row>
    <row r="500" spans="1:14">
      <c r="A500" s="172"/>
      <c r="B500" s="645" t="s">
        <v>2</v>
      </c>
      <c r="C500" s="646"/>
      <c r="D500" s="647" t="s">
        <v>195</v>
      </c>
      <c r="E500" s="648"/>
      <c r="F500" s="648"/>
      <c r="G500" s="648"/>
      <c r="H500" s="649"/>
      <c r="I500" s="151"/>
      <c r="J500" s="1"/>
    </row>
    <row r="501" spans="1:14">
      <c r="A501" s="172"/>
      <c r="B501" s="645" t="s">
        <v>4</v>
      </c>
      <c r="C501" s="646"/>
      <c r="D501" s="650"/>
      <c r="E501" s="651"/>
      <c r="F501" s="651"/>
      <c r="G501" s="651"/>
      <c r="H501" s="652"/>
      <c r="I501" s="152"/>
      <c r="J501" s="1"/>
    </row>
    <row r="502" spans="1:14">
      <c r="A502" s="172"/>
      <c r="B502" s="653" t="s">
        <v>6</v>
      </c>
      <c r="C502" s="654"/>
      <c r="D502" s="655" t="s">
        <v>30</v>
      </c>
      <c r="E502" s="656"/>
      <c r="F502" s="656"/>
      <c r="G502" s="656"/>
      <c r="H502" s="657"/>
      <c r="I502" s="153"/>
      <c r="J502" s="1"/>
    </row>
    <row r="503" spans="1:14">
      <c r="A503" s="172"/>
      <c r="B503" s="76"/>
      <c r="C503" s="76"/>
      <c r="D503" s="76"/>
      <c r="E503" s="76"/>
      <c r="F503" s="76"/>
      <c r="J503" s="105" t="s">
        <v>163</v>
      </c>
      <c r="K503" s="3" t="s">
        <v>42</v>
      </c>
      <c r="M503" s="3" t="s">
        <v>56</v>
      </c>
    </row>
    <row r="504" spans="1:14">
      <c r="A504" s="172"/>
      <c r="B504" s="76"/>
      <c r="C504" s="76"/>
      <c r="D504" s="76"/>
      <c r="E504" s="76"/>
      <c r="F504" s="76"/>
      <c r="G504" s="3" t="s">
        <v>39</v>
      </c>
      <c r="H504" s="134" t="s">
        <v>40</v>
      </c>
      <c r="I504" s="98" t="s">
        <v>41</v>
      </c>
      <c r="J504" s="106" t="s">
        <v>164</v>
      </c>
      <c r="K504" s="4" t="s">
        <v>165</v>
      </c>
      <c r="L504" s="4" t="s">
        <v>55</v>
      </c>
      <c r="M504" s="4" t="s">
        <v>166</v>
      </c>
      <c r="N504" s="202"/>
    </row>
    <row r="505" spans="1:14">
      <c r="A505" s="172"/>
      <c r="B505" s="76"/>
      <c r="C505" s="76"/>
      <c r="D505" s="76"/>
      <c r="E505" s="76"/>
      <c r="F505" s="76"/>
      <c r="G505" s="5"/>
      <c r="H505" s="658" t="s">
        <v>43</v>
      </c>
      <c r="I505" s="659"/>
      <c r="J505" s="660"/>
      <c r="K505" s="6" t="s">
        <v>44</v>
      </c>
      <c r="L505" s="5"/>
      <c r="M505" s="6" t="s">
        <v>45</v>
      </c>
      <c r="N505" s="202"/>
    </row>
    <row r="506" spans="1:14">
      <c r="A506" s="172"/>
      <c r="B506" s="77"/>
      <c r="C506" s="7">
        <v>0.2</v>
      </c>
      <c r="D506" s="7">
        <v>0.8</v>
      </c>
      <c r="E506" s="7"/>
      <c r="F506" s="92" t="s">
        <v>162</v>
      </c>
      <c r="G506" s="8" t="s">
        <v>46</v>
      </c>
      <c r="H506" s="135"/>
      <c r="I506" s="5"/>
      <c r="J506" s="107" t="s">
        <v>47</v>
      </c>
      <c r="K506" s="8" t="s">
        <v>48</v>
      </c>
      <c r="L506" s="9"/>
      <c r="M506" s="8" t="s">
        <v>49</v>
      </c>
    </row>
    <row r="507" spans="1:14">
      <c r="A507" s="172"/>
      <c r="B507" s="10"/>
      <c r="C507" s="69" t="s">
        <v>9</v>
      </c>
      <c r="D507" s="69" t="s">
        <v>10</v>
      </c>
      <c r="E507" s="69" t="s">
        <v>11</v>
      </c>
      <c r="F507" s="93" t="s">
        <v>8</v>
      </c>
      <c r="G507" s="11" t="s">
        <v>50</v>
      </c>
      <c r="H507" s="136" t="s">
        <v>51</v>
      </c>
      <c r="I507" s="12" t="s">
        <v>159</v>
      </c>
      <c r="J507" s="108" t="s">
        <v>50</v>
      </c>
      <c r="K507" s="12" t="s">
        <v>50</v>
      </c>
      <c r="L507" s="12" t="s">
        <v>52</v>
      </c>
      <c r="M507" s="12" t="s">
        <v>53</v>
      </c>
    </row>
    <row r="508" spans="1:14" ht="31.5">
      <c r="A508" s="172"/>
      <c r="B508" s="13" t="s">
        <v>13</v>
      </c>
      <c r="C508" s="14" t="s">
        <v>14</v>
      </c>
      <c r="D508" s="14" t="s">
        <v>14</v>
      </c>
      <c r="E508" s="15" t="s">
        <v>14</v>
      </c>
      <c r="F508" s="94" t="s">
        <v>15</v>
      </c>
      <c r="G508" s="16" t="s">
        <v>54</v>
      </c>
      <c r="H508" s="137"/>
      <c r="I508" s="17"/>
      <c r="J508" s="109" t="s">
        <v>54</v>
      </c>
      <c r="K508" s="17"/>
      <c r="L508" s="17"/>
      <c r="M508" s="16" t="s">
        <v>54</v>
      </c>
    </row>
    <row r="509" spans="1:14" s="185" customFormat="1">
      <c r="B509" s="18" t="s">
        <v>16</v>
      </c>
      <c r="C509" s="222">
        <v>0</v>
      </c>
      <c r="D509" s="225">
        <v>0</v>
      </c>
      <c r="E509" s="223">
        <v>0</v>
      </c>
      <c r="F509" s="226">
        <f t="shared" ref="F509:F532" si="139">ROUND(+E509*F$535,2)</f>
        <v>0</v>
      </c>
      <c r="G509" s="180">
        <f>(F$535-F$536)*E509</f>
        <v>0</v>
      </c>
      <c r="H509" s="635">
        <f>ROUND(F509*'Actual Load'!$B$8/'Zonal Load'!$N$8,2)</f>
        <v>0</v>
      </c>
      <c r="I509" s="180">
        <f t="shared" ref="I509:I532" si="140">ROUND((H509*$H$912)/$H$910,2)</f>
        <v>0</v>
      </c>
      <c r="J509" s="180">
        <f t="shared" ref="J509:J532" si="141">I509-F509</f>
        <v>0</v>
      </c>
      <c r="K509" s="180">
        <f t="shared" ref="K509:K532" si="142">+G509+J509</f>
        <v>0</v>
      </c>
      <c r="L509" s="181">
        <f>E509*'Interest Under Collect '!$J$7</f>
        <v>0</v>
      </c>
      <c r="M509" s="180">
        <f t="shared" ref="M509:M516" si="143">+K509+L509</f>
        <v>0</v>
      </c>
      <c r="N509" s="86"/>
    </row>
    <row r="510" spans="1:14" s="185" customFormat="1">
      <c r="B510" s="23" t="s">
        <v>17</v>
      </c>
      <c r="C510" s="222">
        <v>0</v>
      </c>
      <c r="D510" s="225">
        <v>0</v>
      </c>
      <c r="E510" s="223">
        <v>0</v>
      </c>
      <c r="F510" s="224">
        <f t="shared" si="139"/>
        <v>0</v>
      </c>
      <c r="G510" s="180">
        <f t="shared" ref="G510:G532" si="144">(F$535-F$536)*E510</f>
        <v>0</v>
      </c>
      <c r="H510" s="635">
        <f>ROUND(F510*'Actual Load'!$B$14/'Zonal Load'!$N$14,2)</f>
        <v>0</v>
      </c>
      <c r="I510" s="180">
        <f t="shared" si="140"/>
        <v>0</v>
      </c>
      <c r="J510" s="180">
        <f t="shared" si="141"/>
        <v>0</v>
      </c>
      <c r="K510" s="180">
        <f t="shared" si="142"/>
        <v>0</v>
      </c>
      <c r="L510" s="181">
        <f>E510*'Interest Under Collect '!$J$7</f>
        <v>0</v>
      </c>
      <c r="M510" s="180">
        <f t="shared" si="143"/>
        <v>0</v>
      </c>
      <c r="N510" s="86"/>
    </row>
    <row r="511" spans="1:14" s="185" customFormat="1">
      <c r="B511" s="23" t="s">
        <v>201</v>
      </c>
      <c r="C511" s="222">
        <f>0%*0.421</f>
        <v>0</v>
      </c>
      <c r="D511" s="225">
        <f>0%*0.421</f>
        <v>0</v>
      </c>
      <c r="E511" s="223">
        <v>0</v>
      </c>
      <c r="F511" s="224">
        <f t="shared" si="139"/>
        <v>0</v>
      </c>
      <c r="G511" s="180">
        <f t="shared" si="144"/>
        <v>0</v>
      </c>
      <c r="H511" s="635">
        <f>ROUND(F511*'Actual Load'!$B$9/'Zonal Load'!$N$9,2)</f>
        <v>0</v>
      </c>
      <c r="I511" s="180">
        <f t="shared" si="140"/>
        <v>0</v>
      </c>
      <c r="J511" s="180">
        <f t="shared" si="141"/>
        <v>0</v>
      </c>
      <c r="K511" s="180">
        <f t="shared" si="142"/>
        <v>0</v>
      </c>
      <c r="L511" s="181">
        <f>E511*'Interest Under Collect '!$J$7</f>
        <v>0</v>
      </c>
      <c r="M511" s="180">
        <f t="shared" si="143"/>
        <v>0</v>
      </c>
      <c r="N511" s="86"/>
    </row>
    <row r="512" spans="1:14" s="185" customFormat="1">
      <c r="B512" s="132" t="s">
        <v>260</v>
      </c>
      <c r="C512" s="222">
        <f>0%*0.579</f>
        <v>0</v>
      </c>
      <c r="D512" s="225">
        <f>0%*0.579</f>
        <v>0</v>
      </c>
      <c r="E512" s="223">
        <v>0</v>
      </c>
      <c r="F512" s="224">
        <f t="shared" si="139"/>
        <v>0</v>
      </c>
      <c r="G512" s="180">
        <f>(F$535-F$536)*E512</f>
        <v>0</v>
      </c>
      <c r="H512" s="635">
        <f>ROUND(F512*'Actual Load'!$B$10/'Zonal Load'!$N$10,2)</f>
        <v>0</v>
      </c>
      <c r="I512" s="180">
        <f t="shared" si="140"/>
        <v>0</v>
      </c>
      <c r="J512" s="180">
        <f>I512-F512</f>
        <v>0</v>
      </c>
      <c r="K512" s="180">
        <f>+G512+J512</f>
        <v>0</v>
      </c>
      <c r="L512" s="181">
        <f>E512*'Interest Under Collect '!$J$7</f>
        <v>0</v>
      </c>
      <c r="M512" s="180">
        <f>+K512+L512</f>
        <v>0</v>
      </c>
      <c r="N512" s="86"/>
    </row>
    <row r="513" spans="1:14" s="185" customFormat="1">
      <c r="B513" s="23" t="s">
        <v>18</v>
      </c>
      <c r="C513" s="222">
        <v>0</v>
      </c>
      <c r="D513" s="225">
        <v>0</v>
      </c>
      <c r="E513" s="223">
        <v>0</v>
      </c>
      <c r="F513" s="224">
        <f t="shared" si="139"/>
        <v>0</v>
      </c>
      <c r="G513" s="180">
        <f t="shared" si="144"/>
        <v>0</v>
      </c>
      <c r="H513" s="635">
        <f>ROUND(F513*'Actual Load'!$B$26/'Zonal Load'!$N$26,2)</f>
        <v>0</v>
      </c>
      <c r="I513" s="180">
        <f t="shared" si="140"/>
        <v>0</v>
      </c>
      <c r="J513" s="180">
        <f t="shared" si="141"/>
        <v>0</v>
      </c>
      <c r="K513" s="180">
        <f t="shared" si="142"/>
        <v>0</v>
      </c>
      <c r="L513" s="181">
        <f>E513*'Interest Under Collect '!$J$7</f>
        <v>0</v>
      </c>
      <c r="M513" s="180">
        <f t="shared" si="143"/>
        <v>0</v>
      </c>
      <c r="N513" s="86"/>
    </row>
    <row r="514" spans="1:14" s="185" customFormat="1">
      <c r="B514" s="23" t="s">
        <v>19</v>
      </c>
      <c r="C514" s="222">
        <v>0</v>
      </c>
      <c r="D514" s="225">
        <v>0</v>
      </c>
      <c r="E514" s="223">
        <v>0</v>
      </c>
      <c r="F514" s="224">
        <f t="shared" si="139"/>
        <v>0</v>
      </c>
      <c r="G514" s="180">
        <f t="shared" si="144"/>
        <v>0</v>
      </c>
      <c r="H514" s="635">
        <f>ROUND(F514*'Actual Load'!$B$16/'Zonal Load'!$N$16,2)</f>
        <v>0</v>
      </c>
      <c r="I514" s="180">
        <f t="shared" si="140"/>
        <v>0</v>
      </c>
      <c r="J514" s="180">
        <f t="shared" si="141"/>
        <v>0</v>
      </c>
      <c r="K514" s="180">
        <f t="shared" si="142"/>
        <v>0</v>
      </c>
      <c r="L514" s="181">
        <f>E514*'Interest Under Collect '!$J$7</f>
        <v>0</v>
      </c>
      <c r="M514" s="180">
        <f t="shared" si="143"/>
        <v>0</v>
      </c>
      <c r="N514" s="86"/>
    </row>
    <row r="515" spans="1:14" s="185" customFormat="1">
      <c r="B515" s="23" t="s">
        <v>20</v>
      </c>
      <c r="C515" s="222">
        <v>0</v>
      </c>
      <c r="D515" s="225">
        <v>0</v>
      </c>
      <c r="E515" s="223">
        <v>0</v>
      </c>
      <c r="F515" s="224">
        <f t="shared" si="139"/>
        <v>0</v>
      </c>
      <c r="G515" s="180">
        <f t="shared" si="144"/>
        <v>0</v>
      </c>
      <c r="H515" s="635">
        <f>ROUND(F515*'Actual Load'!$B$22/'Zonal Load'!$N$22,2)</f>
        <v>0</v>
      </c>
      <c r="I515" s="180">
        <f t="shared" si="140"/>
        <v>0</v>
      </c>
      <c r="J515" s="180">
        <f t="shared" si="141"/>
        <v>0</v>
      </c>
      <c r="K515" s="180">
        <f t="shared" si="142"/>
        <v>0</v>
      </c>
      <c r="L515" s="181">
        <f>E515*'Interest Under Collect '!$J$7</f>
        <v>0</v>
      </c>
      <c r="M515" s="180">
        <f t="shared" si="143"/>
        <v>0</v>
      </c>
      <c r="N515" s="86"/>
    </row>
    <row r="516" spans="1:14" s="185" customFormat="1">
      <c r="B516" s="23" t="s">
        <v>21</v>
      </c>
      <c r="C516" s="222">
        <v>0</v>
      </c>
      <c r="D516" s="225">
        <v>0</v>
      </c>
      <c r="E516" s="223">
        <v>0</v>
      </c>
      <c r="F516" s="224">
        <f t="shared" si="139"/>
        <v>0</v>
      </c>
      <c r="G516" s="180">
        <f t="shared" si="144"/>
        <v>0</v>
      </c>
      <c r="H516" s="635">
        <f>ROUND(F516*'Actual Load'!$B$17/'Zonal Load'!$N$17,2)</f>
        <v>0</v>
      </c>
      <c r="I516" s="180">
        <f t="shared" si="140"/>
        <v>0</v>
      </c>
      <c r="J516" s="180">
        <f t="shared" si="141"/>
        <v>0</v>
      </c>
      <c r="K516" s="180">
        <f t="shared" si="142"/>
        <v>0</v>
      </c>
      <c r="L516" s="181">
        <f>E516*'Interest Under Collect '!$J$7</f>
        <v>0</v>
      </c>
      <c r="M516" s="180">
        <f t="shared" si="143"/>
        <v>0</v>
      </c>
      <c r="N516" s="86"/>
    </row>
    <row r="517" spans="1:14" s="185" customFormat="1">
      <c r="B517" s="23" t="s">
        <v>22</v>
      </c>
      <c r="C517" s="222">
        <v>0</v>
      </c>
      <c r="D517" s="225">
        <v>0</v>
      </c>
      <c r="E517" s="223">
        <v>0</v>
      </c>
      <c r="F517" s="224">
        <f t="shared" si="139"/>
        <v>0</v>
      </c>
      <c r="G517" s="180">
        <f t="shared" si="144"/>
        <v>0</v>
      </c>
      <c r="H517" s="635">
        <f>ROUND(F517*'Actual Load'!$B$15/'Zonal Load'!$N$15,2)</f>
        <v>0</v>
      </c>
      <c r="I517" s="180">
        <f t="shared" si="140"/>
        <v>0</v>
      </c>
      <c r="J517" s="180">
        <f t="shared" si="141"/>
        <v>0</v>
      </c>
      <c r="K517" s="180">
        <f t="shared" si="142"/>
        <v>0</v>
      </c>
      <c r="L517" s="181">
        <f>E517*'Interest Under Collect '!$J$7</f>
        <v>0</v>
      </c>
      <c r="M517" s="180">
        <f>+K517+L517</f>
        <v>0</v>
      </c>
      <c r="N517" s="86"/>
    </row>
    <row r="518" spans="1:14" s="185" customFormat="1">
      <c r="B518" s="23" t="s">
        <v>23</v>
      </c>
      <c r="C518" s="222">
        <v>0</v>
      </c>
      <c r="D518" s="225">
        <v>0</v>
      </c>
      <c r="E518" s="223">
        <v>0.27721319624647683</v>
      </c>
      <c r="F518" s="224">
        <f t="shared" si="139"/>
        <v>138235.57999999999</v>
      </c>
      <c r="G518" s="180">
        <f t="shared" si="144"/>
        <v>-9027.1690403347984</v>
      </c>
      <c r="H518" s="635">
        <f>ROUND(F518*'Actual Load'!$B$4/'Zonal Load'!$N$4,2)</f>
        <v>135949.92000000001</v>
      </c>
      <c r="I518" s="180">
        <f t="shared" si="140"/>
        <v>142692.74</v>
      </c>
      <c r="J518" s="180">
        <f t="shared" si="141"/>
        <v>4457.1600000000035</v>
      </c>
      <c r="K518" s="180">
        <f t="shared" si="142"/>
        <v>-4570.0090403347949</v>
      </c>
      <c r="L518" s="181">
        <f>E518*'Interest Under Collect '!$J$7</f>
        <v>-64.507510766555157</v>
      </c>
      <c r="M518" s="180">
        <f t="shared" ref="M518:M529" si="145">+K518+L518</f>
        <v>-4634.5165511013502</v>
      </c>
      <c r="N518" s="86"/>
    </row>
    <row r="519" spans="1:14" s="185" customFormat="1">
      <c r="B519" s="23" t="s">
        <v>24</v>
      </c>
      <c r="C519" s="222">
        <v>0</v>
      </c>
      <c r="D519" s="225">
        <v>0</v>
      </c>
      <c r="E519" s="223">
        <v>0</v>
      </c>
      <c r="F519" s="224">
        <f t="shared" si="139"/>
        <v>0</v>
      </c>
      <c r="G519" s="180">
        <f t="shared" si="144"/>
        <v>0</v>
      </c>
      <c r="H519" s="635">
        <f>ROUND(F519*'Actual Load'!$B$11/'Zonal Load'!$N$11,2)</f>
        <v>0</v>
      </c>
      <c r="I519" s="180">
        <f t="shared" si="140"/>
        <v>0</v>
      </c>
      <c r="J519" s="180">
        <f t="shared" si="141"/>
        <v>0</v>
      </c>
      <c r="K519" s="180">
        <f t="shared" si="142"/>
        <v>0</v>
      </c>
      <c r="L519" s="181">
        <f>E519*'Interest Under Collect '!$J$7</f>
        <v>0</v>
      </c>
      <c r="M519" s="180">
        <f t="shared" si="145"/>
        <v>0</v>
      </c>
      <c r="N519" s="86"/>
    </row>
    <row r="520" spans="1:14" s="185" customFormat="1">
      <c r="B520" s="23" t="s">
        <v>26</v>
      </c>
      <c r="C520" s="222">
        <v>0</v>
      </c>
      <c r="D520" s="225">
        <v>0</v>
      </c>
      <c r="E520" s="223">
        <v>0</v>
      </c>
      <c r="F520" s="224">
        <f t="shared" si="139"/>
        <v>0</v>
      </c>
      <c r="G520" s="180">
        <f t="shared" si="144"/>
        <v>0</v>
      </c>
      <c r="H520" s="635">
        <f>ROUND(F520*'Actual Load'!$B$7/'Zonal Load'!$N$7,2)</f>
        <v>0</v>
      </c>
      <c r="I520" s="180">
        <f t="shared" si="140"/>
        <v>0</v>
      </c>
      <c r="J520" s="180">
        <f t="shared" si="141"/>
        <v>0</v>
      </c>
      <c r="K520" s="180">
        <f t="shared" si="142"/>
        <v>0</v>
      </c>
      <c r="L520" s="181">
        <f>E520*'Interest Under Collect '!$J$7</f>
        <v>0</v>
      </c>
      <c r="M520" s="180">
        <f t="shared" si="145"/>
        <v>0</v>
      </c>
      <c r="N520" s="86"/>
    </row>
    <row r="521" spans="1:14" s="185" customFormat="1">
      <c r="B521" s="23" t="s">
        <v>25</v>
      </c>
      <c r="C521" s="222">
        <v>0</v>
      </c>
      <c r="D521" s="225">
        <v>0</v>
      </c>
      <c r="E521" s="223">
        <v>0</v>
      </c>
      <c r="F521" s="224">
        <f t="shared" si="139"/>
        <v>0</v>
      </c>
      <c r="G521" s="180">
        <f t="shared" si="144"/>
        <v>0</v>
      </c>
      <c r="H521" s="635">
        <f>ROUND(F521*'Actual Load'!$B$6/'Zonal Load'!$N$6,2)</f>
        <v>0</v>
      </c>
      <c r="I521" s="180">
        <f t="shared" si="140"/>
        <v>0</v>
      </c>
      <c r="J521" s="180">
        <f t="shared" si="141"/>
        <v>0</v>
      </c>
      <c r="K521" s="180">
        <f t="shared" si="142"/>
        <v>0</v>
      </c>
      <c r="L521" s="181">
        <f>E521*'Interest Under Collect '!$J$7</f>
        <v>0</v>
      </c>
      <c r="M521" s="180">
        <f t="shared" si="145"/>
        <v>0</v>
      </c>
      <c r="N521" s="86"/>
    </row>
    <row r="522" spans="1:14" s="185" customFormat="1">
      <c r="B522" s="23" t="s">
        <v>119</v>
      </c>
      <c r="C522" s="222">
        <v>0</v>
      </c>
      <c r="D522" s="225">
        <v>0</v>
      </c>
      <c r="E522" s="223">
        <v>0</v>
      </c>
      <c r="F522" s="224">
        <f t="shared" si="139"/>
        <v>0</v>
      </c>
      <c r="G522" s="180">
        <f t="shared" si="144"/>
        <v>0</v>
      </c>
      <c r="H522" s="635">
        <f>ROUND(F522*'Actual Load'!$B$18/'Zonal Load'!$N$18,2)</f>
        <v>0</v>
      </c>
      <c r="I522" s="180">
        <f t="shared" si="140"/>
        <v>0</v>
      </c>
      <c r="J522" s="180">
        <f t="shared" si="141"/>
        <v>0</v>
      </c>
      <c r="K522" s="180">
        <f t="shared" si="142"/>
        <v>0</v>
      </c>
      <c r="L522" s="181">
        <f>E522*'Interest Under Collect '!$J$7</f>
        <v>0</v>
      </c>
      <c r="M522" s="180">
        <f t="shared" si="145"/>
        <v>0</v>
      </c>
      <c r="N522" s="86"/>
    </row>
    <row r="523" spans="1:14" s="185" customFormat="1">
      <c r="B523" s="23" t="s">
        <v>120</v>
      </c>
      <c r="C523" s="222">
        <v>0</v>
      </c>
      <c r="D523" s="225">
        <v>0</v>
      </c>
      <c r="E523" s="223">
        <v>0</v>
      </c>
      <c r="F523" s="224">
        <f t="shared" si="139"/>
        <v>0</v>
      </c>
      <c r="G523" s="180">
        <f t="shared" si="144"/>
        <v>0</v>
      </c>
      <c r="H523" s="635">
        <f>ROUND(F523*'Actual Load'!$B$17/'Zonal Load'!$N$17,2)</f>
        <v>0</v>
      </c>
      <c r="I523" s="180">
        <f t="shared" si="140"/>
        <v>0</v>
      </c>
      <c r="J523" s="180">
        <f t="shared" si="141"/>
        <v>0</v>
      </c>
      <c r="K523" s="180">
        <f t="shared" si="142"/>
        <v>0</v>
      </c>
      <c r="L523" s="181">
        <f>E523*'Interest Under Collect '!$J$7</f>
        <v>0</v>
      </c>
      <c r="M523" s="180">
        <f t="shared" si="145"/>
        <v>0</v>
      </c>
      <c r="N523" s="86"/>
    </row>
    <row r="524" spans="1:14" s="185" customFormat="1">
      <c r="B524" s="23" t="s">
        <v>27</v>
      </c>
      <c r="C524" s="222">
        <v>0</v>
      </c>
      <c r="D524" s="225">
        <v>0</v>
      </c>
      <c r="E524" s="223">
        <v>0</v>
      </c>
      <c r="F524" s="224">
        <f t="shared" si="139"/>
        <v>0</v>
      </c>
      <c r="G524" s="180">
        <f t="shared" si="144"/>
        <v>0</v>
      </c>
      <c r="H524" s="635">
        <f>ROUND(F524*'Actual Load'!$B$12/'Zonal Load'!$N$12,2)</f>
        <v>0</v>
      </c>
      <c r="I524" s="180">
        <f t="shared" si="140"/>
        <v>0</v>
      </c>
      <c r="J524" s="180">
        <f t="shared" si="141"/>
        <v>0</v>
      </c>
      <c r="K524" s="180">
        <f t="shared" si="142"/>
        <v>0</v>
      </c>
      <c r="L524" s="181">
        <f>E524*'Interest Under Collect '!$J$7</f>
        <v>0</v>
      </c>
      <c r="M524" s="180">
        <f t="shared" si="145"/>
        <v>0</v>
      </c>
      <c r="N524" s="86"/>
    </row>
    <row r="525" spans="1:14" s="185" customFormat="1">
      <c r="B525" s="23" t="s">
        <v>28</v>
      </c>
      <c r="C525" s="222">
        <v>0</v>
      </c>
      <c r="D525" s="225">
        <v>0</v>
      </c>
      <c r="E525" s="223">
        <v>0</v>
      </c>
      <c r="F525" s="224">
        <f t="shared" si="139"/>
        <v>0</v>
      </c>
      <c r="G525" s="180">
        <f t="shared" si="144"/>
        <v>0</v>
      </c>
      <c r="H525" s="635">
        <f>ROUND(F525*'Actual Load'!$B$24/'Zonal Load'!$N$24,2)</f>
        <v>0</v>
      </c>
      <c r="I525" s="180">
        <f t="shared" si="140"/>
        <v>0</v>
      </c>
      <c r="J525" s="180">
        <f t="shared" si="141"/>
        <v>0</v>
      </c>
      <c r="K525" s="180">
        <f t="shared" si="142"/>
        <v>0</v>
      </c>
      <c r="L525" s="181">
        <f>E525*'Interest Under Collect '!$J$7</f>
        <v>0</v>
      </c>
      <c r="M525" s="180">
        <f t="shared" si="145"/>
        <v>0</v>
      </c>
      <c r="N525" s="86"/>
    </row>
    <row r="526" spans="1:14" s="185" customFormat="1">
      <c r="B526" s="23" t="s">
        <v>29</v>
      </c>
      <c r="C526" s="222">
        <v>0</v>
      </c>
      <c r="D526" s="225">
        <v>0</v>
      </c>
      <c r="E526" s="223">
        <v>8.4089508733094145E-3</v>
      </c>
      <c r="F526" s="224">
        <f t="shared" si="139"/>
        <v>4193.22</v>
      </c>
      <c r="G526" s="180">
        <f t="shared" si="144"/>
        <v>-273.8290312764999</v>
      </c>
      <c r="H526" s="635">
        <f>ROUND(F526*'Actual Load'!$B$5/'Zonal Load'!$N$5,2)</f>
        <v>4068.57</v>
      </c>
      <c r="I526" s="180">
        <f t="shared" si="140"/>
        <v>4270.3599999999997</v>
      </c>
      <c r="J526" s="180">
        <f t="shared" si="141"/>
        <v>77.139999999999418</v>
      </c>
      <c r="K526" s="180">
        <f t="shared" si="142"/>
        <v>-196.68903127650049</v>
      </c>
      <c r="L526" s="181">
        <f>E526*'Interest Under Collect '!$J$7</f>
        <v>-1.9567628682191007</v>
      </c>
      <c r="M526" s="180">
        <f t="shared" si="145"/>
        <v>-198.64579414471959</v>
      </c>
      <c r="N526" s="86"/>
    </row>
    <row r="527" spans="1:14" s="185" customFormat="1">
      <c r="B527" s="23" t="s">
        <v>30</v>
      </c>
      <c r="C527" s="222">
        <v>0</v>
      </c>
      <c r="D527" s="225">
        <v>0</v>
      </c>
      <c r="E527" s="223">
        <v>0.56719385206301198</v>
      </c>
      <c r="F527" s="224">
        <f t="shared" si="139"/>
        <v>282837.8</v>
      </c>
      <c r="G527" s="180">
        <f t="shared" si="144"/>
        <v>-18470.09756584245</v>
      </c>
      <c r="H527" s="635">
        <f>ROUND(F527*'Actual Load'!$B$21/'Zonal Load'!$N$21,2)</f>
        <v>270192.78000000003</v>
      </c>
      <c r="I527" s="180">
        <f t="shared" si="140"/>
        <v>283593.75</v>
      </c>
      <c r="J527" s="180">
        <f t="shared" si="141"/>
        <v>755.95000000001164</v>
      </c>
      <c r="K527" s="180">
        <f t="shared" si="142"/>
        <v>-17714.147565842439</v>
      </c>
      <c r="L527" s="181">
        <f>E527*'Interest Under Collect '!$J$7</f>
        <v>-131.98600937506288</v>
      </c>
      <c r="M527" s="180">
        <f t="shared" si="145"/>
        <v>-17846.1335752175</v>
      </c>
      <c r="N527" s="86"/>
    </row>
    <row r="528" spans="1:14" s="185" customFormat="1">
      <c r="B528" s="23" t="s">
        <v>31</v>
      </c>
      <c r="C528" s="222">
        <v>0</v>
      </c>
      <c r="D528" s="225">
        <v>0</v>
      </c>
      <c r="E528" s="223">
        <v>0</v>
      </c>
      <c r="F528" s="224">
        <f t="shared" si="139"/>
        <v>0</v>
      </c>
      <c r="G528" s="180">
        <f t="shared" si="144"/>
        <v>0</v>
      </c>
      <c r="H528" s="635">
        <f>ROUND(F528*'Actual Load'!$B$19/'Zonal Load'!$N$19,2)</f>
        <v>0</v>
      </c>
      <c r="I528" s="180">
        <f t="shared" si="140"/>
        <v>0</v>
      </c>
      <c r="J528" s="180">
        <f t="shared" si="141"/>
        <v>0</v>
      </c>
      <c r="K528" s="180">
        <f t="shared" si="142"/>
        <v>0</v>
      </c>
      <c r="L528" s="181">
        <f>E528*'Interest Under Collect '!$J$7</f>
        <v>0</v>
      </c>
      <c r="M528" s="180">
        <f t="shared" si="145"/>
        <v>0</v>
      </c>
      <c r="N528" s="86"/>
    </row>
    <row r="529" spans="1:14" s="185" customFormat="1">
      <c r="B529" s="23" t="s">
        <v>32</v>
      </c>
      <c r="C529" s="222">
        <v>0</v>
      </c>
      <c r="D529" s="225">
        <v>0</v>
      </c>
      <c r="E529" s="223">
        <v>6.3941395110162155E-2</v>
      </c>
      <c r="F529" s="224">
        <f t="shared" si="139"/>
        <v>31885.119999999999</v>
      </c>
      <c r="G529" s="180">
        <f t="shared" si="144"/>
        <v>-2082.1872484780979</v>
      </c>
      <c r="H529" s="635">
        <f>ROUND(F529*'Actual Load'!$B$25/'Zonal Load'!$N$25,2)</f>
        <v>30452.03</v>
      </c>
      <c r="I529" s="180">
        <f t="shared" si="140"/>
        <v>31962.38</v>
      </c>
      <c r="J529" s="180">
        <f t="shared" si="141"/>
        <v>77.260000000002037</v>
      </c>
      <c r="K529" s="180">
        <f t="shared" si="142"/>
        <v>-2004.9272484780959</v>
      </c>
      <c r="L529" s="181">
        <f>E529*'Interest Under Collect '!$J$7</f>
        <v>-14.879162642134732</v>
      </c>
      <c r="M529" s="180">
        <f t="shared" si="145"/>
        <v>-2019.8064111202307</v>
      </c>
      <c r="N529" s="86"/>
    </row>
    <row r="530" spans="1:14" s="185" customFormat="1">
      <c r="B530" s="23" t="s">
        <v>33</v>
      </c>
      <c r="C530" s="222">
        <v>0</v>
      </c>
      <c r="D530" s="225">
        <v>0</v>
      </c>
      <c r="E530" s="223">
        <v>8.3242605707039702E-2</v>
      </c>
      <c r="F530" s="224">
        <f t="shared" si="139"/>
        <v>41509.89</v>
      </c>
      <c r="G530" s="180">
        <f t="shared" si="144"/>
        <v>-2710.7117671528808</v>
      </c>
      <c r="H530" s="635">
        <f>ROUND(F530*'Actual Load'!$B$13/'Zonal Load'!$N$13,2)</f>
        <v>40271.83</v>
      </c>
      <c r="I530" s="180">
        <f t="shared" si="140"/>
        <v>42269.22</v>
      </c>
      <c r="J530" s="180">
        <f t="shared" si="141"/>
        <v>759.33000000000175</v>
      </c>
      <c r="K530" s="180">
        <f t="shared" si="142"/>
        <v>-1951.3817671528791</v>
      </c>
      <c r="L530" s="181">
        <f>E530*'Interest Under Collect '!$J$7</f>
        <v>-19.370554348028136</v>
      </c>
      <c r="M530" s="180">
        <f>+K530+L530</f>
        <v>-1970.7523215009073</v>
      </c>
      <c r="N530" s="86"/>
    </row>
    <row r="531" spans="1:14" s="185" customFormat="1">
      <c r="B531" s="23" t="s">
        <v>34</v>
      </c>
      <c r="C531" s="222">
        <v>0</v>
      </c>
      <c r="D531" s="225">
        <v>0</v>
      </c>
      <c r="E531" s="223">
        <v>0</v>
      </c>
      <c r="F531" s="224">
        <f t="shared" si="139"/>
        <v>0</v>
      </c>
      <c r="G531" s="180">
        <f t="shared" si="144"/>
        <v>0</v>
      </c>
      <c r="H531" s="635">
        <f>ROUND(F531*'Actual Load'!$B$23/'Zonal Load'!$N$23,2)</f>
        <v>0</v>
      </c>
      <c r="I531" s="180">
        <f t="shared" si="140"/>
        <v>0</v>
      </c>
      <c r="J531" s="180">
        <f t="shared" si="141"/>
        <v>0</v>
      </c>
      <c r="K531" s="180">
        <f t="shared" si="142"/>
        <v>0</v>
      </c>
      <c r="L531" s="181">
        <f>E531*'Interest Under Collect '!$J$7</f>
        <v>0</v>
      </c>
      <c r="M531" s="180">
        <f>+K531+L531</f>
        <v>0</v>
      </c>
      <c r="N531" s="86"/>
    </row>
    <row r="532" spans="1:14" s="185" customFormat="1">
      <c r="B532" s="24" t="s">
        <v>35</v>
      </c>
      <c r="C532" s="222">
        <v>0</v>
      </c>
      <c r="D532" s="225">
        <v>0</v>
      </c>
      <c r="E532" s="223">
        <v>0</v>
      </c>
      <c r="F532" s="224">
        <f t="shared" si="139"/>
        <v>0</v>
      </c>
      <c r="G532" s="180">
        <f t="shared" si="144"/>
        <v>0</v>
      </c>
      <c r="H532" s="635">
        <f>ROUND(F532*'Actual Load'!$B$20/'Zonal Load'!$N$20,2)</f>
        <v>0</v>
      </c>
      <c r="I532" s="180">
        <f t="shared" si="140"/>
        <v>0</v>
      </c>
      <c r="J532" s="180">
        <f t="shared" si="141"/>
        <v>0</v>
      </c>
      <c r="K532" s="180">
        <f t="shared" si="142"/>
        <v>0</v>
      </c>
      <c r="L532" s="181">
        <f>E532*'Interest Under Collect '!$J$7</f>
        <v>0</v>
      </c>
      <c r="M532" s="180">
        <f>+K532+L532</f>
        <v>0</v>
      </c>
      <c r="N532" s="86"/>
    </row>
    <row r="533" spans="1:14">
      <c r="A533" s="172"/>
      <c r="B533" s="25"/>
      <c r="C533" s="26">
        <f>SUM(C509:C532)</f>
        <v>0</v>
      </c>
      <c r="D533" s="27">
        <f>SUM(D509:D532)</f>
        <v>0</v>
      </c>
      <c r="E533" s="101">
        <f>SUM(E509:E532)</f>
        <v>1</v>
      </c>
      <c r="F533" s="95">
        <f>SUM(F509:F532)</f>
        <v>498661.61</v>
      </c>
      <c r="G533" s="78">
        <f t="shared" ref="G533:M533" si="146">SUM(G511:G532)</f>
        <v>-32563.994653084726</v>
      </c>
      <c r="H533" s="138">
        <f t="shared" si="146"/>
        <v>480935.13000000006</v>
      </c>
      <c r="I533" s="79">
        <f t="shared" si="146"/>
        <v>504788.44999999995</v>
      </c>
      <c r="J533" s="79">
        <f t="shared" si="146"/>
        <v>6126.8400000000183</v>
      </c>
      <c r="K533" s="587">
        <f t="shared" si="146"/>
        <v>-26437.154653084708</v>
      </c>
      <c r="L533" s="79">
        <f t="shared" si="146"/>
        <v>-232.7</v>
      </c>
      <c r="M533" s="79">
        <f t="shared" si="146"/>
        <v>-26669.854653084705</v>
      </c>
    </row>
    <row r="534" spans="1:14">
      <c r="A534" s="172"/>
      <c r="G534" s="21"/>
      <c r="I534" s="80"/>
      <c r="N534" s="203"/>
    </row>
    <row r="535" spans="1:14">
      <c r="A535" s="172"/>
      <c r="E535" s="96" t="s">
        <v>618</v>
      </c>
      <c r="F535" s="178">
        <v>498661.60408780497</v>
      </c>
      <c r="K535" s="172"/>
      <c r="N535" s="203"/>
    </row>
    <row r="536" spans="1:14">
      <c r="A536" s="172"/>
      <c r="E536" s="97" t="s">
        <v>619</v>
      </c>
      <c r="F536" s="179">
        <v>531225.59874088969</v>
      </c>
      <c r="G536" s="632">
        <f>F535-F536</f>
        <v>-32563.994653084723</v>
      </c>
      <c r="H536" s="633"/>
      <c r="I536" s="29"/>
      <c r="L536" s="84"/>
      <c r="N536" s="203"/>
    </row>
    <row r="537" spans="1:14">
      <c r="A537" s="172"/>
      <c r="E537" s="97" t="s">
        <v>160</v>
      </c>
      <c r="F537" s="186">
        <f>I533</f>
        <v>504788.44999999995</v>
      </c>
      <c r="G537" s="632">
        <f>F537-F535</f>
        <v>6126.8459121949854</v>
      </c>
      <c r="H537" s="634"/>
      <c r="N537" s="203"/>
    </row>
    <row r="538" spans="1:14">
      <c r="A538" s="172"/>
      <c r="B538" s="147"/>
      <c r="C538" s="147"/>
      <c r="D538" s="147"/>
      <c r="E538" s="147"/>
      <c r="F538" s="147"/>
      <c r="G538" s="632">
        <f>G536+G537</f>
        <v>-26437.148740889737</v>
      </c>
      <c r="H538" s="633">
        <f>F537-F536</f>
        <v>-26437.148740889737</v>
      </c>
      <c r="I538" s="147"/>
      <c r="J538" s="147"/>
      <c r="K538"/>
      <c r="L538"/>
      <c r="M538"/>
      <c r="N538" s="203"/>
    </row>
    <row r="539" spans="1:14">
      <c r="A539" s="172"/>
      <c r="B539" s="82"/>
      <c r="C539" s="82"/>
      <c r="D539" s="82"/>
      <c r="E539" s="82"/>
      <c r="F539" s="82"/>
      <c r="G539" s="82"/>
      <c r="H539" s="82"/>
      <c r="I539" s="82"/>
      <c r="J539" s="111"/>
      <c r="K539" s="82"/>
      <c r="L539" s="82"/>
      <c r="M539" s="82"/>
      <c r="N539" s="203"/>
    </row>
    <row r="540" spans="1:14">
      <c r="A540" s="172"/>
      <c r="L540" s="81"/>
      <c r="N540" s="203"/>
    </row>
    <row r="541" spans="1:14">
      <c r="A541" s="172"/>
      <c r="B541" s="640" t="s">
        <v>0</v>
      </c>
      <c r="C541" s="641"/>
      <c r="D541" s="642">
        <v>1285</v>
      </c>
      <c r="E541" s="643"/>
      <c r="F541" s="643"/>
      <c r="G541" s="643"/>
      <c r="H541" s="644"/>
      <c r="I541" s="150"/>
      <c r="J541" s="1"/>
      <c r="N541" s="203"/>
    </row>
    <row r="542" spans="1:14" ht="15.75" customHeight="1">
      <c r="A542" s="172"/>
      <c r="B542" s="645" t="s">
        <v>2</v>
      </c>
      <c r="C542" s="646"/>
      <c r="D542" s="647" t="s">
        <v>257</v>
      </c>
      <c r="E542" s="648"/>
      <c r="F542" s="648"/>
      <c r="G542" s="648"/>
      <c r="H542" s="649"/>
      <c r="I542" s="151"/>
      <c r="J542" s="1"/>
      <c r="N542" s="203"/>
    </row>
    <row r="543" spans="1:14">
      <c r="A543" s="172"/>
      <c r="B543" s="645" t="s">
        <v>4</v>
      </c>
      <c r="C543" s="646"/>
      <c r="D543" s="650" t="s">
        <v>258</v>
      </c>
      <c r="E543" s="651"/>
      <c r="F543" s="651"/>
      <c r="G543" s="651"/>
      <c r="H543" s="652"/>
      <c r="I543" s="152"/>
      <c r="J543" s="1"/>
      <c r="N543" s="203"/>
    </row>
    <row r="544" spans="1:14">
      <c r="A544" s="172"/>
      <c r="B544" s="653" t="s">
        <v>6</v>
      </c>
      <c r="C544" s="654"/>
      <c r="D544" s="655" t="s">
        <v>259</v>
      </c>
      <c r="E544" s="656"/>
      <c r="F544" s="656"/>
      <c r="G544" s="656"/>
      <c r="H544" s="657"/>
      <c r="I544" s="153"/>
      <c r="J544" s="1"/>
      <c r="N544" s="203"/>
    </row>
    <row r="545" spans="1:14">
      <c r="A545" s="172"/>
      <c r="B545" s="76"/>
      <c r="C545" s="76"/>
      <c r="D545" s="76"/>
      <c r="E545" s="76"/>
      <c r="F545" s="76"/>
      <c r="J545" s="105" t="s">
        <v>163</v>
      </c>
      <c r="K545" s="3" t="s">
        <v>42</v>
      </c>
      <c r="M545" s="3" t="s">
        <v>56</v>
      </c>
      <c r="N545" s="203"/>
    </row>
    <row r="546" spans="1:14">
      <c r="A546" s="172"/>
      <c r="B546" s="76"/>
      <c r="C546" s="76"/>
      <c r="D546" s="76"/>
      <c r="E546" s="76"/>
      <c r="F546" s="76"/>
      <c r="G546" s="3" t="s">
        <v>39</v>
      </c>
      <c r="H546" s="134" t="s">
        <v>40</v>
      </c>
      <c r="I546" s="98" t="s">
        <v>41</v>
      </c>
      <c r="J546" s="106" t="s">
        <v>164</v>
      </c>
      <c r="K546" s="4" t="s">
        <v>165</v>
      </c>
      <c r="L546" s="4" t="s">
        <v>55</v>
      </c>
      <c r="M546" s="4" t="s">
        <v>166</v>
      </c>
      <c r="N546" s="203"/>
    </row>
    <row r="547" spans="1:14">
      <c r="A547" s="172"/>
      <c r="B547" s="76"/>
      <c r="C547" s="76"/>
      <c r="D547" s="76"/>
      <c r="E547" s="76"/>
      <c r="F547" s="76"/>
      <c r="G547" s="5"/>
      <c r="H547" s="658" t="s">
        <v>43</v>
      </c>
      <c r="I547" s="659"/>
      <c r="J547" s="660"/>
      <c r="K547" s="6" t="s">
        <v>44</v>
      </c>
      <c r="L547" s="5"/>
      <c r="M547" s="6" t="s">
        <v>45</v>
      </c>
      <c r="N547" s="203"/>
    </row>
    <row r="548" spans="1:14">
      <c r="A548" s="172"/>
      <c r="B548" s="77"/>
      <c r="C548" s="7">
        <v>0.2</v>
      </c>
      <c r="D548" s="7">
        <v>0.8</v>
      </c>
      <c r="E548" s="7"/>
      <c r="F548" s="92" t="s">
        <v>162</v>
      </c>
      <c r="G548" s="8" t="s">
        <v>46</v>
      </c>
      <c r="H548" s="135"/>
      <c r="I548" s="5"/>
      <c r="J548" s="107" t="s">
        <v>47</v>
      </c>
      <c r="K548" s="8" t="s">
        <v>48</v>
      </c>
      <c r="L548" s="9"/>
      <c r="M548" s="8" t="s">
        <v>49</v>
      </c>
      <c r="N548" s="203"/>
    </row>
    <row r="549" spans="1:14">
      <c r="A549" s="172"/>
      <c r="B549" s="10"/>
      <c r="C549" s="69" t="s">
        <v>9</v>
      </c>
      <c r="D549" s="69" t="s">
        <v>10</v>
      </c>
      <c r="E549" s="69" t="s">
        <v>11</v>
      </c>
      <c r="F549" s="93" t="s">
        <v>8</v>
      </c>
      <c r="G549" s="11" t="s">
        <v>50</v>
      </c>
      <c r="H549" s="136" t="s">
        <v>51</v>
      </c>
      <c r="I549" s="12" t="s">
        <v>159</v>
      </c>
      <c r="J549" s="108" t="s">
        <v>50</v>
      </c>
      <c r="K549" s="12" t="s">
        <v>50</v>
      </c>
      <c r="L549" s="12" t="s">
        <v>52</v>
      </c>
      <c r="M549" s="12" t="s">
        <v>53</v>
      </c>
      <c r="N549" s="203"/>
    </row>
    <row r="550" spans="1:14" ht="31.5">
      <c r="A550" s="172"/>
      <c r="B550" s="13" t="s">
        <v>13</v>
      </c>
      <c r="C550" s="14" t="s">
        <v>14</v>
      </c>
      <c r="D550" s="14" t="s">
        <v>14</v>
      </c>
      <c r="E550" s="15" t="s">
        <v>14</v>
      </c>
      <c r="F550" s="94" t="s">
        <v>15</v>
      </c>
      <c r="G550" s="16" t="s">
        <v>54</v>
      </c>
      <c r="H550" s="137"/>
      <c r="I550" s="17"/>
      <c r="J550" s="109" t="s">
        <v>54</v>
      </c>
      <c r="K550" s="17"/>
      <c r="L550" s="17"/>
      <c r="M550" s="16" t="s">
        <v>54</v>
      </c>
      <c r="N550" s="203"/>
    </row>
    <row r="551" spans="1:14" s="185" customFormat="1">
      <c r="B551" s="18" t="s">
        <v>16</v>
      </c>
      <c r="C551" s="222">
        <v>0</v>
      </c>
      <c r="D551" s="225">
        <v>0</v>
      </c>
      <c r="E551" s="223">
        <v>0</v>
      </c>
      <c r="F551" s="226">
        <f t="shared" ref="F551:F574" si="147">ROUND(+E551*F$577,2)</f>
        <v>0</v>
      </c>
      <c r="G551" s="180">
        <f t="shared" ref="G551:G574" si="148">(F$577-F$578)*E551</f>
        <v>0</v>
      </c>
      <c r="H551" s="635">
        <f>ROUND(F551*'Actual Load'!$B$8/'Zonal Load'!$N$8,2)</f>
        <v>0</v>
      </c>
      <c r="I551" s="180">
        <f t="shared" ref="I551:I574" si="149">ROUND((H551*$H$912)/$H$910,2)</f>
        <v>0</v>
      </c>
      <c r="J551" s="180">
        <f t="shared" ref="J551:J574" si="150">I551-F551</f>
        <v>0</v>
      </c>
      <c r="K551" s="180">
        <f t="shared" ref="K551:K574" si="151">+G551+J551</f>
        <v>0</v>
      </c>
      <c r="L551" s="181">
        <f>E551*'Interest Under Collect '!$J$8</f>
        <v>0</v>
      </c>
      <c r="M551" s="180">
        <f t="shared" ref="M551:M558" si="152">+K551+L551</f>
        <v>0</v>
      </c>
      <c r="N551" s="203"/>
    </row>
    <row r="552" spans="1:14" s="185" customFormat="1">
      <c r="B552" s="23" t="s">
        <v>17</v>
      </c>
      <c r="C552" s="222">
        <v>0</v>
      </c>
      <c r="D552" s="225">
        <v>0</v>
      </c>
      <c r="E552" s="223">
        <v>0</v>
      </c>
      <c r="F552" s="224">
        <f t="shared" si="147"/>
        <v>0</v>
      </c>
      <c r="G552" s="180">
        <f t="shared" si="148"/>
        <v>0</v>
      </c>
      <c r="H552" s="635">
        <f>ROUND(F552*'Actual Load'!$B$14/'Zonal Load'!$N$14,2)</f>
        <v>0</v>
      </c>
      <c r="I552" s="180">
        <f t="shared" si="149"/>
        <v>0</v>
      </c>
      <c r="J552" s="180">
        <f t="shared" si="150"/>
        <v>0</v>
      </c>
      <c r="K552" s="180">
        <f t="shared" si="151"/>
        <v>0</v>
      </c>
      <c r="L552" s="181">
        <f>E552*'Interest Under Collect '!$J$8</f>
        <v>0</v>
      </c>
      <c r="M552" s="180">
        <f t="shared" si="152"/>
        <v>0</v>
      </c>
      <c r="N552" s="203"/>
    </row>
    <row r="553" spans="1:14" s="185" customFormat="1">
      <c r="B553" s="23" t="s">
        <v>201</v>
      </c>
      <c r="C553" s="222">
        <f>0%*0.421</f>
        <v>0</v>
      </c>
      <c r="D553" s="225">
        <f>0%*0.421</f>
        <v>0</v>
      </c>
      <c r="E553" s="223">
        <v>0</v>
      </c>
      <c r="F553" s="224">
        <f t="shared" si="147"/>
        <v>0</v>
      </c>
      <c r="G553" s="180">
        <f t="shared" si="148"/>
        <v>0</v>
      </c>
      <c r="H553" s="635">
        <f>ROUND(F553*'Actual Load'!$B$9/'Zonal Load'!$N$9,2)</f>
        <v>0</v>
      </c>
      <c r="I553" s="180">
        <f t="shared" si="149"/>
        <v>0</v>
      </c>
      <c r="J553" s="180">
        <f t="shared" si="150"/>
        <v>0</v>
      </c>
      <c r="K553" s="180">
        <f t="shared" si="151"/>
        <v>0</v>
      </c>
      <c r="L553" s="181">
        <f>E553*'Interest Under Collect '!$J$8</f>
        <v>0</v>
      </c>
      <c r="M553" s="180">
        <f t="shared" si="152"/>
        <v>0</v>
      </c>
      <c r="N553" s="203"/>
    </row>
    <row r="554" spans="1:14" s="185" customFormat="1">
      <c r="B554" s="23" t="s">
        <v>260</v>
      </c>
      <c r="C554" s="222">
        <f>0%*0.579</f>
        <v>0</v>
      </c>
      <c r="D554" s="225">
        <f>0%*0.579</f>
        <v>0</v>
      </c>
      <c r="E554" s="223">
        <v>0</v>
      </c>
      <c r="F554" s="224">
        <f t="shared" si="147"/>
        <v>0</v>
      </c>
      <c r="G554" s="180">
        <f>(F$577-F$578)*E554</f>
        <v>0</v>
      </c>
      <c r="H554" s="635">
        <f>ROUND(F554*'Actual Load'!$B$10/'Zonal Load'!$N$10,2)</f>
        <v>0</v>
      </c>
      <c r="I554" s="180">
        <f t="shared" si="149"/>
        <v>0</v>
      </c>
      <c r="J554" s="180">
        <f>I554-F554</f>
        <v>0</v>
      </c>
      <c r="K554" s="180">
        <f>+G554+J554</f>
        <v>0</v>
      </c>
      <c r="L554" s="181">
        <f>E554*'Interest Under Collect '!$J$8</f>
        <v>0</v>
      </c>
      <c r="M554" s="180">
        <f>+K554+L554</f>
        <v>0</v>
      </c>
      <c r="N554" s="203"/>
    </row>
    <row r="555" spans="1:14" s="185" customFormat="1">
      <c r="B555" s="23" t="s">
        <v>18</v>
      </c>
      <c r="C555" s="222">
        <v>0</v>
      </c>
      <c r="D555" s="225">
        <v>0</v>
      </c>
      <c r="E555" s="223">
        <v>0</v>
      </c>
      <c r="F555" s="224">
        <f t="shared" si="147"/>
        <v>0</v>
      </c>
      <c r="G555" s="180">
        <f t="shared" si="148"/>
        <v>0</v>
      </c>
      <c r="H555" s="635">
        <f>ROUND(F555*'Actual Load'!$B$26/'Zonal Load'!$N$26,2)</f>
        <v>0</v>
      </c>
      <c r="I555" s="180">
        <f t="shared" si="149"/>
        <v>0</v>
      </c>
      <c r="J555" s="180">
        <f t="shared" si="150"/>
        <v>0</v>
      </c>
      <c r="K555" s="180">
        <f t="shared" si="151"/>
        <v>0</v>
      </c>
      <c r="L555" s="181">
        <f>E555*'Interest Under Collect '!$J$8</f>
        <v>0</v>
      </c>
      <c r="M555" s="180">
        <f t="shared" si="152"/>
        <v>0</v>
      </c>
      <c r="N555" s="203"/>
    </row>
    <row r="556" spans="1:14" s="185" customFormat="1">
      <c r="B556" s="23" t="s">
        <v>19</v>
      </c>
      <c r="C556" s="222">
        <v>0</v>
      </c>
      <c r="D556" s="225">
        <v>0</v>
      </c>
      <c r="E556" s="223">
        <v>0</v>
      </c>
      <c r="F556" s="224">
        <f t="shared" si="147"/>
        <v>0</v>
      </c>
      <c r="G556" s="180">
        <f t="shared" si="148"/>
        <v>0</v>
      </c>
      <c r="H556" s="635">
        <f>ROUND(F556*'Actual Load'!$B$16/'Zonal Load'!$N$16,2)</f>
        <v>0</v>
      </c>
      <c r="I556" s="180">
        <f t="shared" si="149"/>
        <v>0</v>
      </c>
      <c r="J556" s="180">
        <f t="shared" si="150"/>
        <v>0</v>
      </c>
      <c r="K556" s="180">
        <f t="shared" si="151"/>
        <v>0</v>
      </c>
      <c r="L556" s="181">
        <f>E556*'Interest Under Collect '!$J$8</f>
        <v>0</v>
      </c>
      <c r="M556" s="180">
        <f t="shared" si="152"/>
        <v>0</v>
      </c>
      <c r="N556" s="203"/>
    </row>
    <row r="557" spans="1:14" s="185" customFormat="1">
      <c r="B557" s="23" t="s">
        <v>20</v>
      </c>
      <c r="C557" s="222">
        <v>0</v>
      </c>
      <c r="D557" s="225">
        <v>0</v>
      </c>
      <c r="E557" s="223">
        <v>0</v>
      </c>
      <c r="F557" s="224">
        <f t="shared" si="147"/>
        <v>0</v>
      </c>
      <c r="G557" s="180">
        <f t="shared" si="148"/>
        <v>0</v>
      </c>
      <c r="H557" s="635">
        <f>ROUND(F557*'Actual Load'!$B$22/'Zonal Load'!$N$22,2)</f>
        <v>0</v>
      </c>
      <c r="I557" s="180">
        <f t="shared" si="149"/>
        <v>0</v>
      </c>
      <c r="J557" s="180">
        <f t="shared" si="150"/>
        <v>0</v>
      </c>
      <c r="K557" s="180">
        <f t="shared" si="151"/>
        <v>0</v>
      </c>
      <c r="L557" s="181">
        <f>E557*'Interest Under Collect '!$J$8</f>
        <v>0</v>
      </c>
      <c r="M557" s="180">
        <f t="shared" si="152"/>
        <v>0</v>
      </c>
      <c r="N557" s="203"/>
    </row>
    <row r="558" spans="1:14" s="185" customFormat="1">
      <c r="B558" s="23" t="s">
        <v>21</v>
      </c>
      <c r="C558" s="222">
        <v>0</v>
      </c>
      <c r="D558" s="225">
        <v>0</v>
      </c>
      <c r="E558" s="223">
        <v>0</v>
      </c>
      <c r="F558" s="224">
        <f t="shared" si="147"/>
        <v>0</v>
      </c>
      <c r="G558" s="180">
        <f t="shared" si="148"/>
        <v>0</v>
      </c>
      <c r="H558" s="635">
        <f>ROUND(F558*'Actual Load'!$B$17/'Zonal Load'!$N$17,2)</f>
        <v>0</v>
      </c>
      <c r="I558" s="180">
        <f t="shared" si="149"/>
        <v>0</v>
      </c>
      <c r="J558" s="180">
        <f t="shared" si="150"/>
        <v>0</v>
      </c>
      <c r="K558" s="180">
        <f t="shared" si="151"/>
        <v>0</v>
      </c>
      <c r="L558" s="181">
        <f>E558*'Interest Under Collect '!$J$8</f>
        <v>0</v>
      </c>
      <c r="M558" s="180">
        <f t="shared" si="152"/>
        <v>0</v>
      </c>
      <c r="N558" s="203"/>
    </row>
    <row r="559" spans="1:14" s="185" customFormat="1">
      <c r="B559" s="23" t="s">
        <v>22</v>
      </c>
      <c r="C559" s="222">
        <v>0</v>
      </c>
      <c r="D559" s="225">
        <v>0</v>
      </c>
      <c r="E559" s="223">
        <v>0</v>
      </c>
      <c r="F559" s="224">
        <f t="shared" si="147"/>
        <v>0</v>
      </c>
      <c r="G559" s="180">
        <f t="shared" si="148"/>
        <v>0</v>
      </c>
      <c r="H559" s="635">
        <f>ROUND(F559*'Actual Load'!$B$15/'Zonal Load'!$N$15,2)</f>
        <v>0</v>
      </c>
      <c r="I559" s="180">
        <f t="shared" si="149"/>
        <v>0</v>
      </c>
      <c r="J559" s="180">
        <f t="shared" si="150"/>
        <v>0</v>
      </c>
      <c r="K559" s="180">
        <f t="shared" si="151"/>
        <v>0</v>
      </c>
      <c r="L559" s="181">
        <f>E559*'Interest Under Collect '!$J$8</f>
        <v>0</v>
      </c>
      <c r="M559" s="180">
        <f>+K559+L559</f>
        <v>0</v>
      </c>
      <c r="N559" s="203"/>
    </row>
    <row r="560" spans="1:14" s="185" customFormat="1">
      <c r="B560" s="23" t="s">
        <v>23</v>
      </c>
      <c r="C560" s="222">
        <v>0</v>
      </c>
      <c r="D560" s="225">
        <v>5.1257152533573554E-3</v>
      </c>
      <c r="E560" s="223">
        <v>5.1257152533573554E-3</v>
      </c>
      <c r="F560" s="224">
        <f t="shared" si="147"/>
        <v>13761.08</v>
      </c>
      <c r="G560" s="180">
        <f t="shared" si="148"/>
        <v>-785.28983826900594</v>
      </c>
      <c r="H560" s="635">
        <f>ROUND(F560*'Actual Load'!$B$4/'Zonal Load'!$N$4,2)</f>
        <v>13533.55</v>
      </c>
      <c r="I560" s="180">
        <f t="shared" si="149"/>
        <v>14204.78</v>
      </c>
      <c r="J560" s="180">
        <f t="shared" si="150"/>
        <v>443.70000000000073</v>
      </c>
      <c r="K560" s="180">
        <f t="shared" si="151"/>
        <v>-341.58983826900521</v>
      </c>
      <c r="L560" s="181">
        <f>E560*'Interest Under Collect '!$J$8</f>
        <v>-6.3728017744991998</v>
      </c>
      <c r="M560" s="180">
        <f t="shared" ref="M560:M571" si="153">+K560+L560</f>
        <v>-347.96264004350439</v>
      </c>
      <c r="N560" s="203"/>
    </row>
    <row r="561" spans="1:14" s="185" customFormat="1">
      <c r="B561" s="23" t="s">
        <v>24</v>
      </c>
      <c r="C561" s="222">
        <v>0</v>
      </c>
      <c r="D561" s="225">
        <v>0</v>
      </c>
      <c r="E561" s="223">
        <v>0</v>
      </c>
      <c r="F561" s="224">
        <f t="shared" si="147"/>
        <v>0</v>
      </c>
      <c r="G561" s="180">
        <f t="shared" si="148"/>
        <v>0</v>
      </c>
      <c r="H561" s="635">
        <f>ROUND(F561*'Actual Load'!$B$11/'Zonal Load'!$N$11,2)</f>
        <v>0</v>
      </c>
      <c r="I561" s="180">
        <f t="shared" si="149"/>
        <v>0</v>
      </c>
      <c r="J561" s="180">
        <f t="shared" si="150"/>
        <v>0</v>
      </c>
      <c r="K561" s="180">
        <f t="shared" si="151"/>
        <v>0</v>
      </c>
      <c r="L561" s="181">
        <f>E561*'Interest Under Collect '!$J$8</f>
        <v>0</v>
      </c>
      <c r="M561" s="180">
        <f t="shared" si="153"/>
        <v>0</v>
      </c>
      <c r="N561" s="203"/>
    </row>
    <row r="562" spans="1:14" s="185" customFormat="1">
      <c r="B562" s="23" t="s">
        <v>26</v>
      </c>
      <c r="C562" s="222">
        <v>0</v>
      </c>
      <c r="D562" s="225">
        <v>0</v>
      </c>
      <c r="E562" s="223">
        <v>0</v>
      </c>
      <c r="F562" s="224">
        <f t="shared" si="147"/>
        <v>0</v>
      </c>
      <c r="G562" s="180">
        <f t="shared" si="148"/>
        <v>0</v>
      </c>
      <c r="H562" s="635">
        <f>ROUND(F562*'Actual Load'!$B$7/'Zonal Load'!$N$7,2)</f>
        <v>0</v>
      </c>
      <c r="I562" s="180">
        <f t="shared" si="149"/>
        <v>0</v>
      </c>
      <c r="J562" s="180">
        <f t="shared" si="150"/>
        <v>0</v>
      </c>
      <c r="K562" s="180">
        <f t="shared" si="151"/>
        <v>0</v>
      </c>
      <c r="L562" s="181">
        <f>E562*'Interest Under Collect '!$J$8</f>
        <v>0</v>
      </c>
      <c r="M562" s="180">
        <f t="shared" si="153"/>
        <v>0</v>
      </c>
      <c r="N562" s="203"/>
    </row>
    <row r="563" spans="1:14" s="185" customFormat="1">
      <c r="B563" s="23" t="s">
        <v>25</v>
      </c>
      <c r="C563" s="222">
        <v>0</v>
      </c>
      <c r="D563" s="225">
        <v>0</v>
      </c>
      <c r="E563" s="223">
        <v>0</v>
      </c>
      <c r="F563" s="224">
        <f t="shared" si="147"/>
        <v>0</v>
      </c>
      <c r="G563" s="180">
        <f t="shared" si="148"/>
        <v>0</v>
      </c>
      <c r="H563" s="635">
        <f>ROUND(F563*'Actual Load'!$B$6/'Zonal Load'!$N$6,2)</f>
        <v>0</v>
      </c>
      <c r="I563" s="180">
        <f t="shared" si="149"/>
        <v>0</v>
      </c>
      <c r="J563" s="180">
        <f t="shared" si="150"/>
        <v>0</v>
      </c>
      <c r="K563" s="180">
        <f t="shared" si="151"/>
        <v>0</v>
      </c>
      <c r="L563" s="181">
        <f>E563*'Interest Under Collect '!$J$8</f>
        <v>0</v>
      </c>
      <c r="M563" s="180">
        <f t="shared" si="153"/>
        <v>0</v>
      </c>
      <c r="N563" s="203"/>
    </row>
    <row r="564" spans="1:14" s="185" customFormat="1">
      <c r="B564" s="23" t="s">
        <v>119</v>
      </c>
      <c r="C564" s="222">
        <v>0</v>
      </c>
      <c r="D564" s="225">
        <v>0</v>
      </c>
      <c r="E564" s="223">
        <v>0</v>
      </c>
      <c r="F564" s="224">
        <f t="shared" si="147"/>
        <v>0</v>
      </c>
      <c r="G564" s="180">
        <f t="shared" si="148"/>
        <v>0</v>
      </c>
      <c r="H564" s="635">
        <f>ROUND(F564*'Actual Load'!$B$18/'Zonal Load'!$N$18,2)</f>
        <v>0</v>
      </c>
      <c r="I564" s="180">
        <f t="shared" si="149"/>
        <v>0</v>
      </c>
      <c r="J564" s="180">
        <f t="shared" si="150"/>
        <v>0</v>
      </c>
      <c r="K564" s="180">
        <f t="shared" si="151"/>
        <v>0</v>
      </c>
      <c r="L564" s="181">
        <f>E564*'Interest Under Collect '!$J$8</f>
        <v>0</v>
      </c>
      <c r="M564" s="180">
        <f t="shared" si="153"/>
        <v>0</v>
      </c>
      <c r="N564" s="203"/>
    </row>
    <row r="565" spans="1:14" s="185" customFormat="1">
      <c r="B565" s="23" t="s">
        <v>120</v>
      </c>
      <c r="C565" s="222">
        <v>0</v>
      </c>
      <c r="D565" s="225">
        <v>0</v>
      </c>
      <c r="E565" s="223">
        <v>0</v>
      </c>
      <c r="F565" s="224">
        <f t="shared" si="147"/>
        <v>0</v>
      </c>
      <c r="G565" s="180">
        <f t="shared" si="148"/>
        <v>0</v>
      </c>
      <c r="H565" s="635">
        <f>ROUND(F565*'Actual Load'!$B$17/'Zonal Load'!$N$17,2)</f>
        <v>0</v>
      </c>
      <c r="I565" s="180">
        <f t="shared" si="149"/>
        <v>0</v>
      </c>
      <c r="J565" s="180">
        <f t="shared" si="150"/>
        <v>0</v>
      </c>
      <c r="K565" s="180">
        <f t="shared" si="151"/>
        <v>0</v>
      </c>
      <c r="L565" s="181">
        <f>E565*'Interest Under Collect '!$J$8</f>
        <v>0</v>
      </c>
      <c r="M565" s="180">
        <f t="shared" si="153"/>
        <v>0</v>
      </c>
      <c r="N565" s="203"/>
    </row>
    <row r="566" spans="1:14" s="185" customFormat="1">
      <c r="B566" s="23" t="s">
        <v>27</v>
      </c>
      <c r="C566" s="222">
        <v>0</v>
      </c>
      <c r="D566" s="225">
        <v>0</v>
      </c>
      <c r="E566" s="223">
        <v>0</v>
      </c>
      <c r="F566" s="224">
        <f t="shared" si="147"/>
        <v>0</v>
      </c>
      <c r="G566" s="180">
        <f t="shared" si="148"/>
        <v>0</v>
      </c>
      <c r="H566" s="635">
        <f>ROUND(F566*'Actual Load'!$B$12/'Zonal Load'!$N$12,2)</f>
        <v>0</v>
      </c>
      <c r="I566" s="180">
        <f t="shared" si="149"/>
        <v>0</v>
      </c>
      <c r="J566" s="180">
        <f t="shared" si="150"/>
        <v>0</v>
      </c>
      <c r="K566" s="180">
        <f t="shared" si="151"/>
        <v>0</v>
      </c>
      <c r="L566" s="181">
        <f>E566*'Interest Under Collect '!$J$8</f>
        <v>0</v>
      </c>
      <c r="M566" s="180">
        <f t="shared" si="153"/>
        <v>0</v>
      </c>
      <c r="N566" s="203"/>
    </row>
    <row r="567" spans="1:14" s="185" customFormat="1">
      <c r="B567" s="23" t="s">
        <v>28</v>
      </c>
      <c r="C567" s="222">
        <v>0</v>
      </c>
      <c r="D567" s="225">
        <v>0</v>
      </c>
      <c r="E567" s="223">
        <v>0</v>
      </c>
      <c r="F567" s="224">
        <f t="shared" si="147"/>
        <v>0</v>
      </c>
      <c r="G567" s="180">
        <f t="shared" si="148"/>
        <v>0</v>
      </c>
      <c r="H567" s="635">
        <f>ROUND(F567*'Actual Load'!$B$24/'Zonal Load'!$N$24,2)</f>
        <v>0</v>
      </c>
      <c r="I567" s="180">
        <f t="shared" si="149"/>
        <v>0</v>
      </c>
      <c r="J567" s="180">
        <f t="shared" si="150"/>
        <v>0</v>
      </c>
      <c r="K567" s="180">
        <f t="shared" si="151"/>
        <v>0</v>
      </c>
      <c r="L567" s="181">
        <f>E567*'Interest Under Collect '!$J$8</f>
        <v>0</v>
      </c>
      <c r="M567" s="180">
        <f t="shared" si="153"/>
        <v>0</v>
      </c>
      <c r="N567" s="203"/>
    </row>
    <row r="568" spans="1:14" s="185" customFormat="1">
      <c r="B568" s="23" t="s">
        <v>29</v>
      </c>
      <c r="C568" s="222">
        <v>0</v>
      </c>
      <c r="D568" s="225">
        <v>0</v>
      </c>
      <c r="E568" s="223">
        <v>0</v>
      </c>
      <c r="F568" s="224">
        <f t="shared" si="147"/>
        <v>0</v>
      </c>
      <c r="G568" s="180">
        <f t="shared" si="148"/>
        <v>0</v>
      </c>
      <c r="H568" s="635">
        <f>ROUND(F568*'Actual Load'!$B$5/'Zonal Load'!$N$5,2)</f>
        <v>0</v>
      </c>
      <c r="I568" s="180">
        <f t="shared" si="149"/>
        <v>0</v>
      </c>
      <c r="J568" s="180">
        <f t="shared" si="150"/>
        <v>0</v>
      </c>
      <c r="K568" s="180">
        <f t="shared" si="151"/>
        <v>0</v>
      </c>
      <c r="L568" s="181">
        <f>E568*'Interest Under Collect '!$J$8</f>
        <v>0</v>
      </c>
      <c r="M568" s="180">
        <f t="shared" si="153"/>
        <v>0</v>
      </c>
      <c r="N568" s="203"/>
    </row>
    <row r="569" spans="1:14" s="185" customFormat="1">
      <c r="B569" s="23" t="s">
        <v>30</v>
      </c>
      <c r="C569" s="222">
        <v>0</v>
      </c>
      <c r="D569" s="225">
        <v>0.83820266476707495</v>
      </c>
      <c r="E569" s="223">
        <v>0.83820266476707495</v>
      </c>
      <c r="F569" s="224">
        <f t="shared" si="147"/>
        <v>2250334.73</v>
      </c>
      <c r="G569" s="180">
        <f t="shared" si="148"/>
        <v>-128417.5968652263</v>
      </c>
      <c r="H569" s="635">
        <f>ROUND(F569*'Actual Load'!$B$21/'Zonal Load'!$N$21,2)</f>
        <v>2149727.54</v>
      </c>
      <c r="I569" s="180">
        <f t="shared" si="149"/>
        <v>2256349.2799999998</v>
      </c>
      <c r="J569" s="180">
        <f t="shared" si="150"/>
        <v>6014.5499999998137</v>
      </c>
      <c r="K569" s="180">
        <f t="shared" si="151"/>
        <v>-122403.04686522648</v>
      </c>
      <c r="L569" s="181">
        <f>E569*'Interest Under Collect '!$J$8</f>
        <v>-1042.1373731049043</v>
      </c>
      <c r="M569" s="180">
        <f t="shared" si="153"/>
        <v>-123445.18423833139</v>
      </c>
      <c r="N569" s="203"/>
    </row>
    <row r="570" spans="1:14" s="185" customFormat="1">
      <c r="B570" s="23" t="s">
        <v>31</v>
      </c>
      <c r="C570" s="222">
        <v>0</v>
      </c>
      <c r="D570" s="225">
        <v>6.0848919729758425E-3</v>
      </c>
      <c r="E570" s="223">
        <v>6.0848919729758425E-3</v>
      </c>
      <c r="F570" s="224">
        <f t="shared" si="147"/>
        <v>16336.2</v>
      </c>
      <c r="G570" s="180">
        <f t="shared" si="148"/>
        <v>-932.24137455015796</v>
      </c>
      <c r="H570" s="635">
        <f>ROUND(F570*'Actual Load'!$B$19/'Zonal Load'!$N$19,2)</f>
        <v>15209.09</v>
      </c>
      <c r="I570" s="180">
        <f t="shared" si="149"/>
        <v>15963.43</v>
      </c>
      <c r="J570" s="180">
        <f t="shared" si="150"/>
        <v>-372.77000000000044</v>
      </c>
      <c r="K570" s="180">
        <f t="shared" si="151"/>
        <v>-1305.0113745501585</v>
      </c>
      <c r="L570" s="181">
        <f>E570*'Interest Under Collect '!$J$8</f>
        <v>-7.5653461900008647</v>
      </c>
      <c r="M570" s="180">
        <f t="shared" si="153"/>
        <v>-1312.5767207401593</v>
      </c>
      <c r="N570" s="203"/>
    </row>
    <row r="571" spans="1:14" s="185" customFormat="1">
      <c r="B571" s="23" t="s">
        <v>32</v>
      </c>
      <c r="C571" s="222">
        <v>0</v>
      </c>
      <c r="D571" s="225">
        <v>0</v>
      </c>
      <c r="E571" s="223">
        <v>0</v>
      </c>
      <c r="F571" s="224">
        <f t="shared" si="147"/>
        <v>0</v>
      </c>
      <c r="G571" s="180">
        <f t="shared" si="148"/>
        <v>0</v>
      </c>
      <c r="H571" s="635">
        <f>ROUND(F571*'Actual Load'!$B$25/'Zonal Load'!$N$25,2)</f>
        <v>0</v>
      </c>
      <c r="I571" s="180">
        <f t="shared" si="149"/>
        <v>0</v>
      </c>
      <c r="J571" s="180">
        <f t="shared" si="150"/>
        <v>0</v>
      </c>
      <c r="K571" s="180">
        <f t="shared" si="151"/>
        <v>0</v>
      </c>
      <c r="L571" s="181">
        <f>E571*'Interest Under Collect '!$J$8</f>
        <v>0</v>
      </c>
      <c r="M571" s="180">
        <f t="shared" si="153"/>
        <v>0</v>
      </c>
      <c r="N571" s="203"/>
    </row>
    <row r="572" spans="1:14" s="185" customFormat="1">
      <c r="B572" s="23" t="s">
        <v>33</v>
      </c>
      <c r="C572" s="222">
        <v>0</v>
      </c>
      <c r="D572" s="225">
        <v>0.1349215200531258</v>
      </c>
      <c r="E572" s="223">
        <v>0.1349215200531258</v>
      </c>
      <c r="F572" s="224">
        <f t="shared" si="147"/>
        <v>362225.74</v>
      </c>
      <c r="G572" s="180">
        <f t="shared" si="148"/>
        <v>-20670.773428572425</v>
      </c>
      <c r="H572" s="635">
        <f>ROUND(F572*'Actual Load'!$B$13/'Zonal Load'!$N$13,2)</f>
        <v>351422.16</v>
      </c>
      <c r="I572" s="180">
        <f t="shared" si="149"/>
        <v>368851.92</v>
      </c>
      <c r="J572" s="180">
        <f t="shared" si="150"/>
        <v>6626.179999999993</v>
      </c>
      <c r="K572" s="180">
        <f t="shared" si="151"/>
        <v>-14044.593428572432</v>
      </c>
      <c r="L572" s="181">
        <f>E572*'Interest Under Collect '!$J$8</f>
        <v>-167.74792588205131</v>
      </c>
      <c r="M572" s="180">
        <f>+K572+L572</f>
        <v>-14212.341354454484</v>
      </c>
      <c r="N572" s="203"/>
    </row>
    <row r="573" spans="1:14" s="185" customFormat="1">
      <c r="B573" s="23" t="s">
        <v>34</v>
      </c>
      <c r="C573" s="222">
        <v>0</v>
      </c>
      <c r="D573" s="225">
        <v>1.5665207953466251E-2</v>
      </c>
      <c r="E573" s="223">
        <v>1.5665207953466251E-2</v>
      </c>
      <c r="F573" s="224">
        <f t="shared" si="147"/>
        <v>42056.61</v>
      </c>
      <c r="G573" s="180">
        <f t="shared" si="148"/>
        <v>-2400.0023435110247</v>
      </c>
      <c r="H573" s="635">
        <f>ROUND(F573*'Actual Load'!$B$23/'Zonal Load'!$N$23,2)</f>
        <v>42007.28</v>
      </c>
      <c r="I573" s="180">
        <f t="shared" si="149"/>
        <v>44090.75</v>
      </c>
      <c r="J573" s="180">
        <f t="shared" si="150"/>
        <v>2034.1399999999994</v>
      </c>
      <c r="K573" s="180">
        <f t="shared" si="151"/>
        <v>-365.8623435110253</v>
      </c>
      <c r="L573" s="181">
        <f>E573*'Interest Under Collect '!$J$8</f>
        <v>-19.476553048544588</v>
      </c>
      <c r="M573" s="180">
        <f>+K573+L573</f>
        <v>-385.33889655956989</v>
      </c>
      <c r="N573" s="203"/>
    </row>
    <row r="574" spans="1:14" s="185" customFormat="1">
      <c r="B574" s="24" t="s">
        <v>35</v>
      </c>
      <c r="C574" s="222">
        <v>0</v>
      </c>
      <c r="D574" s="225">
        <v>0</v>
      </c>
      <c r="E574" s="223">
        <v>0</v>
      </c>
      <c r="F574" s="224">
        <f t="shared" si="147"/>
        <v>0</v>
      </c>
      <c r="G574" s="180">
        <f t="shared" si="148"/>
        <v>0</v>
      </c>
      <c r="H574" s="635">
        <f>ROUND(F574*'Actual Load'!$B$20/'Zonal Load'!$N$20,2)</f>
        <v>0</v>
      </c>
      <c r="I574" s="180">
        <f t="shared" si="149"/>
        <v>0</v>
      </c>
      <c r="J574" s="180">
        <f t="shared" si="150"/>
        <v>0</v>
      </c>
      <c r="K574" s="180">
        <f t="shared" si="151"/>
        <v>0</v>
      </c>
      <c r="L574" s="181">
        <f>E574*'Interest Under Collect '!$J$8</f>
        <v>0</v>
      </c>
      <c r="M574" s="180">
        <f>+K574+L574</f>
        <v>0</v>
      </c>
      <c r="N574" s="203"/>
    </row>
    <row r="575" spans="1:14">
      <c r="A575" s="172"/>
      <c r="B575" s="25"/>
      <c r="C575" s="26">
        <f>SUM(C551:C574)</f>
        <v>0</v>
      </c>
      <c r="D575" s="27">
        <f>SUM(D551:D574)</f>
        <v>1.0000000000000002</v>
      </c>
      <c r="E575" s="101">
        <f>SUM(E551:E574)</f>
        <v>1.0000000000000002</v>
      </c>
      <c r="F575" s="95">
        <f>SUM(F551:F574)</f>
        <v>2684714.36</v>
      </c>
      <c r="G575" s="78">
        <f t="shared" ref="G575:M575" si="154">SUM(G553:G574)</f>
        <v>-153205.9038501289</v>
      </c>
      <c r="H575" s="138">
        <f t="shared" si="154"/>
        <v>2571899.6199999996</v>
      </c>
      <c r="I575" s="79">
        <f t="shared" si="154"/>
        <v>2699460.1599999997</v>
      </c>
      <c r="J575" s="79">
        <f t="shared" si="154"/>
        <v>14745.799999999806</v>
      </c>
      <c r="K575" s="587">
        <f t="shared" si="154"/>
        <v>-138460.10385012909</v>
      </c>
      <c r="L575" s="79">
        <f t="shared" si="154"/>
        <v>-1243.3000000000002</v>
      </c>
      <c r="M575" s="79">
        <f t="shared" si="154"/>
        <v>-139703.40385012914</v>
      </c>
      <c r="N575" s="203"/>
    </row>
    <row r="576" spans="1:14">
      <c r="A576" s="172"/>
      <c r="G576" s="21"/>
      <c r="I576" s="80"/>
      <c r="N576" s="203"/>
    </row>
    <row r="577" spans="1:14">
      <c r="A577" s="172"/>
      <c r="E577" s="96" t="s">
        <v>618</v>
      </c>
      <c r="F577" s="178">
        <v>2684714.3544206335</v>
      </c>
      <c r="N577" s="203"/>
    </row>
    <row r="578" spans="1:14">
      <c r="A578" s="172"/>
      <c r="E578" s="97" t="s">
        <v>619</v>
      </c>
      <c r="F578" s="179">
        <v>2837920.2582707624</v>
      </c>
      <c r="G578" s="632">
        <f>F577-F578</f>
        <v>-153205.90385012887</v>
      </c>
      <c r="H578" s="633"/>
      <c r="I578" s="29"/>
      <c r="L578" s="84"/>
      <c r="N578" s="203"/>
    </row>
    <row r="579" spans="1:14">
      <c r="A579" s="172"/>
      <c r="E579" s="97" t="s">
        <v>160</v>
      </c>
      <c r="F579" s="186">
        <f>I575</f>
        <v>2699460.1599999997</v>
      </c>
      <c r="G579" s="632">
        <f>F579-F577</f>
        <v>14745.805579366162</v>
      </c>
      <c r="H579" s="634"/>
      <c r="N579" s="203"/>
    </row>
    <row r="580" spans="1:14">
      <c r="A580" s="172"/>
      <c r="E580" s="97"/>
      <c r="F580" s="97"/>
      <c r="G580" s="632">
        <f>G578+G579</f>
        <v>-138460.09827076271</v>
      </c>
      <c r="H580" s="633">
        <f>F579-F578</f>
        <v>-138460.09827076271</v>
      </c>
      <c r="N580" s="203"/>
    </row>
    <row r="581" spans="1:14">
      <c r="A581" s="172"/>
      <c r="B581" s="82"/>
      <c r="C581" s="82"/>
      <c r="D581" s="82"/>
      <c r="E581" s="82"/>
      <c r="F581" s="82"/>
      <c r="G581" s="82"/>
      <c r="H581" s="82"/>
      <c r="I581" s="82"/>
      <c r="J581" s="111"/>
      <c r="K581" s="82"/>
      <c r="L581" s="82"/>
      <c r="M581" s="82"/>
      <c r="N581" s="203"/>
    </row>
    <row r="582" spans="1:14">
      <c r="A582" s="172"/>
      <c r="L582" s="81"/>
      <c r="N582" s="203"/>
    </row>
    <row r="583" spans="1:14">
      <c r="A583" s="172"/>
      <c r="B583" s="640" t="s">
        <v>0</v>
      </c>
      <c r="C583" s="641"/>
      <c r="D583" s="642">
        <v>2307</v>
      </c>
      <c r="E583" s="643"/>
      <c r="F583" s="643"/>
      <c r="G583" s="643"/>
      <c r="H583" s="644"/>
      <c r="I583" s="150"/>
      <c r="J583" s="1"/>
      <c r="N583" s="203"/>
    </row>
    <row r="584" spans="1:14" ht="15.75" customHeight="1">
      <c r="A584" s="172"/>
      <c r="B584" s="645" t="s">
        <v>2</v>
      </c>
      <c r="C584" s="646"/>
      <c r="D584" s="647" t="s">
        <v>262</v>
      </c>
      <c r="E584" s="648"/>
      <c r="F584" s="648"/>
      <c r="G584" s="648"/>
      <c r="H584" s="649"/>
      <c r="I584" s="151"/>
      <c r="J584" s="1"/>
      <c r="N584" s="203"/>
    </row>
    <row r="585" spans="1:14">
      <c r="A585" s="172"/>
      <c r="B585" s="645" t="s">
        <v>4</v>
      </c>
      <c r="C585" s="646"/>
      <c r="D585" s="650" t="s">
        <v>263</v>
      </c>
      <c r="E585" s="651"/>
      <c r="F585" s="651"/>
      <c r="G585" s="651"/>
      <c r="H585" s="652"/>
      <c r="I585" s="152"/>
      <c r="J585" s="1"/>
      <c r="N585" s="203"/>
    </row>
    <row r="586" spans="1:14">
      <c r="A586" s="172"/>
      <c r="B586" s="653" t="s">
        <v>6</v>
      </c>
      <c r="C586" s="654"/>
      <c r="D586" s="655" t="s">
        <v>30</v>
      </c>
      <c r="E586" s="656"/>
      <c r="F586" s="656"/>
      <c r="G586" s="656"/>
      <c r="H586" s="657"/>
      <c r="I586" s="153"/>
      <c r="J586" s="1"/>
      <c r="N586" s="203"/>
    </row>
    <row r="587" spans="1:14">
      <c r="A587" s="172"/>
      <c r="B587" s="76"/>
      <c r="C587" s="76"/>
      <c r="D587" s="76"/>
      <c r="E587" s="76"/>
      <c r="F587" s="76"/>
      <c r="J587" s="105" t="s">
        <v>163</v>
      </c>
      <c r="K587" s="3" t="s">
        <v>42</v>
      </c>
      <c r="M587" s="3" t="s">
        <v>56</v>
      </c>
      <c r="N587" s="203"/>
    </row>
    <row r="588" spans="1:14">
      <c r="A588" s="172"/>
      <c r="B588" s="76"/>
      <c r="C588" s="76"/>
      <c r="D588" s="76"/>
      <c r="E588" s="76"/>
      <c r="F588" s="76"/>
      <c r="G588" s="3" t="s">
        <v>39</v>
      </c>
      <c r="H588" s="134" t="s">
        <v>40</v>
      </c>
      <c r="I588" s="98" t="s">
        <v>41</v>
      </c>
      <c r="J588" s="106" t="s">
        <v>164</v>
      </c>
      <c r="K588" s="4" t="s">
        <v>165</v>
      </c>
      <c r="L588" s="4" t="s">
        <v>55</v>
      </c>
      <c r="M588" s="4" t="s">
        <v>166</v>
      </c>
      <c r="N588" s="203"/>
    </row>
    <row r="589" spans="1:14">
      <c r="A589" s="172"/>
      <c r="B589" s="76"/>
      <c r="C589" s="76"/>
      <c r="D589" s="76"/>
      <c r="E589" s="76"/>
      <c r="F589" s="76"/>
      <c r="G589" s="5"/>
      <c r="H589" s="658" t="s">
        <v>43</v>
      </c>
      <c r="I589" s="659"/>
      <c r="J589" s="660"/>
      <c r="K589" s="6" t="s">
        <v>44</v>
      </c>
      <c r="L589" s="5"/>
      <c r="M589" s="6" t="s">
        <v>45</v>
      </c>
      <c r="N589" s="203"/>
    </row>
    <row r="590" spans="1:14">
      <c r="A590" s="172"/>
      <c r="B590" s="77"/>
      <c r="C590" s="7">
        <v>0.2</v>
      </c>
      <c r="D590" s="7">
        <v>0.8</v>
      </c>
      <c r="E590" s="7"/>
      <c r="F590" s="92" t="s">
        <v>162</v>
      </c>
      <c r="G590" s="8" t="s">
        <v>46</v>
      </c>
      <c r="H590" s="135"/>
      <c r="I590" s="5"/>
      <c r="J590" s="107" t="s">
        <v>47</v>
      </c>
      <c r="K590" s="8" t="s">
        <v>48</v>
      </c>
      <c r="L590" s="9"/>
      <c r="M590" s="8" t="s">
        <v>49</v>
      </c>
      <c r="N590" s="203"/>
    </row>
    <row r="591" spans="1:14">
      <c r="A591" s="172"/>
      <c r="B591" s="10"/>
      <c r="C591" s="69" t="s">
        <v>9</v>
      </c>
      <c r="D591" s="69" t="s">
        <v>10</v>
      </c>
      <c r="E591" s="69" t="s">
        <v>11</v>
      </c>
      <c r="F591" s="93" t="s">
        <v>8</v>
      </c>
      <c r="G591" s="11" t="s">
        <v>50</v>
      </c>
      <c r="H591" s="136" t="s">
        <v>51</v>
      </c>
      <c r="I591" s="12" t="s">
        <v>159</v>
      </c>
      <c r="J591" s="108" t="s">
        <v>50</v>
      </c>
      <c r="K591" s="12" t="s">
        <v>50</v>
      </c>
      <c r="L591" s="12" t="s">
        <v>52</v>
      </c>
      <c r="M591" s="12" t="s">
        <v>53</v>
      </c>
      <c r="N591" s="203"/>
    </row>
    <row r="592" spans="1:14" ht="31.5">
      <c r="A592" s="172"/>
      <c r="B592" s="13" t="s">
        <v>13</v>
      </c>
      <c r="C592" s="14" t="s">
        <v>14</v>
      </c>
      <c r="D592" s="14" t="s">
        <v>14</v>
      </c>
      <c r="E592" s="15" t="s">
        <v>14</v>
      </c>
      <c r="F592" s="94" t="s">
        <v>15</v>
      </c>
      <c r="G592" s="16" t="s">
        <v>54</v>
      </c>
      <c r="H592" s="137"/>
      <c r="I592" s="17"/>
      <c r="J592" s="109" t="s">
        <v>54</v>
      </c>
      <c r="K592" s="17"/>
      <c r="L592" s="17"/>
      <c r="M592" s="16" t="s">
        <v>54</v>
      </c>
      <c r="N592" s="203"/>
    </row>
    <row r="593" spans="1:14" s="185" customFormat="1">
      <c r="B593" s="18" t="s">
        <v>16</v>
      </c>
      <c r="C593" s="222">
        <v>0</v>
      </c>
      <c r="D593" s="225">
        <v>0</v>
      </c>
      <c r="E593" s="223">
        <v>0</v>
      </c>
      <c r="F593" s="226">
        <f>ROUND(+E593*F$619,2)</f>
        <v>0</v>
      </c>
      <c r="G593" s="180">
        <f>(F$619-F$620)*E593</f>
        <v>0</v>
      </c>
      <c r="H593" s="635">
        <f>ROUND(F593*'Actual Load'!$B$8/'Zonal Load'!$N$8,2)</f>
        <v>0</v>
      </c>
      <c r="I593" s="180">
        <f t="shared" ref="I593:I616" si="155">ROUND((H593*$H$912)/$H$910,2)</f>
        <v>0</v>
      </c>
      <c r="J593" s="180">
        <f>I593-F593</f>
        <v>0</v>
      </c>
      <c r="K593" s="180">
        <f>+G593+J593</f>
        <v>0</v>
      </c>
      <c r="L593" s="181">
        <f>E593*'Interest Under Collect '!$J$9</f>
        <v>0</v>
      </c>
      <c r="M593" s="180">
        <f t="shared" ref="M593:M601" si="156">+K593+L593</f>
        <v>0</v>
      </c>
      <c r="N593" s="203"/>
    </row>
    <row r="594" spans="1:14" s="185" customFormat="1">
      <c r="B594" s="23" t="s">
        <v>17</v>
      </c>
      <c r="C594" s="222">
        <v>0</v>
      </c>
      <c r="D594" s="225">
        <v>0</v>
      </c>
      <c r="E594" s="223">
        <v>0</v>
      </c>
      <c r="F594" s="224">
        <f>ROUND(+E594*F$619,2)</f>
        <v>0</v>
      </c>
      <c r="G594" s="180">
        <f t="shared" ref="G594:G615" si="157">(F$619-F$620)*E594</f>
        <v>0</v>
      </c>
      <c r="H594" s="635">
        <f>ROUND(F594*'Actual Load'!$B$14/'Zonal Load'!$N$14,2)</f>
        <v>0</v>
      </c>
      <c r="I594" s="180">
        <f t="shared" si="155"/>
        <v>0</v>
      </c>
      <c r="J594" s="180">
        <f>I594-F594</f>
        <v>0</v>
      </c>
      <c r="K594" s="180">
        <f>+G594+J594</f>
        <v>0</v>
      </c>
      <c r="L594" s="181">
        <f>E594*'Interest Under Collect '!$J$9</f>
        <v>0</v>
      </c>
      <c r="M594" s="180">
        <f t="shared" si="156"/>
        <v>0</v>
      </c>
      <c r="N594" s="203"/>
    </row>
    <row r="595" spans="1:14" s="185" customFormat="1">
      <c r="B595" s="23" t="s">
        <v>201</v>
      </c>
      <c r="C595" s="222">
        <f>0%*0.421</f>
        <v>0</v>
      </c>
      <c r="D595" s="225">
        <f>0%*0.421</f>
        <v>0</v>
      </c>
      <c r="E595" s="223">
        <v>0</v>
      </c>
      <c r="F595" s="224">
        <f>ROUND(+E595*F$619,2)</f>
        <v>0</v>
      </c>
      <c r="G595" s="180">
        <f t="shared" si="157"/>
        <v>0</v>
      </c>
      <c r="H595" s="635">
        <f>ROUND(F595*'Actual Load'!$B$9/'Zonal Load'!$N$9,2)</f>
        <v>0</v>
      </c>
      <c r="I595" s="180">
        <f t="shared" si="155"/>
        <v>0</v>
      </c>
      <c r="J595" s="180">
        <f>I595-F595</f>
        <v>0</v>
      </c>
      <c r="K595" s="180">
        <f>+G595+J595</f>
        <v>0</v>
      </c>
      <c r="L595" s="181">
        <f>E595*'Interest Under Collect '!$J$9</f>
        <v>0</v>
      </c>
      <c r="M595" s="180">
        <f t="shared" si="156"/>
        <v>0</v>
      </c>
      <c r="N595" s="203"/>
    </row>
    <row r="596" spans="1:14" s="185" customFormat="1">
      <c r="B596" s="132" t="s">
        <v>260</v>
      </c>
      <c r="C596" s="222">
        <f>0%*0.579</f>
        <v>0</v>
      </c>
      <c r="D596" s="225">
        <f>0%*0.579</f>
        <v>0</v>
      </c>
      <c r="E596" s="223">
        <v>0</v>
      </c>
      <c r="F596" s="224">
        <f>ROUND(+E596*F$619,2)</f>
        <v>0</v>
      </c>
      <c r="G596" s="180">
        <f t="shared" si="157"/>
        <v>0</v>
      </c>
      <c r="H596" s="635">
        <f>ROUND(F596*'Actual Load'!$B$10/'Zonal Load'!$N$10,2)</f>
        <v>0</v>
      </c>
      <c r="I596" s="180">
        <f t="shared" si="155"/>
        <v>0</v>
      </c>
      <c r="J596" s="180">
        <f>I596-F596</f>
        <v>0</v>
      </c>
      <c r="K596" s="180">
        <f>+G596+J596</f>
        <v>0</v>
      </c>
      <c r="L596" s="181">
        <f>E596*'Interest Under Collect '!$J$9</f>
        <v>0</v>
      </c>
      <c r="M596" s="180">
        <f t="shared" si="156"/>
        <v>0</v>
      </c>
      <c r="N596" s="203"/>
    </row>
    <row r="597" spans="1:14" s="185" customFormat="1">
      <c r="B597" s="23" t="s">
        <v>18</v>
      </c>
      <c r="C597" s="222">
        <v>0</v>
      </c>
      <c r="D597" s="225">
        <v>0</v>
      </c>
      <c r="E597" s="223">
        <v>0</v>
      </c>
      <c r="F597" s="224">
        <f>ROUND(+E597*F$619,2)</f>
        <v>0</v>
      </c>
      <c r="G597" s="180">
        <f t="shared" si="157"/>
        <v>0</v>
      </c>
      <c r="H597" s="635">
        <f>ROUND(F597*'Actual Load'!$B$26/'Zonal Load'!$N$26,2)</f>
        <v>0</v>
      </c>
      <c r="I597" s="180">
        <f t="shared" si="155"/>
        <v>0</v>
      </c>
      <c r="J597" s="180">
        <f t="shared" ref="J597:J616" si="158">I597-F597</f>
        <v>0</v>
      </c>
      <c r="K597" s="180">
        <f t="shared" ref="K597:K616" si="159">+G597+J597</f>
        <v>0</v>
      </c>
      <c r="L597" s="181">
        <f>E597*'Interest Under Collect '!$J$9</f>
        <v>0</v>
      </c>
      <c r="M597" s="180">
        <f t="shared" si="156"/>
        <v>0</v>
      </c>
      <c r="N597" s="203"/>
    </row>
    <row r="598" spans="1:14" s="185" customFormat="1">
      <c r="B598" s="23" t="s">
        <v>19</v>
      </c>
      <c r="C598" s="222">
        <v>0</v>
      </c>
      <c r="D598" s="225">
        <v>0</v>
      </c>
      <c r="E598" s="223">
        <v>0</v>
      </c>
      <c r="F598" s="224">
        <f t="shared" ref="F598:F615" si="160">ROUND(+E598*F$619,2)</f>
        <v>0</v>
      </c>
      <c r="G598" s="180">
        <f t="shared" si="157"/>
        <v>0</v>
      </c>
      <c r="H598" s="635">
        <f>ROUND(F598*'Actual Load'!$B$16/'Zonal Load'!$N$16,2)</f>
        <v>0</v>
      </c>
      <c r="I598" s="180">
        <f t="shared" si="155"/>
        <v>0</v>
      </c>
      <c r="J598" s="180">
        <f t="shared" si="158"/>
        <v>0</v>
      </c>
      <c r="K598" s="180">
        <f t="shared" si="159"/>
        <v>0</v>
      </c>
      <c r="L598" s="181">
        <f>E598*'Interest Under Collect '!$J$9</f>
        <v>0</v>
      </c>
      <c r="M598" s="180">
        <f t="shared" si="156"/>
        <v>0</v>
      </c>
      <c r="N598" s="203"/>
    </row>
    <row r="599" spans="1:14" s="185" customFormat="1">
      <c r="B599" s="23" t="s">
        <v>20</v>
      </c>
      <c r="C599" s="222">
        <v>0</v>
      </c>
      <c r="D599" s="225">
        <v>0</v>
      </c>
      <c r="E599" s="223">
        <v>0</v>
      </c>
      <c r="F599" s="224">
        <f t="shared" si="160"/>
        <v>0</v>
      </c>
      <c r="G599" s="180">
        <f t="shared" si="157"/>
        <v>0</v>
      </c>
      <c r="H599" s="635">
        <f>ROUND(F599*'Actual Load'!$B$22/'Zonal Load'!$N$22,2)</f>
        <v>0</v>
      </c>
      <c r="I599" s="180">
        <f t="shared" si="155"/>
        <v>0</v>
      </c>
      <c r="J599" s="180">
        <f t="shared" si="158"/>
        <v>0</v>
      </c>
      <c r="K599" s="180">
        <f t="shared" si="159"/>
        <v>0</v>
      </c>
      <c r="L599" s="181">
        <f>E599*'Interest Under Collect '!$J$9</f>
        <v>0</v>
      </c>
      <c r="M599" s="180">
        <f t="shared" si="156"/>
        <v>0</v>
      </c>
      <c r="N599" s="203"/>
    </row>
    <row r="600" spans="1:14" s="185" customFormat="1">
      <c r="B600" s="23" t="s">
        <v>21</v>
      </c>
      <c r="C600" s="222">
        <v>0</v>
      </c>
      <c r="D600" s="225">
        <v>0</v>
      </c>
      <c r="E600" s="223">
        <v>0</v>
      </c>
      <c r="F600" s="224">
        <f t="shared" si="160"/>
        <v>0</v>
      </c>
      <c r="G600" s="180">
        <f t="shared" si="157"/>
        <v>0</v>
      </c>
      <c r="H600" s="635">
        <f>ROUND(F600*'Actual Load'!$B$17/'Zonal Load'!$N$17,2)</f>
        <v>0</v>
      </c>
      <c r="I600" s="180">
        <f t="shared" si="155"/>
        <v>0</v>
      </c>
      <c r="J600" s="180">
        <f t="shared" si="158"/>
        <v>0</v>
      </c>
      <c r="K600" s="180">
        <f t="shared" si="159"/>
        <v>0</v>
      </c>
      <c r="L600" s="181">
        <f>E600*'Interest Under Collect '!$J$9</f>
        <v>0</v>
      </c>
      <c r="M600" s="180">
        <f t="shared" si="156"/>
        <v>0</v>
      </c>
      <c r="N600" s="203"/>
    </row>
    <row r="601" spans="1:14" s="185" customFormat="1">
      <c r="B601" s="23" t="s">
        <v>22</v>
      </c>
      <c r="C601" s="222">
        <v>0</v>
      </c>
      <c r="D601" s="225">
        <v>0</v>
      </c>
      <c r="E601" s="223">
        <v>0</v>
      </c>
      <c r="F601" s="224">
        <f t="shared" si="160"/>
        <v>0</v>
      </c>
      <c r="G601" s="180">
        <f t="shared" si="157"/>
        <v>0</v>
      </c>
      <c r="H601" s="635">
        <f>ROUND(F601*'Actual Load'!$B$15/'Zonal Load'!$N$15,2)</f>
        <v>0</v>
      </c>
      <c r="I601" s="180">
        <f t="shared" si="155"/>
        <v>0</v>
      </c>
      <c r="J601" s="180">
        <f t="shared" si="158"/>
        <v>0</v>
      </c>
      <c r="K601" s="180">
        <f t="shared" si="159"/>
        <v>0</v>
      </c>
      <c r="L601" s="181">
        <f>E601*'Interest Under Collect '!$J$9</f>
        <v>0</v>
      </c>
      <c r="M601" s="180">
        <f t="shared" si="156"/>
        <v>0</v>
      </c>
      <c r="N601" s="203"/>
    </row>
    <row r="602" spans="1:14" s="185" customFormat="1">
      <c r="B602" s="23" t="s">
        <v>23</v>
      </c>
      <c r="C602" s="222">
        <v>0</v>
      </c>
      <c r="D602" s="225">
        <v>0</v>
      </c>
      <c r="E602" s="223">
        <v>1.75114914939136E-3</v>
      </c>
      <c r="F602" s="224">
        <f t="shared" si="160"/>
        <v>-1997.89</v>
      </c>
      <c r="G602" s="180">
        <f t="shared" si="157"/>
        <v>0</v>
      </c>
      <c r="H602" s="635">
        <f>ROUND(F602*'Actual Load'!$B$4/'Zonal Load'!$N$4,2)</f>
        <v>-1964.86</v>
      </c>
      <c r="I602" s="180">
        <f t="shared" si="155"/>
        <v>-2062.31</v>
      </c>
      <c r="J602" s="180">
        <f t="shared" si="158"/>
        <v>-64.419999999999845</v>
      </c>
      <c r="K602" s="180">
        <f t="shared" si="159"/>
        <v>-64.419999999999845</v>
      </c>
      <c r="L602" s="181">
        <f>E602*'Interest Under Collect '!$J$9</f>
        <v>0.8752243448658017</v>
      </c>
      <c r="M602" s="180">
        <f t="shared" ref="M602:M613" si="161">+K602+L602</f>
        <v>-63.544775655134046</v>
      </c>
      <c r="N602" s="203"/>
    </row>
    <row r="603" spans="1:14" s="185" customFormat="1">
      <c r="B603" s="23" t="s">
        <v>24</v>
      </c>
      <c r="C603" s="222">
        <v>0</v>
      </c>
      <c r="D603" s="225">
        <v>0</v>
      </c>
      <c r="E603" s="223">
        <v>0</v>
      </c>
      <c r="F603" s="224">
        <f t="shared" si="160"/>
        <v>0</v>
      </c>
      <c r="G603" s="180">
        <f t="shared" si="157"/>
        <v>0</v>
      </c>
      <c r="H603" s="635">
        <f>ROUND(F603*'Actual Load'!$B$11/'Zonal Load'!$N$11,2)</f>
        <v>0</v>
      </c>
      <c r="I603" s="180">
        <f t="shared" si="155"/>
        <v>0</v>
      </c>
      <c r="J603" s="180">
        <f t="shared" si="158"/>
        <v>0</v>
      </c>
      <c r="K603" s="180">
        <f t="shared" si="159"/>
        <v>0</v>
      </c>
      <c r="L603" s="181">
        <f>E603*'Interest Under Collect '!$J$9</f>
        <v>0</v>
      </c>
      <c r="M603" s="180">
        <f t="shared" si="161"/>
        <v>0</v>
      </c>
      <c r="N603" s="203"/>
    </row>
    <row r="604" spans="1:14" s="185" customFormat="1">
      <c r="B604" s="23" t="s">
        <v>26</v>
      </c>
      <c r="C604" s="222">
        <v>0</v>
      </c>
      <c r="D604" s="225">
        <v>0</v>
      </c>
      <c r="E604" s="223">
        <v>0</v>
      </c>
      <c r="F604" s="224">
        <f t="shared" si="160"/>
        <v>0</v>
      </c>
      <c r="G604" s="180">
        <f t="shared" si="157"/>
        <v>0</v>
      </c>
      <c r="H604" s="635">
        <f>ROUND(F604*'Actual Load'!$B$7/'Zonal Load'!$N$7,2)</f>
        <v>0</v>
      </c>
      <c r="I604" s="180">
        <f t="shared" si="155"/>
        <v>0</v>
      </c>
      <c r="J604" s="180">
        <f t="shared" si="158"/>
        <v>0</v>
      </c>
      <c r="K604" s="180">
        <f t="shared" si="159"/>
        <v>0</v>
      </c>
      <c r="L604" s="181">
        <f>E604*'Interest Under Collect '!$J$9</f>
        <v>0</v>
      </c>
      <c r="M604" s="180">
        <f t="shared" si="161"/>
        <v>0</v>
      </c>
      <c r="N604" s="203"/>
    </row>
    <row r="605" spans="1:14" s="185" customFormat="1">
      <c r="B605" s="23" t="s">
        <v>25</v>
      </c>
      <c r="C605" s="222">
        <v>0</v>
      </c>
      <c r="D605" s="225">
        <v>0</v>
      </c>
      <c r="E605" s="223">
        <v>0</v>
      </c>
      <c r="F605" s="224">
        <f t="shared" si="160"/>
        <v>0</v>
      </c>
      <c r="G605" s="180">
        <f t="shared" si="157"/>
        <v>0</v>
      </c>
      <c r="H605" s="635">
        <f>ROUND(F605*'Actual Load'!$B$6/'Zonal Load'!$N$6,2)</f>
        <v>0</v>
      </c>
      <c r="I605" s="180">
        <f t="shared" si="155"/>
        <v>0</v>
      </c>
      <c r="J605" s="180">
        <f t="shared" si="158"/>
        <v>0</v>
      </c>
      <c r="K605" s="180">
        <f t="shared" si="159"/>
        <v>0</v>
      </c>
      <c r="L605" s="181">
        <f>E605*'Interest Under Collect '!$J$9</f>
        <v>0</v>
      </c>
      <c r="M605" s="180">
        <f t="shared" si="161"/>
        <v>0</v>
      </c>
      <c r="N605" s="203"/>
    </row>
    <row r="606" spans="1:14" s="185" customFormat="1">
      <c r="B606" s="23" t="s">
        <v>119</v>
      </c>
      <c r="C606" s="222">
        <v>0</v>
      </c>
      <c r="D606" s="225">
        <v>0</v>
      </c>
      <c r="E606" s="223">
        <v>0</v>
      </c>
      <c r="F606" s="224">
        <f t="shared" si="160"/>
        <v>0</v>
      </c>
      <c r="G606" s="180">
        <f t="shared" si="157"/>
        <v>0</v>
      </c>
      <c r="H606" s="635">
        <f>ROUND(F606*'Actual Load'!$B$18/'Zonal Load'!$N$18,2)</f>
        <v>0</v>
      </c>
      <c r="I606" s="180">
        <f t="shared" si="155"/>
        <v>0</v>
      </c>
      <c r="J606" s="180">
        <f t="shared" si="158"/>
        <v>0</v>
      </c>
      <c r="K606" s="180">
        <f t="shared" si="159"/>
        <v>0</v>
      </c>
      <c r="L606" s="181">
        <f>E606*'Interest Under Collect '!$J$9</f>
        <v>0</v>
      </c>
      <c r="M606" s="180">
        <f t="shared" si="161"/>
        <v>0</v>
      </c>
      <c r="N606" s="203"/>
    </row>
    <row r="607" spans="1:14" s="185" customFormat="1">
      <c r="B607" s="23" t="s">
        <v>120</v>
      </c>
      <c r="C607" s="222">
        <v>0</v>
      </c>
      <c r="D607" s="225">
        <v>0</v>
      </c>
      <c r="E607" s="223">
        <v>0</v>
      </c>
      <c r="F607" s="224">
        <f t="shared" si="160"/>
        <v>0</v>
      </c>
      <c r="G607" s="180">
        <f t="shared" si="157"/>
        <v>0</v>
      </c>
      <c r="H607" s="635">
        <f>ROUND(F607*'Actual Load'!$B$17/'Zonal Load'!$N$17,2)</f>
        <v>0</v>
      </c>
      <c r="I607" s="180">
        <f t="shared" si="155"/>
        <v>0</v>
      </c>
      <c r="J607" s="180">
        <f t="shared" si="158"/>
        <v>0</v>
      </c>
      <c r="K607" s="180">
        <f t="shared" si="159"/>
        <v>0</v>
      </c>
      <c r="L607" s="181">
        <f>E607*'Interest Under Collect '!$J$9</f>
        <v>0</v>
      </c>
      <c r="M607" s="180">
        <f t="shared" si="161"/>
        <v>0</v>
      </c>
      <c r="N607" s="203"/>
    </row>
    <row r="608" spans="1:14" s="185" customFormat="1">
      <c r="B608" s="23" t="s">
        <v>27</v>
      </c>
      <c r="C608" s="222">
        <v>0</v>
      </c>
      <c r="D608" s="225">
        <v>0</v>
      </c>
      <c r="E608" s="223">
        <v>0</v>
      </c>
      <c r="F608" s="224">
        <f t="shared" si="160"/>
        <v>0</v>
      </c>
      <c r="G608" s="180">
        <f t="shared" si="157"/>
        <v>0</v>
      </c>
      <c r="H608" s="635">
        <f>ROUND(F608*'Actual Load'!$B$12/'Zonal Load'!$N$12,2)</f>
        <v>0</v>
      </c>
      <c r="I608" s="180">
        <f t="shared" si="155"/>
        <v>0</v>
      </c>
      <c r="J608" s="180">
        <f t="shared" si="158"/>
        <v>0</v>
      </c>
      <c r="K608" s="180">
        <f t="shared" si="159"/>
        <v>0</v>
      </c>
      <c r="L608" s="181">
        <f>E608*'Interest Under Collect '!$J$9</f>
        <v>0</v>
      </c>
      <c r="M608" s="180">
        <f t="shared" si="161"/>
        <v>0</v>
      </c>
      <c r="N608" s="203"/>
    </row>
    <row r="609" spans="1:14" s="185" customFormat="1">
      <c r="B609" s="23" t="s">
        <v>28</v>
      </c>
      <c r="C609" s="222">
        <v>0</v>
      </c>
      <c r="D609" s="225">
        <v>0</v>
      </c>
      <c r="E609" s="223">
        <v>0</v>
      </c>
      <c r="F609" s="224">
        <f t="shared" si="160"/>
        <v>0</v>
      </c>
      <c r="G609" s="180">
        <f t="shared" si="157"/>
        <v>0</v>
      </c>
      <c r="H609" s="635">
        <f>ROUND(F609*'Actual Load'!$B$24/'Zonal Load'!$N$24,2)</f>
        <v>0</v>
      </c>
      <c r="I609" s="180">
        <f t="shared" si="155"/>
        <v>0</v>
      </c>
      <c r="J609" s="180">
        <f t="shared" si="158"/>
        <v>0</v>
      </c>
      <c r="K609" s="180">
        <f t="shared" si="159"/>
        <v>0</v>
      </c>
      <c r="L609" s="181">
        <f>E609*'Interest Under Collect '!$J$9</f>
        <v>0</v>
      </c>
      <c r="M609" s="180">
        <f t="shared" si="161"/>
        <v>0</v>
      </c>
      <c r="N609" s="203"/>
    </row>
    <row r="610" spans="1:14" s="185" customFormat="1">
      <c r="B610" s="23" t="s">
        <v>29</v>
      </c>
      <c r="C610" s="222">
        <v>0</v>
      </c>
      <c r="D610" s="225">
        <v>0</v>
      </c>
      <c r="E610" s="223">
        <v>0</v>
      </c>
      <c r="F610" s="224">
        <f t="shared" si="160"/>
        <v>0</v>
      </c>
      <c r="G610" s="180">
        <f t="shared" si="157"/>
        <v>0</v>
      </c>
      <c r="H610" s="635">
        <f>ROUND(F610*'Actual Load'!$B$5/'Zonal Load'!$N$5,2)</f>
        <v>0</v>
      </c>
      <c r="I610" s="180">
        <f t="shared" si="155"/>
        <v>0</v>
      </c>
      <c r="J610" s="180">
        <f t="shared" si="158"/>
        <v>0</v>
      </c>
      <c r="K610" s="180">
        <f t="shared" si="159"/>
        <v>0</v>
      </c>
      <c r="L610" s="181">
        <f>E610*'Interest Under Collect '!$J$9</f>
        <v>0</v>
      </c>
      <c r="M610" s="180">
        <f t="shared" si="161"/>
        <v>0</v>
      </c>
      <c r="N610" s="203"/>
    </row>
    <row r="611" spans="1:14" s="185" customFormat="1">
      <c r="B611" s="23" t="s">
        <v>30</v>
      </c>
      <c r="C611" s="222">
        <v>0</v>
      </c>
      <c r="D611" s="225">
        <v>0</v>
      </c>
      <c r="E611" s="223">
        <v>0.68200430584373495</v>
      </c>
      <c r="F611" s="224">
        <f t="shared" si="160"/>
        <v>-778100.94</v>
      </c>
      <c r="G611" s="180">
        <f t="shared" si="157"/>
        <v>0</v>
      </c>
      <c r="H611" s="635">
        <f>ROUND(F611*'Actual Load'!$B$21/'Zonal Load'!$N$21,2)</f>
        <v>-743313.87</v>
      </c>
      <c r="I611" s="180">
        <f t="shared" si="155"/>
        <v>-780180.6</v>
      </c>
      <c r="J611" s="180">
        <f t="shared" si="158"/>
        <v>-2079.6600000000326</v>
      </c>
      <c r="K611" s="180">
        <f t="shared" si="159"/>
        <v>-2079.6600000000326</v>
      </c>
      <c r="L611" s="181">
        <f>E611*'Interest Under Collect '!$J$9</f>
        <v>340.86575206069875</v>
      </c>
      <c r="M611" s="180">
        <f t="shared" si="161"/>
        <v>-1738.7942479393339</v>
      </c>
      <c r="N611" s="203"/>
    </row>
    <row r="612" spans="1:14" s="185" customFormat="1">
      <c r="B612" s="23" t="s">
        <v>31</v>
      </c>
      <c r="C612" s="222">
        <v>0</v>
      </c>
      <c r="D612" s="225">
        <v>0</v>
      </c>
      <c r="E612" s="223">
        <v>8.8180891160389685E-2</v>
      </c>
      <c r="F612" s="224">
        <f t="shared" si="160"/>
        <v>-100605.87</v>
      </c>
      <c r="G612" s="180">
        <f t="shared" si="157"/>
        <v>0</v>
      </c>
      <c r="H612" s="635">
        <f>ROUND(F612*'Actual Load'!$B$19/'Zonal Load'!$N$19,2)</f>
        <v>-93664.61</v>
      </c>
      <c r="I612" s="180">
        <f t="shared" si="155"/>
        <v>-98310.17</v>
      </c>
      <c r="J612" s="180">
        <f t="shared" si="158"/>
        <v>2295.6999999999971</v>
      </c>
      <c r="K612" s="180">
        <f t="shared" si="159"/>
        <v>2295.6999999999971</v>
      </c>
      <c r="L612" s="181">
        <f>E612*'Interest Under Collect '!$J$9</f>
        <v>44.072809401962765</v>
      </c>
      <c r="M612" s="180">
        <f t="shared" si="161"/>
        <v>2339.7728094019599</v>
      </c>
      <c r="N612" s="203"/>
    </row>
    <row r="613" spans="1:14" s="185" customFormat="1">
      <c r="B613" s="23" t="s">
        <v>32</v>
      </c>
      <c r="C613" s="222">
        <v>0</v>
      </c>
      <c r="D613" s="225">
        <v>0</v>
      </c>
      <c r="E613" s="223">
        <v>0</v>
      </c>
      <c r="F613" s="224">
        <f t="shared" si="160"/>
        <v>0</v>
      </c>
      <c r="G613" s="180">
        <f t="shared" si="157"/>
        <v>0</v>
      </c>
      <c r="H613" s="635">
        <f>ROUND(F613*'Actual Load'!$B$25/'Zonal Load'!$N$25,2)</f>
        <v>0</v>
      </c>
      <c r="I613" s="180">
        <f t="shared" si="155"/>
        <v>0</v>
      </c>
      <c r="J613" s="180">
        <f t="shared" si="158"/>
        <v>0</v>
      </c>
      <c r="K613" s="180">
        <f t="shared" si="159"/>
        <v>0</v>
      </c>
      <c r="L613" s="181">
        <f>E613*'Interest Under Collect '!$J$9</f>
        <v>0</v>
      </c>
      <c r="M613" s="180">
        <f t="shared" si="161"/>
        <v>0</v>
      </c>
      <c r="N613" s="203"/>
    </row>
    <row r="614" spans="1:14" s="185" customFormat="1">
      <c r="B614" s="23" t="s">
        <v>33</v>
      </c>
      <c r="C614" s="222">
        <v>0</v>
      </c>
      <c r="D614" s="225">
        <v>0</v>
      </c>
      <c r="E614" s="223">
        <v>0.20261761168929929</v>
      </c>
      <c r="F614" s="224">
        <f t="shared" si="160"/>
        <v>-231167.09</v>
      </c>
      <c r="G614" s="180">
        <f t="shared" si="157"/>
        <v>0</v>
      </c>
      <c r="H614" s="635">
        <f>ROUND(F614*'Actual Load'!$B$13/'Zonal Load'!$N$13,2)</f>
        <v>-224272.41</v>
      </c>
      <c r="I614" s="180">
        <f t="shared" si="155"/>
        <v>-235395.83</v>
      </c>
      <c r="J614" s="180">
        <f t="shared" si="158"/>
        <v>-4228.7399999999907</v>
      </c>
      <c r="K614" s="180">
        <f t="shared" si="159"/>
        <v>-4228.7399999999907</v>
      </c>
      <c r="L614" s="181">
        <f>E614*'Interest Under Collect '!$J$9</f>
        <v>101.26828232231179</v>
      </c>
      <c r="M614" s="180">
        <f>+K614+L614</f>
        <v>-4127.4717176776785</v>
      </c>
      <c r="N614" s="203"/>
    </row>
    <row r="615" spans="1:14" s="185" customFormat="1">
      <c r="B615" s="23" t="s">
        <v>34</v>
      </c>
      <c r="C615" s="222">
        <v>0</v>
      </c>
      <c r="D615" s="225">
        <v>0</v>
      </c>
      <c r="E615" s="223">
        <v>2.5446042157184746E-2</v>
      </c>
      <c r="F615" s="224">
        <f t="shared" si="160"/>
        <v>-29031.47</v>
      </c>
      <c r="G615" s="180">
        <f t="shared" si="157"/>
        <v>0</v>
      </c>
      <c r="H615" s="635">
        <f>ROUND(F615*'Actual Load'!$B$23/'Zonal Load'!$N$23,2)</f>
        <v>-28997.42</v>
      </c>
      <c r="I615" s="180">
        <f t="shared" si="155"/>
        <v>-30435.63</v>
      </c>
      <c r="J615" s="180">
        <f t="shared" si="158"/>
        <v>-1404.1599999999999</v>
      </c>
      <c r="K615" s="180">
        <f t="shared" si="159"/>
        <v>-1404.1599999999999</v>
      </c>
      <c r="L615" s="181">
        <f>E615*'Interest Under Collect '!$J$9</f>
        <v>12.717931870160937</v>
      </c>
      <c r="M615" s="180">
        <f>+K615+L615</f>
        <v>-1391.4420681298388</v>
      </c>
      <c r="N615" s="203"/>
    </row>
    <row r="616" spans="1:14" s="185" customFormat="1">
      <c r="B616" s="24" t="s">
        <v>35</v>
      </c>
      <c r="C616" s="222">
        <v>0</v>
      </c>
      <c r="D616" s="225">
        <v>0</v>
      </c>
      <c r="E616" s="223">
        <v>0</v>
      </c>
      <c r="F616" s="224">
        <f>ROUND(+E616*F$619,2)</f>
        <v>0</v>
      </c>
      <c r="G616" s="180">
        <f>(F$619-F$620)*E616</f>
        <v>0</v>
      </c>
      <c r="H616" s="635">
        <f>ROUND(F616*'Actual Load'!$B$20/'Zonal Load'!$N$20,2)</f>
        <v>0</v>
      </c>
      <c r="I616" s="180">
        <f t="shared" si="155"/>
        <v>0</v>
      </c>
      <c r="J616" s="180">
        <f t="shared" si="158"/>
        <v>0</v>
      </c>
      <c r="K616" s="180">
        <f t="shared" si="159"/>
        <v>0</v>
      </c>
      <c r="L616" s="181">
        <f>E616*'Interest Under Collect '!$J$9</f>
        <v>0</v>
      </c>
      <c r="M616" s="180">
        <f>+K616+L616</f>
        <v>0</v>
      </c>
      <c r="N616" s="203"/>
    </row>
    <row r="617" spans="1:14">
      <c r="A617" s="172"/>
      <c r="B617" s="25"/>
      <c r="C617" s="26">
        <f>SUM(C593:C616)</f>
        <v>0</v>
      </c>
      <c r="D617" s="27">
        <f>SUM(D593:D616)</f>
        <v>0</v>
      </c>
      <c r="E617" s="101">
        <f>SUM(E593:E616)</f>
        <v>1</v>
      </c>
      <c r="F617" s="95">
        <f>SUM(F593:F616)</f>
        <v>-1140903.26</v>
      </c>
      <c r="G617" s="78">
        <f t="shared" ref="G617:M617" si="162">SUM(G595:G616)</f>
        <v>0</v>
      </c>
      <c r="H617" s="138">
        <f t="shared" si="162"/>
        <v>-1092213.17</v>
      </c>
      <c r="I617" s="79">
        <f t="shared" si="162"/>
        <v>-1146384.54</v>
      </c>
      <c r="J617" s="79">
        <f t="shared" si="162"/>
        <v>-5481.2800000000261</v>
      </c>
      <c r="K617" s="587">
        <f t="shared" si="162"/>
        <v>-5481.2800000000261</v>
      </c>
      <c r="L617" s="79">
        <f t="shared" si="162"/>
        <v>499.80000000000007</v>
      </c>
      <c r="M617" s="79">
        <f t="shared" si="162"/>
        <v>-4981.480000000025</v>
      </c>
      <c r="N617" s="203"/>
    </row>
    <row r="618" spans="1:14">
      <c r="A618" s="172"/>
      <c r="G618" s="21"/>
      <c r="I618" s="80"/>
      <c r="N618" s="203"/>
    </row>
    <row r="619" spans="1:14">
      <c r="A619" s="172"/>
      <c r="E619" s="96" t="s">
        <v>618</v>
      </c>
      <c r="F619" s="178">
        <f>-1140903.26</f>
        <v>-1140903.26</v>
      </c>
      <c r="N619" s="203"/>
    </row>
    <row r="620" spans="1:14">
      <c r="A620" s="172"/>
      <c r="E620" s="97" t="s">
        <v>619</v>
      </c>
      <c r="F620" s="179">
        <f>-1140903.26</f>
        <v>-1140903.26</v>
      </c>
      <c r="G620" s="632">
        <f>F619-F620</f>
        <v>0</v>
      </c>
      <c r="H620" s="633"/>
      <c r="I620" s="29"/>
      <c r="L620" s="84"/>
      <c r="N620" s="203"/>
    </row>
    <row r="621" spans="1:14">
      <c r="A621" s="172"/>
      <c r="E621" s="97" t="s">
        <v>160</v>
      </c>
      <c r="F621" s="186">
        <f>I617</f>
        <v>-1146384.54</v>
      </c>
      <c r="G621" s="632">
        <f>F621-F619</f>
        <v>-5481.2800000000279</v>
      </c>
      <c r="H621" s="634"/>
      <c r="N621" s="203"/>
    </row>
    <row r="622" spans="1:14">
      <c r="A622" s="172"/>
      <c r="E622" s="97"/>
      <c r="F622" s="97"/>
      <c r="G622" s="632">
        <f>G620+G621</f>
        <v>-5481.2800000000279</v>
      </c>
      <c r="H622" s="633">
        <f>F621-F620</f>
        <v>-5481.2800000000279</v>
      </c>
      <c r="N622" s="203"/>
    </row>
    <row r="623" spans="1:14">
      <c r="A623" s="172"/>
      <c r="B623" s="82"/>
      <c r="C623" s="82"/>
      <c r="D623" s="82"/>
      <c r="E623" s="82"/>
      <c r="F623" s="82"/>
      <c r="G623" s="82"/>
      <c r="H623" s="82"/>
      <c r="I623" s="82"/>
      <c r="J623" s="111"/>
      <c r="K623" s="82"/>
      <c r="L623" s="82"/>
      <c r="M623" s="82"/>
      <c r="N623" s="203"/>
    </row>
    <row r="624" spans="1:14">
      <c r="A624" s="172"/>
      <c r="L624" s="81"/>
      <c r="N624" s="203"/>
    </row>
    <row r="625" spans="1:14">
      <c r="A625" s="172"/>
      <c r="B625" s="640" t="s">
        <v>0</v>
      </c>
      <c r="C625" s="641"/>
      <c r="D625" s="642">
        <v>3104</v>
      </c>
      <c r="E625" s="643"/>
      <c r="F625" s="643"/>
      <c r="G625" s="643"/>
      <c r="H625" s="644"/>
      <c r="I625" s="150"/>
      <c r="J625" s="1"/>
      <c r="N625" s="203"/>
    </row>
    <row r="626" spans="1:14" ht="15.75" customHeight="1">
      <c r="A626" s="172"/>
      <c r="B626" s="645" t="s">
        <v>2</v>
      </c>
      <c r="C626" s="646"/>
      <c r="D626" s="647" t="s">
        <v>264</v>
      </c>
      <c r="E626" s="648"/>
      <c r="F626" s="648"/>
      <c r="G626" s="648"/>
      <c r="H626" s="649"/>
      <c r="I626" s="151"/>
      <c r="J626" s="1"/>
      <c r="N626" s="203"/>
    </row>
    <row r="627" spans="1:14">
      <c r="A627" s="172"/>
      <c r="B627" s="645" t="s">
        <v>4</v>
      </c>
      <c r="C627" s="646"/>
      <c r="D627" s="650"/>
      <c r="E627" s="651"/>
      <c r="F627" s="651"/>
      <c r="G627" s="651"/>
      <c r="H627" s="652"/>
      <c r="I627" s="152"/>
      <c r="J627" s="1"/>
      <c r="N627" s="203"/>
    </row>
    <row r="628" spans="1:14">
      <c r="A628" s="172"/>
      <c r="B628" s="653" t="s">
        <v>6</v>
      </c>
      <c r="C628" s="654"/>
      <c r="D628" s="655" t="s">
        <v>33</v>
      </c>
      <c r="E628" s="656"/>
      <c r="F628" s="656"/>
      <c r="G628" s="656"/>
      <c r="H628" s="657"/>
      <c r="I628" s="153"/>
      <c r="J628" s="1"/>
      <c r="N628" s="203"/>
    </row>
    <row r="629" spans="1:14">
      <c r="A629" s="172"/>
      <c r="B629" s="76"/>
      <c r="C629" s="76"/>
      <c r="D629" s="76"/>
      <c r="E629" s="76"/>
      <c r="F629" s="76"/>
      <c r="J629" s="105" t="s">
        <v>163</v>
      </c>
      <c r="K629" s="3" t="s">
        <v>42</v>
      </c>
      <c r="M629" s="3" t="s">
        <v>56</v>
      </c>
      <c r="N629" s="203"/>
    </row>
    <row r="630" spans="1:14">
      <c r="A630" s="172"/>
      <c r="B630" s="76"/>
      <c r="C630" s="76"/>
      <c r="D630" s="76"/>
      <c r="E630" s="76"/>
      <c r="F630" s="76"/>
      <c r="G630" s="3" t="s">
        <v>39</v>
      </c>
      <c r="H630" s="134" t="s">
        <v>40</v>
      </c>
      <c r="I630" s="98" t="s">
        <v>41</v>
      </c>
      <c r="J630" s="106" t="s">
        <v>164</v>
      </c>
      <c r="K630" s="4" t="s">
        <v>165</v>
      </c>
      <c r="L630" s="4" t="s">
        <v>55</v>
      </c>
      <c r="M630" s="4" t="s">
        <v>166</v>
      </c>
      <c r="N630" s="203"/>
    </row>
    <row r="631" spans="1:14">
      <c r="A631" s="172"/>
      <c r="B631" s="76"/>
      <c r="C631" s="76"/>
      <c r="D631" s="76"/>
      <c r="E631" s="76"/>
      <c r="F631" s="76"/>
      <c r="G631" s="5"/>
      <c r="H631" s="658" t="s">
        <v>43</v>
      </c>
      <c r="I631" s="659"/>
      <c r="J631" s="660"/>
      <c r="K631" s="6" t="s">
        <v>44</v>
      </c>
      <c r="L631" s="5"/>
      <c r="M631" s="6" t="s">
        <v>45</v>
      </c>
      <c r="N631" s="203"/>
    </row>
    <row r="632" spans="1:14">
      <c r="A632" s="172"/>
      <c r="B632" s="77"/>
      <c r="C632" s="7">
        <v>0.2</v>
      </c>
      <c r="D632" s="7">
        <v>0.8</v>
      </c>
      <c r="E632" s="7"/>
      <c r="F632" s="92" t="s">
        <v>162</v>
      </c>
      <c r="G632" s="8" t="s">
        <v>46</v>
      </c>
      <c r="H632" s="135"/>
      <c r="I632" s="5"/>
      <c r="J632" s="107" t="s">
        <v>47</v>
      </c>
      <c r="K632" s="8" t="s">
        <v>48</v>
      </c>
      <c r="L632" s="9"/>
      <c r="M632" s="8" t="s">
        <v>49</v>
      </c>
      <c r="N632" s="203"/>
    </row>
    <row r="633" spans="1:14">
      <c r="A633" s="172"/>
      <c r="B633" s="10"/>
      <c r="C633" s="69" t="s">
        <v>9</v>
      </c>
      <c r="D633" s="69" t="s">
        <v>10</v>
      </c>
      <c r="E633" s="69" t="s">
        <v>11</v>
      </c>
      <c r="F633" s="93" t="s">
        <v>8</v>
      </c>
      <c r="G633" s="11" t="s">
        <v>50</v>
      </c>
      <c r="H633" s="136" t="s">
        <v>51</v>
      </c>
      <c r="I633" s="12" t="s">
        <v>159</v>
      </c>
      <c r="J633" s="108" t="s">
        <v>50</v>
      </c>
      <c r="K633" s="12" t="s">
        <v>50</v>
      </c>
      <c r="L633" s="12" t="s">
        <v>52</v>
      </c>
      <c r="M633" s="12" t="s">
        <v>53</v>
      </c>
      <c r="N633" s="203"/>
    </row>
    <row r="634" spans="1:14" ht="31.5">
      <c r="A634" s="172"/>
      <c r="B634" s="13" t="s">
        <v>13</v>
      </c>
      <c r="C634" s="14" t="s">
        <v>14</v>
      </c>
      <c r="D634" s="14" t="s">
        <v>14</v>
      </c>
      <c r="E634" s="15" t="s">
        <v>14</v>
      </c>
      <c r="F634" s="94" t="s">
        <v>15</v>
      </c>
      <c r="G634" s="16" t="s">
        <v>54</v>
      </c>
      <c r="H634" s="137"/>
      <c r="I634" s="17"/>
      <c r="J634" s="109" t="s">
        <v>54</v>
      </c>
      <c r="K634" s="17"/>
      <c r="L634" s="17"/>
      <c r="M634" s="16" t="s">
        <v>54</v>
      </c>
      <c r="N634" s="203"/>
    </row>
    <row r="635" spans="1:14" s="185" customFormat="1">
      <c r="B635" s="18" t="s">
        <v>16</v>
      </c>
      <c r="C635" s="222">
        <v>0</v>
      </c>
      <c r="D635" s="225">
        <v>0</v>
      </c>
      <c r="E635" s="223">
        <v>2.417634894230071E-2</v>
      </c>
      <c r="F635" s="226">
        <f>ROUND(+E635*F$664,2)</f>
        <v>1160.99</v>
      </c>
      <c r="G635" s="180">
        <f>(F$664-F$665)*E635</f>
        <v>44.169479289535175</v>
      </c>
      <c r="H635" s="635">
        <f>ROUND(F635*'Actual Load'!$B$8/'Zonal Load'!$N$8,2)</f>
        <v>1160.99</v>
      </c>
      <c r="I635" s="180">
        <f t="shared" ref="I635:I661" si="163">ROUND((H635*$H$912)/$H$910,2)</f>
        <v>1218.57</v>
      </c>
      <c r="J635" s="180">
        <f>I635-F635</f>
        <v>57.579999999999927</v>
      </c>
      <c r="K635" s="180">
        <f>+G635+J635</f>
        <v>101.7494792895351</v>
      </c>
      <c r="L635" s="181">
        <f>E635*'Interest Over Collect'!$J$15</f>
        <v>1.1094526529621795</v>
      </c>
      <c r="M635" s="180">
        <f t="shared" ref="M635:M643" si="164">+K635+L635</f>
        <v>102.85893194249728</v>
      </c>
      <c r="N635" s="203"/>
    </row>
    <row r="636" spans="1:14" s="185" customFormat="1">
      <c r="B636" s="23" t="s">
        <v>17</v>
      </c>
      <c r="C636" s="222">
        <v>0</v>
      </c>
      <c r="D636" s="225">
        <v>0</v>
      </c>
      <c r="E636" s="223">
        <v>1.2876944585364467E-3</v>
      </c>
      <c r="F636" s="224">
        <f>ROUND(+E636*F$664,2)</f>
        <v>61.84</v>
      </c>
      <c r="G636" s="180">
        <f t="shared" ref="G636:G661" si="165">(F$664-F$665)*E636</f>
        <v>2.352579947175522</v>
      </c>
      <c r="H636" s="635">
        <f>ROUND(F636*'Actual Load'!$B$14/'Zonal Load'!$N$14,2)</f>
        <v>59.75</v>
      </c>
      <c r="I636" s="180">
        <f t="shared" si="163"/>
        <v>62.71</v>
      </c>
      <c r="J636" s="180">
        <f>I636-F636</f>
        <v>0.86999999999999744</v>
      </c>
      <c r="K636" s="180">
        <f>+G636+J636</f>
        <v>3.2225799471755194</v>
      </c>
      <c r="L636" s="181">
        <f>E636*'Interest Over Collect'!$J$15</f>
        <v>5.909229870223754E-2</v>
      </c>
      <c r="M636" s="180">
        <f t="shared" si="164"/>
        <v>3.2816722458777572</v>
      </c>
      <c r="N636" s="203"/>
    </row>
    <row r="637" spans="1:14" s="185" customFormat="1">
      <c r="B637" s="23" t="s">
        <v>201</v>
      </c>
      <c r="C637" s="222">
        <f>0%*0.421</f>
        <v>0</v>
      </c>
      <c r="D637" s="225">
        <f>0%*0.421</f>
        <v>0</v>
      </c>
      <c r="E637" s="223">
        <f>2.25942878761273%*0.421</f>
        <v>9.5121951958495928E-3</v>
      </c>
      <c r="F637" s="224">
        <f>ROUND(+E637*F$664,2)</f>
        <v>456.79</v>
      </c>
      <c r="G637" s="180">
        <f t="shared" si="165"/>
        <v>17.378501183277169</v>
      </c>
      <c r="H637" s="635">
        <f>ROUND(F637*'Actual Load'!$B$9/'Zonal Load'!$N$9,2)</f>
        <v>456.79</v>
      </c>
      <c r="I637" s="180">
        <f t="shared" si="163"/>
        <v>479.45</v>
      </c>
      <c r="J637" s="180">
        <f>I637-F637</f>
        <v>22.659999999999968</v>
      </c>
      <c r="K637" s="180">
        <f>+G637+J637</f>
        <v>40.038501183277134</v>
      </c>
      <c r="L637" s="181">
        <f>E637*'Interest Over Collect'!$J$15</f>
        <v>0.43651463753753783</v>
      </c>
      <c r="M637" s="180">
        <f t="shared" si="164"/>
        <v>40.475015820814669</v>
      </c>
      <c r="N637" s="203"/>
    </row>
    <row r="638" spans="1:14" s="185" customFormat="1">
      <c r="B638" s="132" t="s">
        <v>260</v>
      </c>
      <c r="C638" s="222">
        <f>0%*0.579</f>
        <v>0</v>
      </c>
      <c r="D638" s="225">
        <f>0%*0.579</f>
        <v>0</v>
      </c>
      <c r="E638" s="223">
        <f>2.25942878761273%*0.579</f>
        <v>1.3082092680277706E-2</v>
      </c>
      <c r="F638" s="224">
        <f>ROUND(+E638*F$664,2)</f>
        <v>628.23</v>
      </c>
      <c r="G638" s="180">
        <f t="shared" si="165"/>
        <v>23.90059901453083</v>
      </c>
      <c r="H638" s="635">
        <f>ROUND(F638*'Actual Load'!$B$10/'Zonal Load'!$N$10,2)</f>
        <v>630.19000000000005</v>
      </c>
      <c r="I638" s="180">
        <f t="shared" si="163"/>
        <v>661.45</v>
      </c>
      <c r="J638" s="180">
        <f>I638-F638</f>
        <v>33.220000000000027</v>
      </c>
      <c r="K638" s="180">
        <f>+G638+J638</f>
        <v>57.120599014530853</v>
      </c>
      <c r="L638" s="181">
        <f>E638*'Interest Over Collect'!$J$15</f>
        <v>0.60033723309794396</v>
      </c>
      <c r="M638" s="180">
        <f t="shared" si="164"/>
        <v>57.720936247628799</v>
      </c>
      <c r="N638" s="203"/>
    </row>
    <row r="639" spans="1:14" s="185" customFormat="1">
      <c r="B639" s="23" t="s">
        <v>18</v>
      </c>
      <c r="C639" s="222">
        <v>0</v>
      </c>
      <c r="D639" s="225">
        <v>0</v>
      </c>
      <c r="E639" s="223">
        <v>2.2749769753202301E-3</v>
      </c>
      <c r="F639" s="224">
        <f t="shared" ref="F639:F655" si="166">ROUND(+E639*F$664,2)</f>
        <v>109.25</v>
      </c>
      <c r="G639" s="180">
        <f t="shared" si="165"/>
        <v>4.1563161019636494</v>
      </c>
      <c r="H639" s="635">
        <f>ROUND(F639*'Actual Load'!$B$26/'Zonal Load'!$N$26,2)</f>
        <v>107.64</v>
      </c>
      <c r="I639" s="180">
        <f t="shared" si="163"/>
        <v>112.98</v>
      </c>
      <c r="J639" s="180">
        <f t="shared" ref="J639:J657" si="167">I639-F639</f>
        <v>3.730000000000004</v>
      </c>
      <c r="K639" s="180">
        <f t="shared" ref="K639:K657" si="168">+G639+J639</f>
        <v>7.8863161019636534</v>
      </c>
      <c r="L639" s="181">
        <f>E639*'Interest Over Collect'!$J$15</f>
        <v>0.10439869339744536</v>
      </c>
      <c r="M639" s="180">
        <f t="shared" si="164"/>
        <v>7.9907147953610984</v>
      </c>
      <c r="N639" s="203"/>
    </row>
    <row r="640" spans="1:14" s="185" customFormat="1">
      <c r="B640" s="23" t="s">
        <v>19</v>
      </c>
      <c r="C640" s="222">
        <v>0</v>
      </c>
      <c r="D640" s="225">
        <v>0</v>
      </c>
      <c r="E640" s="223">
        <v>5.8193712054392839E-3</v>
      </c>
      <c r="F640" s="224">
        <f t="shared" si="166"/>
        <v>279.45999999999998</v>
      </c>
      <c r="G640" s="180">
        <f t="shared" si="165"/>
        <v>10.631820236803179</v>
      </c>
      <c r="H640" s="635">
        <f>ROUND(F640*'Actual Load'!$B$16/'Zonal Load'!$N$16,2)</f>
        <v>265.56</v>
      </c>
      <c r="I640" s="180">
        <f t="shared" si="163"/>
        <v>278.73</v>
      </c>
      <c r="J640" s="180">
        <f t="shared" si="167"/>
        <v>-0.72999999999996135</v>
      </c>
      <c r="K640" s="180">
        <f t="shared" si="168"/>
        <v>9.9018202368032178</v>
      </c>
      <c r="L640" s="181">
        <f>E640*'Interest Over Collect'!$J$15</f>
        <v>0.26705094461760875</v>
      </c>
      <c r="M640" s="180">
        <f t="shared" si="164"/>
        <v>10.168871181420826</v>
      </c>
      <c r="N640" s="203"/>
    </row>
    <row r="641" spans="2:14" s="185" customFormat="1">
      <c r="B641" s="23" t="s">
        <v>20</v>
      </c>
      <c r="C641" s="222">
        <v>0</v>
      </c>
      <c r="D641" s="225">
        <v>0</v>
      </c>
      <c r="E641" s="223">
        <v>6.204484835640546E-3</v>
      </c>
      <c r="F641" s="224">
        <f t="shared" si="166"/>
        <v>297.95</v>
      </c>
      <c r="G641" s="180">
        <f t="shared" si="165"/>
        <v>11.335411525706606</v>
      </c>
      <c r="H641" s="635">
        <f>ROUND(F641*'Actual Load'!$B$22/'Zonal Load'!$N$22,2)</f>
        <v>285.41000000000003</v>
      </c>
      <c r="I641" s="180">
        <f t="shared" si="163"/>
        <v>299.57</v>
      </c>
      <c r="J641" s="180">
        <f t="shared" si="167"/>
        <v>1.6200000000000045</v>
      </c>
      <c r="K641" s="180">
        <f t="shared" si="168"/>
        <v>12.95541152570661</v>
      </c>
      <c r="L641" s="181">
        <f>E641*'Interest Over Collect'!$J$15</f>
        <v>0.28472380910754463</v>
      </c>
      <c r="M641" s="180">
        <f t="shared" si="164"/>
        <v>13.240135334814155</v>
      </c>
      <c r="N641" s="203"/>
    </row>
    <row r="642" spans="2:14" s="185" customFormat="1">
      <c r="B642" s="23" t="s">
        <v>21</v>
      </c>
      <c r="C642" s="222">
        <v>0</v>
      </c>
      <c r="D642" s="225">
        <v>0</v>
      </c>
      <c r="E642" s="223">
        <v>1.5156413679503017E-2</v>
      </c>
      <c r="F642" s="224">
        <f t="shared" si="166"/>
        <v>727.84</v>
      </c>
      <c r="G642" s="180">
        <f t="shared" si="165"/>
        <v>27.690322542835069</v>
      </c>
      <c r="H642" s="635">
        <f>ROUND(F642*'Actual Load'!$B$17/'Zonal Load'!$N$17,2)</f>
        <v>709.15</v>
      </c>
      <c r="I642" s="180">
        <f t="shared" si="163"/>
        <v>744.32</v>
      </c>
      <c r="J642" s="180">
        <f t="shared" si="167"/>
        <v>16.480000000000018</v>
      </c>
      <c r="K642" s="180">
        <f t="shared" si="168"/>
        <v>44.170322542835088</v>
      </c>
      <c r="L642" s="181">
        <f>E642*'Interest Over Collect'!$J$15</f>
        <v>0.69552782375239341</v>
      </c>
      <c r="M642" s="180">
        <f t="shared" si="164"/>
        <v>44.86585036658748</v>
      </c>
      <c r="N642" s="203"/>
    </row>
    <row r="643" spans="2:14" s="185" customFormat="1">
      <c r="B643" s="23" t="s">
        <v>22</v>
      </c>
      <c r="C643" s="222">
        <v>0</v>
      </c>
      <c r="D643" s="225">
        <v>0</v>
      </c>
      <c r="E643" s="223">
        <v>1.9023895837418203E-2</v>
      </c>
      <c r="F643" s="224">
        <f t="shared" si="166"/>
        <v>913.56</v>
      </c>
      <c r="G643" s="180">
        <f t="shared" si="165"/>
        <v>34.756098830411489</v>
      </c>
      <c r="H643" s="635">
        <f>ROUND(F643*'Actual Load'!$B$15/'Zonal Load'!$N$15,2)</f>
        <v>872.51</v>
      </c>
      <c r="I643" s="180">
        <f t="shared" si="163"/>
        <v>915.78</v>
      </c>
      <c r="J643" s="180">
        <f t="shared" si="167"/>
        <v>2.2200000000000273</v>
      </c>
      <c r="K643" s="180">
        <f t="shared" si="168"/>
        <v>36.976098830411516</v>
      </c>
      <c r="L643" s="181">
        <f>E643*'Interest Over Collect'!$J$15</f>
        <v>0.87300657997912134</v>
      </c>
      <c r="M643" s="180">
        <f t="shared" si="164"/>
        <v>37.849105410390635</v>
      </c>
      <c r="N643" s="203"/>
    </row>
    <row r="644" spans="2:14" s="185" customFormat="1">
      <c r="B644" s="23" t="s">
        <v>23</v>
      </c>
      <c r="C644" s="222">
        <v>0</v>
      </c>
      <c r="D644" s="225">
        <v>0</v>
      </c>
      <c r="E644" s="223">
        <v>6.8877559718316262E-3</v>
      </c>
      <c r="F644" s="224">
        <f t="shared" si="166"/>
        <v>330.76</v>
      </c>
      <c r="G644" s="180">
        <f t="shared" si="165"/>
        <v>12.583727819087217</v>
      </c>
      <c r="H644" s="635">
        <f>ROUND(F644*'Actual Load'!$B$4/'Zonal Load'!$N$4,2)</f>
        <v>325.29000000000002</v>
      </c>
      <c r="I644" s="180">
        <f t="shared" si="163"/>
        <v>341.42</v>
      </c>
      <c r="J644" s="180">
        <f t="shared" si="167"/>
        <v>10.660000000000025</v>
      </c>
      <c r="K644" s="180">
        <f t="shared" si="168"/>
        <v>23.243727819087241</v>
      </c>
      <c r="L644" s="181">
        <f>E644*'Interest Over Collect'!$J$15</f>
        <v>0.31607912154735335</v>
      </c>
      <c r="M644" s="180">
        <f t="shared" ref="M644:M655" si="169">+K644+L644</f>
        <v>23.559806940634594</v>
      </c>
      <c r="N644" s="203"/>
    </row>
    <row r="645" spans="2:14" s="185" customFormat="1">
      <c r="B645" s="23" t="s">
        <v>24</v>
      </c>
      <c r="C645" s="222">
        <v>0</v>
      </c>
      <c r="D645" s="225">
        <v>0</v>
      </c>
      <c r="E645" s="223">
        <v>5.3847987966022099E-4</v>
      </c>
      <c r="F645" s="224">
        <f t="shared" si="166"/>
        <v>25.86</v>
      </c>
      <c r="G645" s="180">
        <f t="shared" si="165"/>
        <v>0.98378692122815281</v>
      </c>
      <c r="H645" s="635">
        <f>ROUND(F645*'Actual Load'!$B$11/'Zonal Load'!$N$11,2)</f>
        <v>25.44</v>
      </c>
      <c r="I645" s="180">
        <f t="shared" si="163"/>
        <v>26.7</v>
      </c>
      <c r="J645" s="180">
        <f t="shared" si="167"/>
        <v>0.83999999999999986</v>
      </c>
      <c r="K645" s="180">
        <f t="shared" si="168"/>
        <v>1.8237869212281526</v>
      </c>
      <c r="L645" s="181">
        <f>E645*'Interest Over Collect'!$J$15</f>
        <v>2.471084167760754E-2</v>
      </c>
      <c r="M645" s="180">
        <f t="shared" si="169"/>
        <v>1.8484977629057602</v>
      </c>
      <c r="N645" s="203"/>
    </row>
    <row r="646" spans="2:14" s="185" customFormat="1">
      <c r="B646" s="23" t="s">
        <v>26</v>
      </c>
      <c r="C646" s="222">
        <v>0</v>
      </c>
      <c r="D646" s="225">
        <v>0</v>
      </c>
      <c r="E646" s="223">
        <v>1.5333516122057401E-2</v>
      </c>
      <c r="F646" s="224">
        <f t="shared" si="166"/>
        <v>736.34</v>
      </c>
      <c r="G646" s="180">
        <f t="shared" si="165"/>
        <v>28.013883502647538</v>
      </c>
      <c r="H646" s="635">
        <f>ROUND(F646*'Actual Load'!$B$7/'Zonal Load'!$N$7,2)</f>
        <v>690.7</v>
      </c>
      <c r="I646" s="180">
        <f t="shared" si="163"/>
        <v>724.96</v>
      </c>
      <c r="J646" s="180">
        <f t="shared" si="167"/>
        <v>-11.379999999999995</v>
      </c>
      <c r="K646" s="180">
        <f t="shared" si="168"/>
        <v>16.633883502647542</v>
      </c>
      <c r="L646" s="181">
        <f>E646*'Interest Over Collect'!$J$15</f>
        <v>0.70365505484121416</v>
      </c>
      <c r="M646" s="180">
        <f t="shared" si="169"/>
        <v>17.337538557488756</v>
      </c>
      <c r="N646" s="203"/>
    </row>
    <row r="647" spans="2:14" s="185" customFormat="1">
      <c r="B647" s="23" t="s">
        <v>25</v>
      </c>
      <c r="C647" s="222">
        <v>0</v>
      </c>
      <c r="D647" s="225">
        <v>0</v>
      </c>
      <c r="E647" s="223">
        <v>1.5663582749093932E-2</v>
      </c>
      <c r="F647" s="224">
        <f t="shared" si="166"/>
        <v>752.19</v>
      </c>
      <c r="G647" s="180">
        <f t="shared" si="165"/>
        <v>28.61690553388355</v>
      </c>
      <c r="H647" s="635">
        <f>ROUND(F647*'Actual Load'!$B$6/'Zonal Load'!$N$6,2)</f>
        <v>733.86</v>
      </c>
      <c r="I647" s="180">
        <f t="shared" si="163"/>
        <v>770.26</v>
      </c>
      <c r="J647" s="180">
        <f t="shared" si="167"/>
        <v>18.069999999999936</v>
      </c>
      <c r="K647" s="180">
        <f t="shared" si="168"/>
        <v>46.68690553388349</v>
      </c>
      <c r="L647" s="181">
        <f>E647*'Interest Over Collect'!$J$15</f>
        <v>0.71880181235592056</v>
      </c>
      <c r="M647" s="180">
        <f t="shared" si="169"/>
        <v>47.40570734623941</v>
      </c>
      <c r="N647" s="203"/>
    </row>
    <row r="648" spans="2:14" s="185" customFormat="1">
      <c r="B648" s="23" t="s">
        <v>119</v>
      </c>
      <c r="C648" s="222">
        <v>0</v>
      </c>
      <c r="D648" s="225">
        <v>0</v>
      </c>
      <c r="E648" s="223">
        <v>1.1552762730182244E-3</v>
      </c>
      <c r="F648" s="224">
        <f t="shared" si="166"/>
        <v>55.48</v>
      </c>
      <c r="G648" s="180">
        <f t="shared" si="165"/>
        <v>2.1106558122797279</v>
      </c>
      <c r="H648" s="635">
        <f>ROUND(F648*'Actual Load'!$B$18/'Zonal Load'!$N$18,2)</f>
        <v>54.15</v>
      </c>
      <c r="I648" s="180">
        <f t="shared" si="163"/>
        <v>56.84</v>
      </c>
      <c r="J648" s="180">
        <f t="shared" si="167"/>
        <v>1.3600000000000065</v>
      </c>
      <c r="K648" s="180">
        <f t="shared" si="168"/>
        <v>3.4706558122797344</v>
      </c>
      <c r="L648" s="181">
        <f>E648*'Interest Over Collect'!$J$15</f>
        <v>5.3015628168806318E-2</v>
      </c>
      <c r="M648" s="180">
        <f t="shared" si="169"/>
        <v>3.5236714404485405</v>
      </c>
      <c r="N648" s="203"/>
    </row>
    <row r="649" spans="2:14" s="185" customFormat="1">
      <c r="B649" s="23" t="s">
        <v>120</v>
      </c>
      <c r="C649" s="222">
        <v>0</v>
      </c>
      <c r="D649" s="225">
        <v>0</v>
      </c>
      <c r="E649" s="223">
        <v>3.0274535456452421E-4</v>
      </c>
      <c r="F649" s="224">
        <f t="shared" si="166"/>
        <v>14.54</v>
      </c>
      <c r="G649" s="180">
        <f t="shared" si="165"/>
        <v>0.55310686904605033</v>
      </c>
      <c r="H649" s="635">
        <f>ROUND(F649*'Actual Load'!$B$17/'Zonal Load'!$N$17,2)</f>
        <v>14.17</v>
      </c>
      <c r="I649" s="180">
        <f t="shared" si="163"/>
        <v>14.87</v>
      </c>
      <c r="J649" s="180">
        <f t="shared" si="167"/>
        <v>0.33000000000000007</v>
      </c>
      <c r="K649" s="180">
        <f t="shared" si="168"/>
        <v>0.8831068690460504</v>
      </c>
      <c r="L649" s="181">
        <f>E649*'Interest Over Collect'!$J$15</f>
        <v>1.3892984320966017E-2</v>
      </c>
      <c r="M649" s="180">
        <f t="shared" si="169"/>
        <v>0.89699985336701638</v>
      </c>
      <c r="N649" s="203"/>
    </row>
    <row r="650" spans="2:14" s="185" customFormat="1">
      <c r="B650" s="23" t="s">
        <v>27</v>
      </c>
      <c r="C650" s="222">
        <v>0</v>
      </c>
      <c r="D650" s="225">
        <v>0</v>
      </c>
      <c r="E650" s="223">
        <v>7.9455697798752601E-4</v>
      </c>
      <c r="F650" s="224">
        <f t="shared" si="166"/>
        <v>38.159999999999997</v>
      </c>
      <c r="G650" s="180">
        <f t="shared" si="165"/>
        <v>1.4516322571010964</v>
      </c>
      <c r="H650" s="635">
        <f>ROUND(F650*'Actual Load'!$B$12/'Zonal Load'!$N$12,2)</f>
        <v>38.33</v>
      </c>
      <c r="I650" s="180">
        <f t="shared" si="163"/>
        <v>40.229999999999997</v>
      </c>
      <c r="J650" s="180">
        <f t="shared" si="167"/>
        <v>2.0700000000000003</v>
      </c>
      <c r="K650" s="180">
        <f t="shared" si="168"/>
        <v>3.5216322571010967</v>
      </c>
      <c r="L650" s="181">
        <f>E650*'Interest Over Collect'!$J$15</f>
        <v>3.6462219719847568E-2</v>
      </c>
      <c r="M650" s="180">
        <f t="shared" si="169"/>
        <v>3.5580944768209442</v>
      </c>
      <c r="N650" s="203"/>
    </row>
    <row r="651" spans="2:14" s="185" customFormat="1">
      <c r="B651" s="23" t="s">
        <v>28</v>
      </c>
      <c r="C651" s="222">
        <v>0</v>
      </c>
      <c r="D651" s="225">
        <v>0</v>
      </c>
      <c r="E651" s="223">
        <v>8.6615565603105854E-4</v>
      </c>
      <c r="F651" s="224">
        <f t="shared" si="166"/>
        <v>41.59</v>
      </c>
      <c r="G651" s="180">
        <f t="shared" si="165"/>
        <v>1.5824409385339082</v>
      </c>
      <c r="H651" s="635">
        <f>ROUND(F651*'Actual Load'!$B$24/'Zonal Load'!$N$24,2)</f>
        <v>41.31</v>
      </c>
      <c r="I651" s="180">
        <f t="shared" si="163"/>
        <v>43.36</v>
      </c>
      <c r="J651" s="180">
        <f t="shared" si="167"/>
        <v>1.769999999999996</v>
      </c>
      <c r="K651" s="180">
        <f t="shared" si="168"/>
        <v>3.3524409385339045</v>
      </c>
      <c r="L651" s="181">
        <f>E651*'Interest Over Collect'!$J$15</f>
        <v>3.9747883055265276E-2</v>
      </c>
      <c r="M651" s="180">
        <f t="shared" si="169"/>
        <v>3.3921888215891696</v>
      </c>
      <c r="N651" s="203"/>
    </row>
    <row r="652" spans="2:14" s="185" customFormat="1">
      <c r="B652" s="23" t="s">
        <v>29</v>
      </c>
      <c r="C652" s="222">
        <v>0</v>
      </c>
      <c r="D652" s="225">
        <v>0</v>
      </c>
      <c r="E652" s="223">
        <v>2.3414313850310516E-2</v>
      </c>
      <c r="F652" s="224">
        <f t="shared" si="166"/>
        <v>1124.4000000000001</v>
      </c>
      <c r="G652" s="180">
        <f t="shared" si="165"/>
        <v>42.777263562756509</v>
      </c>
      <c r="H652" s="635">
        <f>ROUND(F652*'Actual Load'!$B$5/'Zonal Load'!$N$5,2)</f>
        <v>1090.97</v>
      </c>
      <c r="I652" s="180">
        <f t="shared" si="163"/>
        <v>1145.08</v>
      </c>
      <c r="J652" s="180">
        <f t="shared" si="167"/>
        <v>20.679999999999836</v>
      </c>
      <c r="K652" s="180">
        <f t="shared" si="168"/>
        <v>63.457263562756346</v>
      </c>
      <c r="L652" s="181">
        <f>E652*'Interest Over Collect'!$J$15</f>
        <v>1.0744828625907497</v>
      </c>
      <c r="M652" s="180">
        <f t="shared" si="169"/>
        <v>64.531746425347094</v>
      </c>
      <c r="N652" s="203"/>
    </row>
    <row r="653" spans="2:14" s="185" customFormat="1">
      <c r="B653" s="23" t="s">
        <v>30</v>
      </c>
      <c r="C653" s="222">
        <v>0</v>
      </c>
      <c r="D653" s="225">
        <v>0</v>
      </c>
      <c r="E653" s="223">
        <v>0.80234267705903506</v>
      </c>
      <c r="F653" s="224">
        <f t="shared" si="166"/>
        <v>38529.949999999997</v>
      </c>
      <c r="G653" s="180">
        <f t="shared" si="165"/>
        <v>1465.8565005844405</v>
      </c>
      <c r="H653" s="635">
        <f>ROUND(F653*'Actual Load'!$B$21/'Zonal Load'!$N$21,2)</f>
        <v>36807.370000000003</v>
      </c>
      <c r="I653" s="180">
        <f t="shared" si="163"/>
        <v>38632.93</v>
      </c>
      <c r="J653" s="180">
        <f t="shared" si="167"/>
        <v>102.9800000000032</v>
      </c>
      <c r="K653" s="180">
        <f t="shared" si="168"/>
        <v>1568.8365005844437</v>
      </c>
      <c r="L653" s="181">
        <f>E653*'Interest Over Collect'!$J$15</f>
        <v>36.81950545023912</v>
      </c>
      <c r="M653" s="180">
        <f t="shared" si="169"/>
        <v>1605.6560060346828</v>
      </c>
      <c r="N653" s="203"/>
    </row>
    <row r="654" spans="2:14" s="185" customFormat="1">
      <c r="B654" s="23" t="s">
        <v>31</v>
      </c>
      <c r="C654" s="222">
        <v>0</v>
      </c>
      <c r="D654" s="225">
        <v>0</v>
      </c>
      <c r="E654" s="223">
        <v>3.9201526698776851E-3</v>
      </c>
      <c r="F654" s="224">
        <f t="shared" si="166"/>
        <v>188.25</v>
      </c>
      <c r="G654" s="180">
        <f t="shared" si="165"/>
        <v>7.1620037656314848</v>
      </c>
      <c r="H654" s="635">
        <f>ROUND(F654*'Actual Load'!$B$19/'Zonal Load'!$N$19,2)</f>
        <v>175.26</v>
      </c>
      <c r="I654" s="180">
        <f t="shared" si="163"/>
        <v>183.95</v>
      </c>
      <c r="J654" s="180">
        <f t="shared" si="167"/>
        <v>-4.3000000000000114</v>
      </c>
      <c r="K654" s="180">
        <f t="shared" si="168"/>
        <v>2.8620037656314734</v>
      </c>
      <c r="L654" s="181">
        <f>E654*'Interest Over Collect'!$J$15</f>
        <v>0.17989580602068697</v>
      </c>
      <c r="M654" s="180">
        <f t="shared" si="169"/>
        <v>3.0418995716521602</v>
      </c>
      <c r="N654" s="203"/>
    </row>
    <row r="655" spans="2:14" s="185" customFormat="1">
      <c r="B655" s="23" t="s">
        <v>32</v>
      </c>
      <c r="C655" s="222">
        <v>0</v>
      </c>
      <c r="D655" s="225">
        <v>0</v>
      </c>
      <c r="E655" s="223">
        <v>5.8079243198196626E-4</v>
      </c>
      <c r="F655" s="224">
        <f t="shared" si="166"/>
        <v>27.89</v>
      </c>
      <c r="G655" s="180">
        <f t="shared" si="165"/>
        <v>1.0610907113051027</v>
      </c>
      <c r="H655" s="635">
        <f>ROUND(F655*'Actual Load'!$B$25/'Zonal Load'!$N$25,2)</f>
        <v>26.64</v>
      </c>
      <c r="I655" s="180">
        <f t="shared" si="163"/>
        <v>27.96</v>
      </c>
      <c r="J655" s="180">
        <f t="shared" si="167"/>
        <v>7.0000000000000284E-2</v>
      </c>
      <c r="K655" s="180">
        <f t="shared" si="168"/>
        <v>1.131090711305103</v>
      </c>
      <c r="L655" s="181">
        <f>E655*'Interest Over Collect'!$J$15</f>
        <v>2.6652564703652432E-2</v>
      </c>
      <c r="M655" s="180">
        <f t="shared" si="169"/>
        <v>1.1577432760087554</v>
      </c>
      <c r="N655" s="203"/>
    </row>
    <row r="656" spans="2:14" s="185" customFormat="1">
      <c r="B656" s="23" t="s">
        <v>33</v>
      </c>
      <c r="C656" s="222">
        <v>0</v>
      </c>
      <c r="D656" s="225">
        <v>0</v>
      </c>
      <c r="E656" s="223">
        <v>1.8775323951991409E-2</v>
      </c>
      <c r="F656" s="224">
        <f t="shared" ref="F656:F661" si="170">ROUND(+E656*F$664,2)</f>
        <v>901.63</v>
      </c>
      <c r="G656" s="180">
        <f t="shared" si="165"/>
        <v>34.301965298027312</v>
      </c>
      <c r="H656" s="635">
        <f>ROUND(F656*'Actual Load'!$B$13/'Zonal Load'!$N$13,2)</f>
        <v>874.74</v>
      </c>
      <c r="I656" s="180">
        <f t="shared" si="163"/>
        <v>918.13</v>
      </c>
      <c r="J656" s="180">
        <f t="shared" si="167"/>
        <v>16.5</v>
      </c>
      <c r="K656" s="180">
        <f t="shared" si="168"/>
        <v>50.801965298027312</v>
      </c>
      <c r="L656" s="181">
        <f>E656*'Interest Over Collect'!$J$15</f>
        <v>0.86159961615688574</v>
      </c>
      <c r="M656" s="180">
        <f t="shared" ref="M656:M661" si="171">+K656+L656</f>
        <v>51.663564914184199</v>
      </c>
      <c r="N656" s="203"/>
    </row>
    <row r="657" spans="1:14" s="185" customFormat="1">
      <c r="B657" s="23" t="s">
        <v>34</v>
      </c>
      <c r="C657" s="222">
        <v>0</v>
      </c>
      <c r="D657" s="225">
        <v>0</v>
      </c>
      <c r="E657" s="223">
        <v>2.6058955971885768E-3</v>
      </c>
      <c r="F657" s="224">
        <f t="shared" si="170"/>
        <v>125.14</v>
      </c>
      <c r="G657" s="180">
        <f t="shared" si="165"/>
        <v>4.7608947027283559</v>
      </c>
      <c r="H657" s="635">
        <f>ROUND(F657*'Actual Load'!$B$23/'Zonal Load'!$N$23,2)</f>
        <v>124.99</v>
      </c>
      <c r="I657" s="180">
        <f t="shared" si="163"/>
        <v>131.19</v>
      </c>
      <c r="J657" s="180">
        <f t="shared" si="167"/>
        <v>6.0499999999999972</v>
      </c>
      <c r="K657" s="180">
        <f t="shared" si="168"/>
        <v>10.810894702728353</v>
      </c>
      <c r="L657" s="181">
        <f>E657*'Interest Over Collect'!$J$15</f>
        <v>0.11958454895498379</v>
      </c>
      <c r="M657" s="180">
        <f t="shared" si="171"/>
        <v>10.930479251683337</v>
      </c>
      <c r="N657" s="203"/>
    </row>
    <row r="658" spans="1:14" s="185" customFormat="1">
      <c r="B658" s="205" t="s">
        <v>35</v>
      </c>
      <c r="C658" s="222">
        <v>0</v>
      </c>
      <c r="D658" s="225">
        <v>0</v>
      </c>
      <c r="E658" s="223">
        <v>1.4774069032505166E-3</v>
      </c>
      <c r="F658" s="224">
        <f t="shared" si="170"/>
        <v>70.95</v>
      </c>
      <c r="G658" s="180">
        <f t="shared" si="165"/>
        <v>2.699179010489992</v>
      </c>
      <c r="H658" s="635">
        <f>ROUND(F658*'Actual Load'!$B$20/'Zonal Load'!$N$20,2)</f>
        <v>70.489999999999995</v>
      </c>
      <c r="I658" s="180">
        <f t="shared" si="163"/>
        <v>73.989999999999995</v>
      </c>
      <c r="J658" s="180">
        <f>I658-F658</f>
        <v>3.039999999999992</v>
      </c>
      <c r="K658" s="180">
        <f>+G658+J658</f>
        <v>5.739179010489984</v>
      </c>
      <c r="L658" s="181">
        <f>E658*'Interest Over Collect'!$J$15</f>
        <v>6.7798202790166212E-2</v>
      </c>
      <c r="M658" s="180">
        <f t="shared" si="171"/>
        <v>5.8069772132801498</v>
      </c>
      <c r="N658" s="203"/>
    </row>
    <row r="659" spans="1:14" s="185" customFormat="1">
      <c r="B659" s="205" t="s">
        <v>112</v>
      </c>
      <c r="C659" s="222">
        <v>0</v>
      </c>
      <c r="D659" s="225">
        <v>0</v>
      </c>
      <c r="E659" s="223">
        <v>8.5203551696441272E-3</v>
      </c>
      <c r="F659" s="224">
        <f t="shared" si="170"/>
        <v>409.16</v>
      </c>
      <c r="G659" s="180">
        <f t="shared" si="165"/>
        <v>15.566438592661477</v>
      </c>
      <c r="H659" s="635">
        <f>ROUND(F659*'Actual Load'!$B$27/'Zonal Load'!$N$27,2)</f>
        <v>388.52</v>
      </c>
      <c r="I659" s="180">
        <f t="shared" si="163"/>
        <v>407.79</v>
      </c>
      <c r="J659" s="180">
        <f>I659-F659</f>
        <v>-1.3700000000000045</v>
      </c>
      <c r="K659" s="180">
        <f>+G659+J659</f>
        <v>14.196438592661472</v>
      </c>
      <c r="L659" s="181">
        <f>E659*'Interest Over Collect'!$J$15</f>
        <v>0.39099909873496902</v>
      </c>
      <c r="M659" s="180">
        <f t="shared" si="171"/>
        <v>14.587437691396442</v>
      </c>
      <c r="N659" s="203"/>
    </row>
    <row r="660" spans="1:14" s="185" customFormat="1" ht="16.5" customHeight="1">
      <c r="B660" s="205" t="s">
        <v>113</v>
      </c>
      <c r="C660" s="222">
        <v>0</v>
      </c>
      <c r="D660" s="225">
        <v>0</v>
      </c>
      <c r="E660" s="223">
        <v>2.8353957218997631E-4</v>
      </c>
      <c r="F660" s="224">
        <f t="shared" si="170"/>
        <v>13.62</v>
      </c>
      <c r="G660" s="180">
        <f t="shared" si="165"/>
        <v>0.51801846885557945</v>
      </c>
      <c r="H660" s="635">
        <f>ROUND(F660*'Actual Load'!$B$28/'Zonal Load'!$N$28,2)</f>
        <v>13.66</v>
      </c>
      <c r="I660" s="180">
        <f t="shared" si="163"/>
        <v>14.34</v>
      </c>
      <c r="J660" s="180">
        <f>I660-F660</f>
        <v>0.72000000000000064</v>
      </c>
      <c r="K660" s="180">
        <f>+G660+J660</f>
        <v>1.23801846885558</v>
      </c>
      <c r="L660" s="181">
        <f>E660*'Interest Over Collect'!$J$15</f>
        <v>1.3011630967798013E-2</v>
      </c>
      <c r="M660" s="180">
        <f t="shared" si="171"/>
        <v>1.2510300998233781</v>
      </c>
      <c r="N660" s="203"/>
    </row>
    <row r="661" spans="1:14" s="185" customFormat="1">
      <c r="B661" s="24" t="s">
        <v>121</v>
      </c>
      <c r="C661" s="222">
        <v>0</v>
      </c>
      <c r="D661" s="225">
        <v>0</v>
      </c>
      <c r="E661" s="597">
        <v>0</v>
      </c>
      <c r="F661" s="224">
        <f t="shared" si="170"/>
        <v>0</v>
      </c>
      <c r="G661" s="180">
        <f t="shared" si="165"/>
        <v>0</v>
      </c>
      <c r="H661" s="635">
        <f>ROUND(F661*'Actual Load'!$B$29/'Zonal Load'!$N$29,2)</f>
        <v>0</v>
      </c>
      <c r="I661" s="180">
        <f t="shared" si="163"/>
        <v>0</v>
      </c>
      <c r="J661" s="180">
        <f>I661-F661</f>
        <v>0</v>
      </c>
      <c r="K661" s="180">
        <f>+G661+J661</f>
        <v>0</v>
      </c>
      <c r="L661" s="181">
        <f>E661*'Interest Over Collect'!$J$15</f>
        <v>0</v>
      </c>
      <c r="M661" s="180">
        <f t="shared" si="171"/>
        <v>0</v>
      </c>
      <c r="N661" s="203"/>
    </row>
    <row r="662" spans="1:14">
      <c r="A662" s="172"/>
      <c r="B662" s="25"/>
      <c r="C662" s="26">
        <f>SUM(C635:C661)</f>
        <v>0</v>
      </c>
      <c r="D662" s="27">
        <f>SUM(D635:D661)</f>
        <v>0</v>
      </c>
      <c r="E662" s="100">
        <f>SUM(E635:E661)</f>
        <v>1.0000000000000002</v>
      </c>
      <c r="F662" s="95">
        <f>SUM(F635:F661)</f>
        <v>48021.819999999992</v>
      </c>
      <c r="G662" s="138">
        <f>SUM(G635:G661)</f>
        <v>1826.9706230229422</v>
      </c>
      <c r="H662" s="138">
        <f t="shared" ref="H662:M662" si="172">SUM(H635:H661)</f>
        <v>46043.88</v>
      </c>
      <c r="I662" s="138">
        <f t="shared" si="172"/>
        <v>48327.55999999999</v>
      </c>
      <c r="J662" s="138">
        <f t="shared" si="172"/>
        <v>305.74000000000308</v>
      </c>
      <c r="K662" s="155">
        <f t="shared" si="172"/>
        <v>2132.7106230229451</v>
      </c>
      <c r="L662" s="138">
        <f t="shared" si="172"/>
        <v>45.89</v>
      </c>
      <c r="M662" s="138">
        <f t="shared" si="172"/>
        <v>2178.600623022945</v>
      </c>
      <c r="N662" s="203"/>
    </row>
    <row r="663" spans="1:14">
      <c r="A663" s="172"/>
      <c r="G663" s="21"/>
      <c r="I663" s="80"/>
      <c r="N663" s="203"/>
    </row>
    <row r="664" spans="1:14">
      <c r="A664" s="172"/>
      <c r="E664" s="96" t="s">
        <v>618</v>
      </c>
      <c r="F664" s="178">
        <v>48021.811164804829</v>
      </c>
      <c r="G664" s="21"/>
      <c r="N664" s="203"/>
    </row>
    <row r="665" spans="1:14">
      <c r="A665" s="172"/>
      <c r="E665" s="97" t="s">
        <v>619</v>
      </c>
      <c r="F665" s="179">
        <v>46194.840541781887</v>
      </c>
      <c r="G665" s="632">
        <f>F664-F665</f>
        <v>1826.9706230229422</v>
      </c>
      <c r="H665" s="633"/>
      <c r="I665" s="29"/>
      <c r="L665" s="84"/>
      <c r="N665" s="203"/>
    </row>
    <row r="666" spans="1:14">
      <c r="A666" s="172"/>
      <c r="E666" s="97" t="s">
        <v>160</v>
      </c>
      <c r="F666" s="186">
        <f>I662</f>
        <v>48327.55999999999</v>
      </c>
      <c r="G666" s="632">
        <f>F666-F664</f>
        <v>305.74883519516152</v>
      </c>
      <c r="H666" s="634"/>
      <c r="I666" s="29"/>
      <c r="L666" s="84"/>
      <c r="N666" s="203"/>
    </row>
    <row r="667" spans="1:14">
      <c r="A667" s="172"/>
      <c r="G667" s="632">
        <f>G665+G666</f>
        <v>2132.7194582181037</v>
      </c>
      <c r="H667" s="633">
        <f>F666-F665</f>
        <v>2132.7194582181037</v>
      </c>
      <c r="I667" s="29"/>
      <c r="L667" s="84"/>
      <c r="N667" s="203"/>
    </row>
    <row r="668" spans="1:14">
      <c r="A668" s="172"/>
      <c r="B668" s="82"/>
      <c r="C668" s="82"/>
      <c r="D668" s="82"/>
      <c r="E668" s="82"/>
      <c r="F668" s="82"/>
      <c r="G668" s="82"/>
      <c r="H668" s="82"/>
      <c r="I668" s="82"/>
      <c r="J668" s="111"/>
      <c r="K668" s="82"/>
      <c r="L668" s="82"/>
      <c r="M668" s="82"/>
      <c r="N668" s="203"/>
    </row>
    <row r="669" spans="1:14">
      <c r="A669" s="172"/>
      <c r="B669" s="172"/>
      <c r="C669" s="172"/>
      <c r="D669" s="172"/>
      <c r="E669" s="172"/>
      <c r="F669" s="172"/>
      <c r="G669" s="172"/>
      <c r="I669" s="172"/>
      <c r="K669" s="172"/>
      <c r="L669" s="185"/>
      <c r="M669" s="172"/>
      <c r="N669" s="203"/>
    </row>
    <row r="670" spans="1:14" s="172" customFormat="1">
      <c r="B670" s="640" t="s">
        <v>0</v>
      </c>
      <c r="C670" s="641"/>
      <c r="D670" s="642">
        <v>3312</v>
      </c>
      <c r="E670" s="643"/>
      <c r="F670" s="643"/>
      <c r="G670" s="643"/>
      <c r="H670" s="644"/>
      <c r="I670" s="150"/>
      <c r="J670" s="1"/>
      <c r="N670" s="203"/>
    </row>
    <row r="671" spans="1:14" s="172" customFormat="1">
      <c r="B671" s="645" t="s">
        <v>2</v>
      </c>
      <c r="C671" s="646"/>
      <c r="D671" s="647" t="s">
        <v>574</v>
      </c>
      <c r="E671" s="648"/>
      <c r="F671" s="648"/>
      <c r="G671" s="648"/>
      <c r="H671" s="649"/>
      <c r="I671" s="151"/>
      <c r="J671" s="1"/>
      <c r="N671" s="203"/>
    </row>
    <row r="672" spans="1:14" s="172" customFormat="1">
      <c r="B672" s="645" t="s">
        <v>4</v>
      </c>
      <c r="C672" s="646"/>
      <c r="D672" s="650"/>
      <c r="E672" s="651"/>
      <c r="F672" s="651"/>
      <c r="G672" s="651"/>
      <c r="H672" s="652"/>
      <c r="I672" s="152"/>
      <c r="J672" s="1"/>
      <c r="N672" s="203"/>
    </row>
    <row r="673" spans="1:14" s="172" customFormat="1">
      <c r="B673" s="653" t="s">
        <v>6</v>
      </c>
      <c r="C673" s="654"/>
      <c r="D673" s="655" t="s">
        <v>30</v>
      </c>
      <c r="E673" s="656"/>
      <c r="F673" s="656"/>
      <c r="G673" s="656"/>
      <c r="H673" s="657"/>
      <c r="I673" s="153"/>
      <c r="J673" s="1"/>
      <c r="N673" s="203"/>
    </row>
    <row r="674" spans="1:14" s="172" customFormat="1">
      <c r="B674" s="76"/>
      <c r="C674" s="76"/>
      <c r="D674" s="76"/>
      <c r="E674" s="76"/>
      <c r="F674" s="76"/>
      <c r="H674" s="133"/>
      <c r="J674" s="105" t="s">
        <v>163</v>
      </c>
      <c r="K674" s="3" t="s">
        <v>42</v>
      </c>
      <c r="M674" s="3" t="s">
        <v>56</v>
      </c>
      <c r="N674" s="203"/>
    </row>
    <row r="675" spans="1:14" s="172" customFormat="1">
      <c r="B675" s="76"/>
      <c r="C675" s="76"/>
      <c r="D675" s="76"/>
      <c r="E675" s="76"/>
      <c r="F675" s="76"/>
      <c r="G675" s="3" t="s">
        <v>39</v>
      </c>
      <c r="H675" s="134" t="s">
        <v>40</v>
      </c>
      <c r="I675" s="98" t="s">
        <v>41</v>
      </c>
      <c r="J675" s="106" t="s">
        <v>164</v>
      </c>
      <c r="K675" s="4" t="s">
        <v>165</v>
      </c>
      <c r="L675" s="4" t="s">
        <v>55</v>
      </c>
      <c r="M675" s="4" t="s">
        <v>166</v>
      </c>
      <c r="N675" s="203"/>
    </row>
    <row r="676" spans="1:14" s="172" customFormat="1">
      <c r="B676" s="76"/>
      <c r="C676" s="76"/>
      <c r="D676" s="76"/>
      <c r="E676" s="76"/>
      <c r="F676" s="76"/>
      <c r="G676" s="5"/>
      <c r="H676" s="658" t="s">
        <v>43</v>
      </c>
      <c r="I676" s="659"/>
      <c r="J676" s="660"/>
      <c r="K676" s="6" t="s">
        <v>44</v>
      </c>
      <c r="L676" s="5"/>
      <c r="M676" s="6" t="s">
        <v>45</v>
      </c>
      <c r="N676" s="203"/>
    </row>
    <row r="677" spans="1:14" s="172" customFormat="1">
      <c r="B677" s="77"/>
      <c r="C677" s="7">
        <v>0.2</v>
      </c>
      <c r="D677" s="7">
        <v>0.8</v>
      </c>
      <c r="E677" s="7"/>
      <c r="F677" s="92" t="s">
        <v>162</v>
      </c>
      <c r="G677" s="8" t="s">
        <v>46</v>
      </c>
      <c r="H677" s="135"/>
      <c r="I677" s="5"/>
      <c r="J677" s="107" t="s">
        <v>47</v>
      </c>
      <c r="K677" s="8" t="s">
        <v>48</v>
      </c>
      <c r="L677" s="9"/>
      <c r="M677" s="8" t="s">
        <v>49</v>
      </c>
      <c r="N677" s="203"/>
    </row>
    <row r="678" spans="1:14" s="172" customFormat="1">
      <c r="B678" s="10"/>
      <c r="C678" s="69" t="s">
        <v>9</v>
      </c>
      <c r="D678" s="69" t="s">
        <v>10</v>
      </c>
      <c r="E678" s="69" t="s">
        <v>11</v>
      </c>
      <c r="F678" s="93" t="s">
        <v>8</v>
      </c>
      <c r="G678" s="11" t="s">
        <v>50</v>
      </c>
      <c r="H678" s="136" t="s">
        <v>51</v>
      </c>
      <c r="I678" s="12" t="s">
        <v>159</v>
      </c>
      <c r="J678" s="108" t="s">
        <v>50</v>
      </c>
      <c r="K678" s="12" t="s">
        <v>50</v>
      </c>
      <c r="L678" s="12" t="s">
        <v>52</v>
      </c>
      <c r="M678" s="12" t="s">
        <v>53</v>
      </c>
      <c r="N678" s="203"/>
    </row>
    <row r="679" spans="1:14" s="172" customFormat="1" ht="31.5">
      <c r="B679" s="13" t="s">
        <v>13</v>
      </c>
      <c r="C679" s="14" t="s">
        <v>14</v>
      </c>
      <c r="D679" s="14" t="s">
        <v>14</v>
      </c>
      <c r="E679" s="15" t="s">
        <v>14</v>
      </c>
      <c r="F679" s="94" t="s">
        <v>15</v>
      </c>
      <c r="G679" s="16" t="s">
        <v>54</v>
      </c>
      <c r="H679" s="137"/>
      <c r="I679" s="17"/>
      <c r="J679" s="109" t="s">
        <v>54</v>
      </c>
      <c r="K679" s="17"/>
      <c r="L679" s="17"/>
      <c r="M679" s="16" t="s">
        <v>54</v>
      </c>
      <c r="N679" s="203"/>
    </row>
    <row r="680" spans="1:14" s="185" customFormat="1">
      <c r="B680" s="18" t="s">
        <v>16</v>
      </c>
      <c r="C680" s="222">
        <v>0</v>
      </c>
      <c r="D680" s="225">
        <v>0</v>
      </c>
      <c r="E680" s="223">
        <v>0</v>
      </c>
      <c r="F680" s="226">
        <f t="shared" ref="F680:F707" si="173">ROUND(+E680*F$710,2)</f>
        <v>0</v>
      </c>
      <c r="G680" s="180">
        <f t="shared" ref="G680:G707" si="174">(F$710-F$711)*E680</f>
        <v>0</v>
      </c>
      <c r="H680" s="635">
        <f>ROUND(F680*'Actual Load'!$B$8/'Zonal Load'!$N$8,2)</f>
        <v>0</v>
      </c>
      <c r="I680" s="180">
        <f t="shared" ref="I680:I707" si="175">ROUND((H680*$H$912)/$H$910,2)</f>
        <v>0</v>
      </c>
      <c r="J680" s="180">
        <f>I680-F680</f>
        <v>0</v>
      </c>
      <c r="K680" s="180">
        <f>+G680+J680</f>
        <v>0</v>
      </c>
      <c r="L680" s="181">
        <f>E680*'Interest Under Collect '!$J$10</f>
        <v>0</v>
      </c>
      <c r="M680" s="180">
        <f t="shared" ref="M680:M706" si="176">+K680+L680</f>
        <v>0</v>
      </c>
      <c r="N680" s="203"/>
    </row>
    <row r="681" spans="1:14" s="185" customFormat="1">
      <c r="B681" s="23" t="s">
        <v>17</v>
      </c>
      <c r="C681" s="222">
        <v>0</v>
      </c>
      <c r="D681" s="225">
        <v>0</v>
      </c>
      <c r="E681" s="223">
        <v>0</v>
      </c>
      <c r="F681" s="224">
        <f t="shared" si="173"/>
        <v>0</v>
      </c>
      <c r="G681" s="180">
        <f t="shared" si="174"/>
        <v>0</v>
      </c>
      <c r="H681" s="635">
        <f>ROUND(F681*'Actual Load'!$B$14/'Zonal Load'!$N$14,2)</f>
        <v>0</v>
      </c>
      <c r="I681" s="180">
        <f t="shared" si="175"/>
        <v>0</v>
      </c>
      <c r="J681" s="180">
        <f>I681-F681</f>
        <v>0</v>
      </c>
      <c r="K681" s="180">
        <f>+G681+J681</f>
        <v>0</v>
      </c>
      <c r="L681" s="181">
        <f>E681*'Interest Under Collect '!$J$10</f>
        <v>0</v>
      </c>
      <c r="M681" s="180">
        <f t="shared" si="176"/>
        <v>0</v>
      </c>
      <c r="N681" s="203"/>
    </row>
    <row r="682" spans="1:14" s="185" customFormat="1">
      <c r="B682" s="23" t="s">
        <v>201</v>
      </c>
      <c r="C682" s="222">
        <f>0%*0.421</f>
        <v>0</v>
      </c>
      <c r="D682" s="225">
        <f>0%*0.421</f>
        <v>0</v>
      </c>
      <c r="E682" s="223">
        <v>0</v>
      </c>
      <c r="F682" s="224">
        <f t="shared" si="173"/>
        <v>0</v>
      </c>
      <c r="G682" s="180">
        <f t="shared" si="174"/>
        <v>0</v>
      </c>
      <c r="H682" s="635">
        <f>ROUND(F682*'Actual Load'!$B$9/'Zonal Load'!$N$9,2)</f>
        <v>0</v>
      </c>
      <c r="I682" s="180">
        <f t="shared" si="175"/>
        <v>0</v>
      </c>
      <c r="J682" s="180">
        <f>I682-F682</f>
        <v>0</v>
      </c>
      <c r="K682" s="180">
        <f>+G682+J682</f>
        <v>0</v>
      </c>
      <c r="L682" s="181">
        <f>E682*'Interest Under Collect '!$J$10</f>
        <v>0</v>
      </c>
      <c r="M682" s="180">
        <f t="shared" si="176"/>
        <v>0</v>
      </c>
      <c r="N682" s="203"/>
    </row>
    <row r="683" spans="1:14" s="185" customFormat="1">
      <c r="B683" s="132" t="s">
        <v>260</v>
      </c>
      <c r="C683" s="222">
        <f>0%*0.579</f>
        <v>0</v>
      </c>
      <c r="D683" s="225">
        <f>0%*0.579</f>
        <v>0</v>
      </c>
      <c r="E683" s="223">
        <v>0</v>
      </c>
      <c r="F683" s="224">
        <f t="shared" si="173"/>
        <v>0</v>
      </c>
      <c r="G683" s="180">
        <f t="shared" si="174"/>
        <v>0</v>
      </c>
      <c r="H683" s="635">
        <f>ROUND(F683*'Actual Load'!$B$10/'Zonal Load'!$N$10,2)</f>
        <v>0</v>
      </c>
      <c r="I683" s="180">
        <f t="shared" si="175"/>
        <v>0</v>
      </c>
      <c r="J683" s="180">
        <f>I683-F683</f>
        <v>0</v>
      </c>
      <c r="K683" s="180">
        <f>+G683+J683</f>
        <v>0</v>
      </c>
      <c r="L683" s="181">
        <f>E683*'Interest Under Collect '!$J$10</f>
        <v>0</v>
      </c>
      <c r="M683" s="180">
        <f t="shared" si="176"/>
        <v>0</v>
      </c>
      <c r="N683" s="203"/>
    </row>
    <row r="684" spans="1:14" s="185" customFormat="1">
      <c r="B684" s="23" t="s">
        <v>18</v>
      </c>
      <c r="C684" s="222">
        <v>0</v>
      </c>
      <c r="D684" s="225">
        <v>0</v>
      </c>
      <c r="E684" s="223">
        <v>0</v>
      </c>
      <c r="F684" s="224">
        <f t="shared" si="173"/>
        <v>0</v>
      </c>
      <c r="G684" s="180">
        <f t="shared" si="174"/>
        <v>0</v>
      </c>
      <c r="H684" s="635">
        <f>ROUND(F684*'Actual Load'!$B$26/'Zonal Load'!$N$26,2)</f>
        <v>0</v>
      </c>
      <c r="I684" s="180">
        <f t="shared" si="175"/>
        <v>0</v>
      </c>
      <c r="J684" s="180">
        <f t="shared" ref="J684:J702" si="177">I684-F684</f>
        <v>0</v>
      </c>
      <c r="K684" s="180">
        <f t="shared" ref="K684:K702" si="178">+G684+J684</f>
        <v>0</v>
      </c>
      <c r="L684" s="181">
        <f>E684*'Interest Under Collect '!$J$10</f>
        <v>0</v>
      </c>
      <c r="M684" s="180">
        <f t="shared" si="176"/>
        <v>0</v>
      </c>
      <c r="N684" s="203"/>
    </row>
    <row r="685" spans="1:14" s="185" customFormat="1">
      <c r="B685" s="23" t="s">
        <v>19</v>
      </c>
      <c r="C685" s="222">
        <v>0</v>
      </c>
      <c r="D685" s="225">
        <v>0</v>
      </c>
      <c r="E685" s="223">
        <v>0</v>
      </c>
      <c r="F685" s="224">
        <f t="shared" si="173"/>
        <v>0</v>
      </c>
      <c r="G685" s="180">
        <f t="shared" si="174"/>
        <v>0</v>
      </c>
      <c r="H685" s="635">
        <f>ROUND(F685*'Actual Load'!$B$16/'Zonal Load'!$N$16,2)</f>
        <v>0</v>
      </c>
      <c r="I685" s="180">
        <f t="shared" si="175"/>
        <v>0</v>
      </c>
      <c r="J685" s="180">
        <f t="shared" si="177"/>
        <v>0</v>
      </c>
      <c r="K685" s="180">
        <f t="shared" si="178"/>
        <v>0</v>
      </c>
      <c r="L685" s="181">
        <f>E685*'Interest Under Collect '!$J$10</f>
        <v>0</v>
      </c>
      <c r="M685" s="180">
        <f t="shared" si="176"/>
        <v>0</v>
      </c>
      <c r="N685" s="203"/>
    </row>
    <row r="686" spans="1:14" s="185" customFormat="1">
      <c r="B686" s="23" t="s">
        <v>20</v>
      </c>
      <c r="C686" s="222">
        <v>0</v>
      </c>
      <c r="D686" s="225">
        <v>0</v>
      </c>
      <c r="E686" s="223">
        <v>0</v>
      </c>
      <c r="F686" s="224">
        <f t="shared" si="173"/>
        <v>0</v>
      </c>
      <c r="G686" s="180">
        <f t="shared" si="174"/>
        <v>0</v>
      </c>
      <c r="H686" s="635">
        <f>ROUND(F686*'Actual Load'!$B$22/'Zonal Load'!$N$22,2)</f>
        <v>0</v>
      </c>
      <c r="I686" s="180">
        <f t="shared" si="175"/>
        <v>0</v>
      </c>
      <c r="J686" s="180">
        <f t="shared" si="177"/>
        <v>0</v>
      </c>
      <c r="K686" s="180">
        <f t="shared" si="178"/>
        <v>0</v>
      </c>
      <c r="L686" s="181">
        <f>E686*'Interest Under Collect '!$J$10</f>
        <v>0</v>
      </c>
      <c r="M686" s="180">
        <f t="shared" si="176"/>
        <v>0</v>
      </c>
      <c r="N686" s="203"/>
    </row>
    <row r="687" spans="1:14" s="185" customFormat="1">
      <c r="B687" s="23" t="s">
        <v>21</v>
      </c>
      <c r="C687" s="222">
        <v>0</v>
      </c>
      <c r="D687" s="225">
        <v>0</v>
      </c>
      <c r="E687" s="223">
        <v>0</v>
      </c>
      <c r="F687" s="224">
        <f t="shared" si="173"/>
        <v>0</v>
      </c>
      <c r="G687" s="180">
        <f t="shared" si="174"/>
        <v>0</v>
      </c>
      <c r="H687" s="635">
        <f>ROUND(F687*'Actual Load'!$B$17/'Zonal Load'!$N$17,2)</f>
        <v>0</v>
      </c>
      <c r="I687" s="180">
        <f t="shared" si="175"/>
        <v>0</v>
      </c>
      <c r="J687" s="180">
        <f t="shared" si="177"/>
        <v>0</v>
      </c>
      <c r="K687" s="180">
        <f t="shared" si="178"/>
        <v>0</v>
      </c>
      <c r="L687" s="181">
        <f>E687*'Interest Under Collect '!$J$10</f>
        <v>0</v>
      </c>
      <c r="M687" s="180">
        <f t="shared" si="176"/>
        <v>0</v>
      </c>
      <c r="N687" s="203"/>
    </row>
    <row r="688" spans="1:14" s="185" customFormat="1">
      <c r="B688" s="23" t="s">
        <v>22</v>
      </c>
      <c r="C688" s="222">
        <v>0</v>
      </c>
      <c r="D688" s="225">
        <v>0</v>
      </c>
      <c r="E688" s="223">
        <v>0</v>
      </c>
      <c r="F688" s="224">
        <f t="shared" si="173"/>
        <v>0</v>
      </c>
      <c r="G688" s="180">
        <f t="shared" si="174"/>
        <v>0</v>
      </c>
      <c r="H688" s="635">
        <f>ROUND(F688*'Actual Load'!$B$15/'Zonal Load'!$N$15,2)</f>
        <v>0</v>
      </c>
      <c r="I688" s="180">
        <f t="shared" si="175"/>
        <v>0</v>
      </c>
      <c r="J688" s="180">
        <f t="shared" si="177"/>
        <v>0</v>
      </c>
      <c r="K688" s="180">
        <f t="shared" si="178"/>
        <v>0</v>
      </c>
      <c r="L688" s="181">
        <f>E688*'Interest Under Collect '!$J$10</f>
        <v>0</v>
      </c>
      <c r="M688" s="180">
        <f t="shared" si="176"/>
        <v>0</v>
      </c>
      <c r="N688" s="203"/>
    </row>
    <row r="689" spans="2:14" s="185" customFormat="1">
      <c r="B689" s="23" t="s">
        <v>23</v>
      </c>
      <c r="C689" s="222">
        <v>0</v>
      </c>
      <c r="D689" s="225">
        <v>0</v>
      </c>
      <c r="E689" s="223">
        <v>0</v>
      </c>
      <c r="F689" s="224">
        <f t="shared" si="173"/>
        <v>0</v>
      </c>
      <c r="G689" s="180">
        <f t="shared" si="174"/>
        <v>0</v>
      </c>
      <c r="H689" s="635">
        <f>ROUND(F689*'Actual Load'!$B$4/'Zonal Load'!$N$4,2)</f>
        <v>0</v>
      </c>
      <c r="I689" s="180">
        <f t="shared" si="175"/>
        <v>0</v>
      </c>
      <c r="J689" s="180">
        <f t="shared" si="177"/>
        <v>0</v>
      </c>
      <c r="K689" s="180">
        <f t="shared" si="178"/>
        <v>0</v>
      </c>
      <c r="L689" s="181">
        <f>E689*'Interest Under Collect '!$J$10</f>
        <v>0</v>
      </c>
      <c r="M689" s="180">
        <f t="shared" si="176"/>
        <v>0</v>
      </c>
      <c r="N689" s="203"/>
    </row>
    <row r="690" spans="2:14" s="185" customFormat="1">
      <c r="B690" s="23" t="s">
        <v>24</v>
      </c>
      <c r="C690" s="222">
        <v>0</v>
      </c>
      <c r="D690" s="225">
        <v>0</v>
      </c>
      <c r="E690" s="223">
        <v>0</v>
      </c>
      <c r="F690" s="224">
        <f t="shared" si="173"/>
        <v>0</v>
      </c>
      <c r="G690" s="180">
        <f t="shared" si="174"/>
        <v>0</v>
      </c>
      <c r="H690" s="635">
        <f>ROUND(F690*'Actual Load'!$B$11/'Zonal Load'!$N$11,2)</f>
        <v>0</v>
      </c>
      <c r="I690" s="180">
        <f t="shared" si="175"/>
        <v>0</v>
      </c>
      <c r="J690" s="180">
        <f t="shared" si="177"/>
        <v>0</v>
      </c>
      <c r="K690" s="180">
        <f t="shared" si="178"/>
        <v>0</v>
      </c>
      <c r="L690" s="181">
        <f>E690*'Interest Under Collect '!$J$10</f>
        <v>0</v>
      </c>
      <c r="M690" s="180">
        <f t="shared" si="176"/>
        <v>0</v>
      </c>
      <c r="N690" s="203"/>
    </row>
    <row r="691" spans="2:14" s="185" customFormat="1">
      <c r="B691" s="23" t="s">
        <v>26</v>
      </c>
      <c r="C691" s="222">
        <v>0</v>
      </c>
      <c r="D691" s="225">
        <v>0</v>
      </c>
      <c r="E691" s="223">
        <v>0</v>
      </c>
      <c r="F691" s="224">
        <f t="shared" si="173"/>
        <v>0</v>
      </c>
      <c r="G691" s="180">
        <f t="shared" si="174"/>
        <v>0</v>
      </c>
      <c r="H691" s="635">
        <f>ROUND(F691*'Actual Load'!$B$7/'Zonal Load'!$N$7,2)</f>
        <v>0</v>
      </c>
      <c r="I691" s="180">
        <f t="shared" si="175"/>
        <v>0</v>
      </c>
      <c r="J691" s="180">
        <f t="shared" si="177"/>
        <v>0</v>
      </c>
      <c r="K691" s="180">
        <f t="shared" si="178"/>
        <v>0</v>
      </c>
      <c r="L691" s="181">
        <f>E691*'Interest Under Collect '!$J$10</f>
        <v>0</v>
      </c>
      <c r="M691" s="180">
        <f t="shared" si="176"/>
        <v>0</v>
      </c>
      <c r="N691" s="203"/>
    </row>
    <row r="692" spans="2:14" s="185" customFormat="1">
      <c r="B692" s="23" t="s">
        <v>25</v>
      </c>
      <c r="C692" s="222">
        <v>0</v>
      </c>
      <c r="D692" s="225">
        <v>0</v>
      </c>
      <c r="E692" s="223">
        <v>0</v>
      </c>
      <c r="F692" s="224">
        <f t="shared" si="173"/>
        <v>0</v>
      </c>
      <c r="G692" s="180">
        <f t="shared" si="174"/>
        <v>0</v>
      </c>
      <c r="H692" s="635">
        <f>ROUND(F692*'Actual Load'!$B$6/'Zonal Load'!$N$6,2)</f>
        <v>0</v>
      </c>
      <c r="I692" s="180">
        <f t="shared" si="175"/>
        <v>0</v>
      </c>
      <c r="J692" s="180">
        <f t="shared" si="177"/>
        <v>0</v>
      </c>
      <c r="K692" s="180">
        <f t="shared" si="178"/>
        <v>0</v>
      </c>
      <c r="L692" s="181">
        <f>E692*'Interest Under Collect '!$J$10</f>
        <v>0</v>
      </c>
      <c r="M692" s="180">
        <f t="shared" si="176"/>
        <v>0</v>
      </c>
      <c r="N692" s="203"/>
    </row>
    <row r="693" spans="2:14" s="185" customFormat="1">
      <c r="B693" s="23" t="s">
        <v>119</v>
      </c>
      <c r="C693" s="222">
        <v>0</v>
      </c>
      <c r="D693" s="225">
        <v>0</v>
      </c>
      <c r="E693" s="223">
        <v>0</v>
      </c>
      <c r="F693" s="224">
        <f t="shared" si="173"/>
        <v>0</v>
      </c>
      <c r="G693" s="180">
        <f t="shared" si="174"/>
        <v>0</v>
      </c>
      <c r="H693" s="635">
        <f>ROUND(F693*'Actual Load'!$B$18/'Zonal Load'!$N$18,2)</f>
        <v>0</v>
      </c>
      <c r="I693" s="180">
        <f t="shared" si="175"/>
        <v>0</v>
      </c>
      <c r="J693" s="180">
        <f t="shared" si="177"/>
        <v>0</v>
      </c>
      <c r="K693" s="180">
        <f t="shared" si="178"/>
        <v>0</v>
      </c>
      <c r="L693" s="181">
        <f>E693*'Interest Under Collect '!$J$10</f>
        <v>0</v>
      </c>
      <c r="M693" s="180">
        <f t="shared" si="176"/>
        <v>0</v>
      </c>
      <c r="N693" s="203"/>
    </row>
    <row r="694" spans="2:14" s="185" customFormat="1">
      <c r="B694" s="23" t="s">
        <v>120</v>
      </c>
      <c r="C694" s="222">
        <v>0</v>
      </c>
      <c r="D694" s="225">
        <v>0</v>
      </c>
      <c r="E694" s="223">
        <v>0</v>
      </c>
      <c r="F694" s="224">
        <f t="shared" si="173"/>
        <v>0</v>
      </c>
      <c r="G694" s="180">
        <f t="shared" si="174"/>
        <v>0</v>
      </c>
      <c r="H694" s="635">
        <f>ROUND(F694*'Actual Load'!$B$17/'Zonal Load'!$N$17,2)</f>
        <v>0</v>
      </c>
      <c r="I694" s="180">
        <f t="shared" si="175"/>
        <v>0</v>
      </c>
      <c r="J694" s="180">
        <f t="shared" si="177"/>
        <v>0</v>
      </c>
      <c r="K694" s="180">
        <f t="shared" si="178"/>
        <v>0</v>
      </c>
      <c r="L694" s="181">
        <f>E694*'Interest Under Collect '!$J$10</f>
        <v>0</v>
      </c>
      <c r="M694" s="180">
        <f t="shared" si="176"/>
        <v>0</v>
      </c>
      <c r="N694" s="203"/>
    </row>
    <row r="695" spans="2:14" s="185" customFormat="1">
      <c r="B695" s="23" t="s">
        <v>27</v>
      </c>
      <c r="C695" s="222">
        <v>0</v>
      </c>
      <c r="D695" s="225">
        <v>0</v>
      </c>
      <c r="E695" s="223">
        <v>0</v>
      </c>
      <c r="F695" s="224">
        <f t="shared" si="173"/>
        <v>0</v>
      </c>
      <c r="G695" s="180">
        <f t="shared" si="174"/>
        <v>0</v>
      </c>
      <c r="H695" s="635">
        <f>ROUND(F695*'Actual Load'!$B$12/'Zonal Load'!$N$12,2)</f>
        <v>0</v>
      </c>
      <c r="I695" s="180">
        <f t="shared" si="175"/>
        <v>0</v>
      </c>
      <c r="J695" s="180">
        <f t="shared" si="177"/>
        <v>0</v>
      </c>
      <c r="K695" s="180">
        <f t="shared" si="178"/>
        <v>0</v>
      </c>
      <c r="L695" s="181">
        <f>E695*'Interest Under Collect '!$J$10</f>
        <v>0</v>
      </c>
      <c r="M695" s="180">
        <f t="shared" si="176"/>
        <v>0</v>
      </c>
      <c r="N695" s="203"/>
    </row>
    <row r="696" spans="2:14" s="185" customFormat="1">
      <c r="B696" s="23" t="s">
        <v>28</v>
      </c>
      <c r="C696" s="222">
        <v>0</v>
      </c>
      <c r="D696" s="225">
        <v>0</v>
      </c>
      <c r="E696" s="223">
        <v>0</v>
      </c>
      <c r="F696" s="224">
        <f t="shared" si="173"/>
        <v>0</v>
      </c>
      <c r="G696" s="180">
        <f t="shared" si="174"/>
        <v>0</v>
      </c>
      <c r="H696" s="635">
        <f>ROUND(F696*'Actual Load'!$B$24/'Zonal Load'!$N$24,2)</f>
        <v>0</v>
      </c>
      <c r="I696" s="180">
        <f t="shared" si="175"/>
        <v>0</v>
      </c>
      <c r="J696" s="180">
        <f t="shared" si="177"/>
        <v>0</v>
      </c>
      <c r="K696" s="180">
        <f t="shared" si="178"/>
        <v>0</v>
      </c>
      <c r="L696" s="181">
        <f>E696*'Interest Under Collect '!$J$10</f>
        <v>0</v>
      </c>
      <c r="M696" s="180">
        <f t="shared" si="176"/>
        <v>0</v>
      </c>
      <c r="N696" s="203"/>
    </row>
    <row r="697" spans="2:14" s="185" customFormat="1">
      <c r="B697" s="23" t="s">
        <v>29</v>
      </c>
      <c r="C697" s="222">
        <v>0</v>
      </c>
      <c r="D697" s="225">
        <v>0</v>
      </c>
      <c r="E697" s="223">
        <v>0</v>
      </c>
      <c r="F697" s="224">
        <f t="shared" si="173"/>
        <v>0</v>
      </c>
      <c r="G697" s="180">
        <f t="shared" si="174"/>
        <v>0</v>
      </c>
      <c r="H697" s="635">
        <f>ROUND(F697*'Actual Load'!$B$5/'Zonal Load'!$N$5,2)</f>
        <v>0</v>
      </c>
      <c r="I697" s="180">
        <f t="shared" si="175"/>
        <v>0</v>
      </c>
      <c r="J697" s="180">
        <f t="shared" si="177"/>
        <v>0</v>
      </c>
      <c r="K697" s="180">
        <f t="shared" si="178"/>
        <v>0</v>
      </c>
      <c r="L697" s="181">
        <f>E697*'Interest Under Collect '!$J$10</f>
        <v>0</v>
      </c>
      <c r="M697" s="180">
        <f t="shared" si="176"/>
        <v>0</v>
      </c>
      <c r="N697" s="203"/>
    </row>
    <row r="698" spans="2:14" s="185" customFormat="1">
      <c r="B698" s="23" t="s">
        <v>30</v>
      </c>
      <c r="C698" s="222">
        <v>0</v>
      </c>
      <c r="D698" s="225">
        <v>0</v>
      </c>
      <c r="E698" s="223">
        <v>0.6608096815132255</v>
      </c>
      <c r="F698" s="224">
        <f t="shared" si="173"/>
        <v>1475667.19</v>
      </c>
      <c r="G698" s="180">
        <f t="shared" si="174"/>
        <v>-76844.245892711304</v>
      </c>
      <c r="H698" s="635">
        <f>ROUND(F698*'Actual Load'!$B$21/'Zonal Load'!$N$21,2)</f>
        <v>1409693.57</v>
      </c>
      <c r="I698" s="180">
        <f t="shared" si="175"/>
        <v>1479611.26</v>
      </c>
      <c r="J698" s="180">
        <f t="shared" si="177"/>
        <v>3944.0700000000652</v>
      </c>
      <c r="K698" s="180">
        <f t="shared" si="178"/>
        <v>-72900.175892711239</v>
      </c>
      <c r="L698" s="181">
        <f>E698*'Interest Under Collect '!$J$10</f>
        <v>-680.17140518156293</v>
      </c>
      <c r="M698" s="180">
        <f t="shared" si="176"/>
        <v>-73580.347297892804</v>
      </c>
      <c r="N698" s="203"/>
    </row>
    <row r="699" spans="2:14" s="185" customFormat="1">
      <c r="B699" s="23" t="s">
        <v>31</v>
      </c>
      <c r="C699" s="222">
        <v>0</v>
      </c>
      <c r="D699" s="225">
        <v>0</v>
      </c>
      <c r="E699" s="223">
        <v>0</v>
      </c>
      <c r="F699" s="224">
        <f t="shared" si="173"/>
        <v>0</v>
      </c>
      <c r="G699" s="180">
        <f t="shared" si="174"/>
        <v>0</v>
      </c>
      <c r="H699" s="635">
        <f>ROUND(F699*'Actual Load'!$B$19/'Zonal Load'!$N$19,2)</f>
        <v>0</v>
      </c>
      <c r="I699" s="180">
        <f t="shared" si="175"/>
        <v>0</v>
      </c>
      <c r="J699" s="180">
        <f t="shared" si="177"/>
        <v>0</v>
      </c>
      <c r="K699" s="180">
        <f t="shared" si="178"/>
        <v>0</v>
      </c>
      <c r="L699" s="181">
        <f>E699*'Interest Under Collect '!$J$10</f>
        <v>0</v>
      </c>
      <c r="M699" s="180">
        <f t="shared" si="176"/>
        <v>0</v>
      </c>
      <c r="N699" s="203"/>
    </row>
    <row r="700" spans="2:14" s="185" customFormat="1">
      <c r="B700" s="23" t="s">
        <v>32</v>
      </c>
      <c r="C700" s="222">
        <v>0</v>
      </c>
      <c r="D700" s="225">
        <v>0</v>
      </c>
      <c r="E700" s="223">
        <v>0</v>
      </c>
      <c r="F700" s="224">
        <f t="shared" si="173"/>
        <v>0</v>
      </c>
      <c r="G700" s="180">
        <f t="shared" si="174"/>
        <v>0</v>
      </c>
      <c r="H700" s="635">
        <f>ROUND(F700*'Actual Load'!$B$25/'Zonal Load'!$N$25,2)</f>
        <v>0</v>
      </c>
      <c r="I700" s="180">
        <f t="shared" si="175"/>
        <v>0</v>
      </c>
      <c r="J700" s="180">
        <f t="shared" si="177"/>
        <v>0</v>
      </c>
      <c r="K700" s="180">
        <f t="shared" si="178"/>
        <v>0</v>
      </c>
      <c r="L700" s="181">
        <f>E700*'Interest Under Collect '!$J$10</f>
        <v>0</v>
      </c>
      <c r="M700" s="180">
        <f t="shared" si="176"/>
        <v>0</v>
      </c>
      <c r="N700" s="203"/>
    </row>
    <row r="701" spans="2:14" s="185" customFormat="1">
      <c r="B701" s="23" t="s">
        <v>33</v>
      </c>
      <c r="C701" s="222">
        <v>0</v>
      </c>
      <c r="D701" s="225">
        <v>0</v>
      </c>
      <c r="E701" s="223">
        <v>0.11315289719688514</v>
      </c>
      <c r="F701" s="224">
        <f t="shared" si="173"/>
        <v>252683.98</v>
      </c>
      <c r="G701" s="180">
        <f t="shared" si="174"/>
        <v>-13158.325761448608</v>
      </c>
      <c r="H701" s="635">
        <f>ROUND(F701*'Actual Load'!$B$13/'Zonal Load'!$N$13,2)</f>
        <v>245147.54</v>
      </c>
      <c r="I701" s="180">
        <f t="shared" si="175"/>
        <v>257306.32</v>
      </c>
      <c r="J701" s="180">
        <f t="shared" si="177"/>
        <v>4622.3399999999965</v>
      </c>
      <c r="K701" s="180">
        <f t="shared" si="178"/>
        <v>-8535.9857614486118</v>
      </c>
      <c r="L701" s="181">
        <f>E701*'Interest Under Collect '!$J$10</f>
        <v>-116.46827708475386</v>
      </c>
      <c r="M701" s="180">
        <f t="shared" si="176"/>
        <v>-8652.4540385333657</v>
      </c>
      <c r="N701" s="203"/>
    </row>
    <row r="702" spans="2:14" s="185" customFormat="1">
      <c r="B702" s="23" t="s">
        <v>34</v>
      </c>
      <c r="C702" s="222">
        <v>0</v>
      </c>
      <c r="D702" s="225">
        <v>0</v>
      </c>
      <c r="E702" s="223">
        <v>0.2260374212898893</v>
      </c>
      <c r="F702" s="224">
        <f t="shared" si="173"/>
        <v>504768.64</v>
      </c>
      <c r="G702" s="180">
        <f t="shared" si="174"/>
        <v>-26285.442947474421</v>
      </c>
      <c r="H702" s="635">
        <f>ROUND(F702*'Actual Load'!$B$23/'Zonal Load'!$N$23,2)</f>
        <v>504176.59</v>
      </c>
      <c r="I702" s="180">
        <f t="shared" si="175"/>
        <v>529182.64</v>
      </c>
      <c r="J702" s="180">
        <f t="shared" si="177"/>
        <v>24414</v>
      </c>
      <c r="K702" s="180">
        <f t="shared" si="178"/>
        <v>-1871.4429474744211</v>
      </c>
      <c r="L702" s="181">
        <f>E702*'Interest Under Collect '!$J$10</f>
        <v>-232.66031773368303</v>
      </c>
      <c r="M702" s="180">
        <f t="shared" si="176"/>
        <v>-2104.1032652081039</v>
      </c>
      <c r="N702" s="203"/>
    </row>
    <row r="703" spans="2:14" s="185" customFormat="1">
      <c r="B703" s="205" t="s">
        <v>35</v>
      </c>
      <c r="C703" s="222">
        <v>0</v>
      </c>
      <c r="D703" s="225">
        <v>0</v>
      </c>
      <c r="E703" s="223">
        <v>0</v>
      </c>
      <c r="F703" s="224">
        <f t="shared" si="173"/>
        <v>0</v>
      </c>
      <c r="G703" s="180">
        <f t="shared" si="174"/>
        <v>0</v>
      </c>
      <c r="H703" s="635">
        <f>ROUND(F703*'Actual Load'!$B$20/'Zonal Load'!$N$20,2)</f>
        <v>0</v>
      </c>
      <c r="I703" s="180">
        <f t="shared" si="175"/>
        <v>0</v>
      </c>
      <c r="J703" s="180">
        <f>I703-F703</f>
        <v>0</v>
      </c>
      <c r="K703" s="180">
        <f>+G703+J703</f>
        <v>0</v>
      </c>
      <c r="L703" s="181">
        <f>E703*'Interest Under Collect '!$J$10</f>
        <v>0</v>
      </c>
      <c r="M703" s="180">
        <f t="shared" si="176"/>
        <v>0</v>
      </c>
      <c r="N703" s="203"/>
    </row>
    <row r="704" spans="2:14" s="185" customFormat="1">
      <c r="B704" s="205" t="s">
        <v>112</v>
      </c>
      <c r="C704" s="222">
        <v>0</v>
      </c>
      <c r="D704" s="225">
        <v>0</v>
      </c>
      <c r="E704" s="223">
        <v>0</v>
      </c>
      <c r="F704" s="224">
        <f t="shared" si="173"/>
        <v>0</v>
      </c>
      <c r="G704" s="180">
        <f t="shared" si="174"/>
        <v>0</v>
      </c>
      <c r="H704" s="635">
        <f>ROUND(F704*'Actual Load'!$B$27/'Zonal Load'!$N$27,2)</f>
        <v>0</v>
      </c>
      <c r="I704" s="180">
        <f t="shared" si="175"/>
        <v>0</v>
      </c>
      <c r="J704" s="180">
        <f>I704-F704</f>
        <v>0</v>
      </c>
      <c r="K704" s="180">
        <f>+G704+J704</f>
        <v>0</v>
      </c>
      <c r="L704" s="181">
        <f>E704*'Interest Under Collect '!$J$10</f>
        <v>0</v>
      </c>
      <c r="M704" s="180">
        <f t="shared" si="176"/>
        <v>0</v>
      </c>
      <c r="N704" s="203"/>
    </row>
    <row r="705" spans="2:14" s="185" customFormat="1">
      <c r="B705" s="205" t="s">
        <v>113</v>
      </c>
      <c r="C705" s="222">
        <v>0</v>
      </c>
      <c r="D705" s="225">
        <v>0</v>
      </c>
      <c r="E705" s="223">
        <v>0</v>
      </c>
      <c r="F705" s="224">
        <f t="shared" si="173"/>
        <v>0</v>
      </c>
      <c r="G705" s="180">
        <f t="shared" si="174"/>
        <v>0</v>
      </c>
      <c r="H705" s="635">
        <f>ROUND(F705*'Actual Load'!$B$28/'Zonal Load'!$N$28,2)</f>
        <v>0</v>
      </c>
      <c r="I705" s="180">
        <f t="shared" si="175"/>
        <v>0</v>
      </c>
      <c r="J705" s="180">
        <f>I705-F705</f>
        <v>0</v>
      </c>
      <c r="K705" s="180">
        <f>+G705+J705</f>
        <v>0</v>
      </c>
      <c r="L705" s="181">
        <f>E705*'Interest Under Collect '!$J$10</f>
        <v>0</v>
      </c>
      <c r="M705" s="180">
        <f t="shared" si="176"/>
        <v>0</v>
      </c>
      <c r="N705" s="203"/>
    </row>
    <row r="706" spans="2:14" s="185" customFormat="1">
      <c r="B706" s="205" t="s">
        <v>121</v>
      </c>
      <c r="C706" s="222">
        <v>0</v>
      </c>
      <c r="D706" s="225">
        <v>0</v>
      </c>
      <c r="E706" s="597">
        <v>0</v>
      </c>
      <c r="F706" s="224">
        <f t="shared" si="173"/>
        <v>0</v>
      </c>
      <c r="G706" s="180">
        <f t="shared" si="174"/>
        <v>0</v>
      </c>
      <c r="H706" s="635">
        <f>ROUND(F706*'Actual Load'!$B$29/'Zonal Load'!$N$29,2)</f>
        <v>0</v>
      </c>
      <c r="I706" s="180">
        <f t="shared" si="175"/>
        <v>0</v>
      </c>
      <c r="J706" s="180">
        <f>I706-F706</f>
        <v>0</v>
      </c>
      <c r="K706" s="180">
        <f>+G706+J706</f>
        <v>0</v>
      </c>
      <c r="L706" s="181">
        <f>E706*'Interest Under Collect '!$J$10</f>
        <v>0</v>
      </c>
      <c r="M706" s="180">
        <f t="shared" si="176"/>
        <v>0</v>
      </c>
      <c r="N706" s="203"/>
    </row>
    <row r="707" spans="2:14" s="185" customFormat="1">
      <c r="B707" s="205" t="s">
        <v>122</v>
      </c>
      <c r="C707" s="222">
        <v>0</v>
      </c>
      <c r="D707" s="225">
        <v>0</v>
      </c>
      <c r="E707" s="597">
        <v>0</v>
      </c>
      <c r="F707" s="224">
        <f t="shared" si="173"/>
        <v>0</v>
      </c>
      <c r="G707" s="180">
        <f t="shared" si="174"/>
        <v>0</v>
      </c>
      <c r="H707" s="635">
        <f>ROUND(F707*'Actual Load'!$B$30/'Zonal Load'!$N$30,2)</f>
        <v>0</v>
      </c>
      <c r="I707" s="180">
        <f t="shared" si="175"/>
        <v>0</v>
      </c>
      <c r="J707" s="180">
        <f>I707-F707</f>
        <v>0</v>
      </c>
      <c r="K707" s="180">
        <f>+G707+J707</f>
        <v>0</v>
      </c>
      <c r="L707" s="181">
        <f>E707*'Interest Under Collect '!$J$10</f>
        <v>0</v>
      </c>
      <c r="M707" s="180">
        <f t="shared" ref="M707" si="179">+K707+L707</f>
        <v>0</v>
      </c>
      <c r="N707" s="203"/>
    </row>
    <row r="708" spans="2:14" s="172" customFormat="1">
      <c r="B708" s="559"/>
      <c r="C708" s="558">
        <f>SUM(C680:C706)</f>
        <v>0</v>
      </c>
      <c r="D708" s="27">
        <f>SUM(D680:D706)</f>
        <v>0</v>
      </c>
      <c r="E708" s="100">
        <f>SUM(E680:E706)</f>
        <v>1</v>
      </c>
      <c r="F708" s="95">
        <f>SUM(F680:F706)</f>
        <v>2233119.81</v>
      </c>
      <c r="G708" s="138">
        <f>SUM(G680:G706)</f>
        <v>-116288.01460163434</v>
      </c>
      <c r="H708" s="138">
        <f t="shared" ref="H708:M708" si="180">SUM(H680:H706)</f>
        <v>2159017.7000000002</v>
      </c>
      <c r="I708" s="138">
        <f t="shared" si="180"/>
        <v>2266100.2200000002</v>
      </c>
      <c r="J708" s="138">
        <f t="shared" si="180"/>
        <v>32980.410000000062</v>
      </c>
      <c r="K708" s="587">
        <f t="shared" si="180"/>
        <v>-83307.604601634273</v>
      </c>
      <c r="L708" s="138">
        <f>SUM(L680:L706)</f>
        <v>-1029.2999999999997</v>
      </c>
      <c r="M708" s="138">
        <f t="shared" si="180"/>
        <v>-84336.904601634276</v>
      </c>
      <c r="N708" s="203"/>
    </row>
    <row r="709" spans="2:14" s="172" customFormat="1">
      <c r="G709" s="21"/>
      <c r="H709" s="133"/>
      <c r="I709" s="80"/>
      <c r="J709" s="91"/>
      <c r="N709" s="203"/>
    </row>
    <row r="710" spans="2:14" s="172" customFormat="1">
      <c r="E710" s="96" t="s">
        <v>618</v>
      </c>
      <c r="F710" s="178">
        <v>2233119.8122608294</v>
      </c>
      <c r="G710" s="21"/>
      <c r="H710" s="133"/>
      <c r="J710" s="91"/>
      <c r="N710" s="203"/>
    </row>
    <row r="711" spans="2:14" s="172" customFormat="1">
      <c r="E711" s="97" t="s">
        <v>619</v>
      </c>
      <c r="F711" s="179">
        <v>2349407.8268624637</v>
      </c>
      <c r="G711" s="632">
        <f>F710-F711</f>
        <v>-116288.01460163435</v>
      </c>
      <c r="H711" s="633"/>
      <c r="I711" s="29"/>
      <c r="J711" s="91"/>
      <c r="L711" s="84"/>
      <c r="N711" s="203"/>
    </row>
    <row r="712" spans="2:14" s="172" customFormat="1">
      <c r="E712" s="97" t="s">
        <v>160</v>
      </c>
      <c r="F712" s="186">
        <f>I708</f>
        <v>2266100.2200000002</v>
      </c>
      <c r="G712" s="632">
        <f>F712-F710</f>
        <v>32980.407739170827</v>
      </c>
      <c r="H712" s="634"/>
      <c r="I712" s="29"/>
      <c r="J712" s="91"/>
      <c r="L712" s="84"/>
      <c r="N712" s="203"/>
    </row>
    <row r="713" spans="2:14" s="172" customFormat="1">
      <c r="G713" s="632">
        <f>G711+G712</f>
        <v>-83307.606862463523</v>
      </c>
      <c r="H713" s="633">
        <f>F712-F711</f>
        <v>-83307.606862463523</v>
      </c>
      <c r="I713" s="29"/>
      <c r="J713" s="91"/>
      <c r="L713" s="84"/>
      <c r="N713" s="203"/>
    </row>
    <row r="714" spans="2:14" s="172" customFormat="1">
      <c r="B714" s="82"/>
      <c r="C714" s="82"/>
      <c r="D714" s="82"/>
      <c r="E714" s="82"/>
      <c r="F714" s="82"/>
      <c r="G714" s="82"/>
      <c r="H714" s="82"/>
      <c r="I714" s="82"/>
      <c r="J714" s="111"/>
      <c r="K714" s="82"/>
      <c r="L714" s="82"/>
      <c r="M714" s="82"/>
      <c r="N714" s="203"/>
    </row>
    <row r="715" spans="2:14" s="172" customFormat="1">
      <c r="H715" s="133"/>
      <c r="J715" s="91"/>
      <c r="L715" s="185"/>
      <c r="N715" s="203"/>
    </row>
    <row r="716" spans="2:14" s="172" customFormat="1">
      <c r="B716" s="640" t="s">
        <v>0</v>
      </c>
      <c r="C716" s="641"/>
      <c r="D716" s="642">
        <v>3317</v>
      </c>
      <c r="E716" s="643"/>
      <c r="F716" s="643"/>
      <c r="G716" s="643"/>
      <c r="H716" s="644"/>
      <c r="I716" s="150"/>
      <c r="J716" s="1"/>
      <c r="N716" s="203"/>
    </row>
    <row r="717" spans="2:14" s="172" customFormat="1">
      <c r="B717" s="645" t="s">
        <v>2</v>
      </c>
      <c r="C717" s="646"/>
      <c r="D717" s="647" t="s">
        <v>572</v>
      </c>
      <c r="E717" s="648"/>
      <c r="F717" s="648"/>
      <c r="G717" s="648"/>
      <c r="H717" s="649"/>
      <c r="I717" s="151"/>
      <c r="J717" s="1"/>
      <c r="N717" s="203"/>
    </row>
    <row r="718" spans="2:14" s="172" customFormat="1">
      <c r="B718" s="645" t="s">
        <v>4</v>
      </c>
      <c r="C718" s="646"/>
      <c r="D718" s="650"/>
      <c r="E718" s="651"/>
      <c r="F718" s="651"/>
      <c r="G718" s="651"/>
      <c r="H718" s="652"/>
      <c r="I718" s="152"/>
      <c r="J718" s="1"/>
      <c r="N718" s="203"/>
    </row>
    <row r="719" spans="2:14" s="172" customFormat="1">
      <c r="B719" s="653" t="s">
        <v>6</v>
      </c>
      <c r="C719" s="654"/>
      <c r="D719" s="655" t="s">
        <v>30</v>
      </c>
      <c r="E719" s="656"/>
      <c r="F719" s="656"/>
      <c r="G719" s="656"/>
      <c r="H719" s="657"/>
      <c r="I719" s="153"/>
      <c r="J719" s="1"/>
      <c r="N719" s="203"/>
    </row>
    <row r="720" spans="2:14" s="172" customFormat="1">
      <c r="B720" s="76"/>
      <c r="C720" s="76"/>
      <c r="D720" s="76"/>
      <c r="E720" s="76"/>
      <c r="F720" s="76"/>
      <c r="H720" s="557"/>
      <c r="J720" s="105" t="s">
        <v>163</v>
      </c>
      <c r="K720" s="3" t="s">
        <v>42</v>
      </c>
      <c r="M720" s="3" t="s">
        <v>56</v>
      </c>
      <c r="N720" s="203"/>
    </row>
    <row r="721" spans="1:14" s="172" customFormat="1">
      <c r="B721" s="76"/>
      <c r="C721" s="76"/>
      <c r="D721" s="76"/>
      <c r="E721" s="76"/>
      <c r="F721" s="76"/>
      <c r="G721" s="3" t="s">
        <v>39</v>
      </c>
      <c r="H721" s="134" t="s">
        <v>40</v>
      </c>
      <c r="I721" s="98" t="s">
        <v>41</v>
      </c>
      <c r="J721" s="106" t="s">
        <v>164</v>
      </c>
      <c r="K721" s="4" t="s">
        <v>165</v>
      </c>
      <c r="L721" s="4" t="s">
        <v>55</v>
      </c>
      <c r="M721" s="4" t="s">
        <v>166</v>
      </c>
      <c r="N721" s="203"/>
    </row>
    <row r="722" spans="1:14" s="172" customFormat="1">
      <c r="B722" s="76"/>
      <c r="C722" s="76"/>
      <c r="D722" s="76"/>
      <c r="E722" s="76"/>
      <c r="F722" s="76"/>
      <c r="G722" s="5"/>
      <c r="H722" s="658" t="s">
        <v>43</v>
      </c>
      <c r="I722" s="659"/>
      <c r="J722" s="660"/>
      <c r="K722" s="6" t="s">
        <v>44</v>
      </c>
      <c r="L722" s="5"/>
      <c r="M722" s="6" t="s">
        <v>45</v>
      </c>
      <c r="N722" s="203"/>
    </row>
    <row r="723" spans="1:14" s="172" customFormat="1">
      <c r="B723" s="77"/>
      <c r="C723" s="7">
        <v>0.2</v>
      </c>
      <c r="D723" s="7">
        <v>0.8</v>
      </c>
      <c r="E723" s="7"/>
      <c r="F723" s="92" t="s">
        <v>162</v>
      </c>
      <c r="G723" s="8" t="s">
        <v>46</v>
      </c>
      <c r="H723" s="135"/>
      <c r="I723" s="5"/>
      <c r="J723" s="107" t="s">
        <v>47</v>
      </c>
      <c r="K723" s="8" t="s">
        <v>48</v>
      </c>
      <c r="L723" s="9"/>
      <c r="M723" s="8" t="s">
        <v>49</v>
      </c>
      <c r="N723" s="203"/>
    </row>
    <row r="724" spans="1:14" s="172" customFormat="1">
      <c r="B724" s="10"/>
      <c r="C724" s="69" t="s">
        <v>9</v>
      </c>
      <c r="D724" s="69" t="s">
        <v>10</v>
      </c>
      <c r="E724" s="69" t="s">
        <v>11</v>
      </c>
      <c r="F724" s="93" t="s">
        <v>8</v>
      </c>
      <c r="G724" s="11" t="s">
        <v>50</v>
      </c>
      <c r="H724" s="136" t="s">
        <v>51</v>
      </c>
      <c r="I724" s="12" t="s">
        <v>159</v>
      </c>
      <c r="J724" s="108" t="s">
        <v>50</v>
      </c>
      <c r="K724" s="12" t="s">
        <v>50</v>
      </c>
      <c r="L724" s="12" t="s">
        <v>52</v>
      </c>
      <c r="M724" s="12" t="s">
        <v>53</v>
      </c>
      <c r="N724" s="203"/>
    </row>
    <row r="725" spans="1:14" s="172" customFormat="1" ht="31.5">
      <c r="B725" s="13" t="s">
        <v>13</v>
      </c>
      <c r="C725" s="14" t="s">
        <v>14</v>
      </c>
      <c r="D725" s="14" t="s">
        <v>14</v>
      </c>
      <c r="E725" s="15" t="s">
        <v>14</v>
      </c>
      <c r="F725" s="94" t="s">
        <v>15</v>
      </c>
      <c r="G725" s="16" t="s">
        <v>54</v>
      </c>
      <c r="H725" s="137"/>
      <c r="I725" s="17"/>
      <c r="J725" s="109" t="s">
        <v>54</v>
      </c>
      <c r="K725" s="17"/>
      <c r="L725" s="17"/>
      <c r="M725" s="16" t="s">
        <v>54</v>
      </c>
      <c r="N725" s="203"/>
    </row>
    <row r="726" spans="1:14" s="185" customFormat="1">
      <c r="B726" s="18" t="s">
        <v>16</v>
      </c>
      <c r="C726" s="222">
        <v>0</v>
      </c>
      <c r="D726" s="225">
        <v>0</v>
      </c>
      <c r="E726" s="223">
        <v>0</v>
      </c>
      <c r="F726" s="226">
        <f t="shared" ref="F726:F753" si="181">ROUND(+E726*F$756,2)</f>
        <v>0</v>
      </c>
      <c r="G726" s="180">
        <f t="shared" ref="G726:G753" si="182">(F$756-F$757)*E726</f>
        <v>0</v>
      </c>
      <c r="H726" s="635">
        <f>ROUND(F726*'Actual Load'!$B$8/'Zonal Load'!$N$8,2)</f>
        <v>0</v>
      </c>
      <c r="I726" s="180">
        <f t="shared" ref="I726:I753" si="183">ROUND((H726*$H$912)/$H$910,2)</f>
        <v>0</v>
      </c>
      <c r="J726" s="180">
        <f>I726-F726</f>
        <v>0</v>
      </c>
      <c r="K726" s="180">
        <f>+G726+J726</f>
        <v>0</v>
      </c>
      <c r="L726" s="181">
        <f>E726*'Interest Under Collect '!$J$11</f>
        <v>0</v>
      </c>
      <c r="M726" s="180">
        <f t="shared" ref="M726:M752" si="184">+K726+L726</f>
        <v>0</v>
      </c>
      <c r="N726" s="203"/>
    </row>
    <row r="727" spans="1:14" s="185" customFormat="1">
      <c r="B727" s="23" t="s">
        <v>17</v>
      </c>
      <c r="C727" s="222">
        <v>0</v>
      </c>
      <c r="D727" s="225">
        <v>0</v>
      </c>
      <c r="E727" s="223">
        <v>0</v>
      </c>
      <c r="F727" s="224">
        <f t="shared" si="181"/>
        <v>0</v>
      </c>
      <c r="G727" s="180">
        <f t="shared" si="182"/>
        <v>0</v>
      </c>
      <c r="H727" s="635">
        <f>ROUND(F727*'Actual Load'!$B$14/'Zonal Load'!$N$14,2)</f>
        <v>0</v>
      </c>
      <c r="I727" s="180">
        <f t="shared" si="183"/>
        <v>0</v>
      </c>
      <c r="J727" s="180">
        <f>I727-F727</f>
        <v>0</v>
      </c>
      <c r="K727" s="180">
        <f>+G727+J727</f>
        <v>0</v>
      </c>
      <c r="L727" s="181">
        <f>E727*'Interest Under Collect '!$J$11</f>
        <v>0</v>
      </c>
      <c r="M727" s="180">
        <f t="shared" si="184"/>
        <v>0</v>
      </c>
      <c r="N727" s="203"/>
    </row>
    <row r="728" spans="1:14" s="185" customFormat="1">
      <c r="B728" s="23" t="s">
        <v>201</v>
      </c>
      <c r="C728" s="222">
        <f>0%*0.421</f>
        <v>0</v>
      </c>
      <c r="D728" s="225">
        <f>0%*0.421</f>
        <v>0</v>
      </c>
      <c r="E728" s="223">
        <v>0</v>
      </c>
      <c r="F728" s="224">
        <f t="shared" si="181"/>
        <v>0</v>
      </c>
      <c r="G728" s="180">
        <f t="shared" si="182"/>
        <v>0</v>
      </c>
      <c r="H728" s="635">
        <f>ROUND(F728*'Actual Load'!$B$9/'Zonal Load'!$N$9,2)</f>
        <v>0</v>
      </c>
      <c r="I728" s="180">
        <f t="shared" si="183"/>
        <v>0</v>
      </c>
      <c r="J728" s="180">
        <f>I728-F728</f>
        <v>0</v>
      </c>
      <c r="K728" s="180">
        <f>+G728+J728</f>
        <v>0</v>
      </c>
      <c r="L728" s="181">
        <f>E728*'Interest Under Collect '!$J$11</f>
        <v>0</v>
      </c>
      <c r="M728" s="180">
        <f t="shared" si="184"/>
        <v>0</v>
      </c>
      <c r="N728" s="203"/>
    </row>
    <row r="729" spans="1:14" s="185" customFormat="1">
      <c r="B729" s="132" t="s">
        <v>260</v>
      </c>
      <c r="C729" s="222">
        <f>0%*0.579</f>
        <v>0</v>
      </c>
      <c r="D729" s="225">
        <f>0%*0.579</f>
        <v>0</v>
      </c>
      <c r="E729" s="223">
        <v>0</v>
      </c>
      <c r="F729" s="224">
        <f t="shared" si="181"/>
        <v>0</v>
      </c>
      <c r="G729" s="180">
        <f t="shared" si="182"/>
        <v>0</v>
      </c>
      <c r="H729" s="635">
        <f>ROUND(F729*'Actual Load'!$B$10/'Zonal Load'!$N$10,2)</f>
        <v>0</v>
      </c>
      <c r="I729" s="180">
        <f t="shared" si="183"/>
        <v>0</v>
      </c>
      <c r="J729" s="180">
        <f>I729-F729</f>
        <v>0</v>
      </c>
      <c r="K729" s="180">
        <f>+G729+J729</f>
        <v>0</v>
      </c>
      <c r="L729" s="181">
        <f>E729*'Interest Under Collect '!$J$11</f>
        <v>0</v>
      </c>
      <c r="M729" s="180">
        <f t="shared" si="184"/>
        <v>0</v>
      </c>
      <c r="N729" s="203"/>
    </row>
    <row r="730" spans="1:14" s="185" customFormat="1">
      <c r="B730" s="23" t="s">
        <v>18</v>
      </c>
      <c r="C730" s="222">
        <v>0</v>
      </c>
      <c r="D730" s="225">
        <v>0</v>
      </c>
      <c r="E730" s="223">
        <v>0</v>
      </c>
      <c r="F730" s="224">
        <f t="shared" si="181"/>
        <v>0</v>
      </c>
      <c r="G730" s="180">
        <f t="shared" si="182"/>
        <v>0</v>
      </c>
      <c r="H730" s="635">
        <f>ROUND(F730*'Actual Load'!$B$26/'Zonal Load'!$N$26,2)</f>
        <v>0</v>
      </c>
      <c r="I730" s="180">
        <f t="shared" si="183"/>
        <v>0</v>
      </c>
      <c r="J730" s="180">
        <f t="shared" ref="J730:J748" si="185">I730-F730</f>
        <v>0</v>
      </c>
      <c r="K730" s="180">
        <f t="shared" ref="K730:K748" si="186">+G730+J730</f>
        <v>0</v>
      </c>
      <c r="L730" s="181">
        <f>E730*'Interest Under Collect '!$J$11</f>
        <v>0</v>
      </c>
      <c r="M730" s="180">
        <f t="shared" si="184"/>
        <v>0</v>
      </c>
      <c r="N730" s="203"/>
    </row>
    <row r="731" spans="1:14" s="185" customFormat="1">
      <c r="B731" s="23" t="s">
        <v>19</v>
      </c>
      <c r="C731" s="222">
        <v>0</v>
      </c>
      <c r="D731" s="225">
        <v>0</v>
      </c>
      <c r="E731" s="223">
        <v>0</v>
      </c>
      <c r="F731" s="224">
        <f t="shared" si="181"/>
        <v>0</v>
      </c>
      <c r="G731" s="180">
        <f t="shared" si="182"/>
        <v>0</v>
      </c>
      <c r="H731" s="635">
        <f>ROUND(F731*'Actual Load'!$B$16/'Zonal Load'!$N$16,2)</f>
        <v>0</v>
      </c>
      <c r="I731" s="180">
        <f t="shared" si="183"/>
        <v>0</v>
      </c>
      <c r="J731" s="180">
        <f t="shared" si="185"/>
        <v>0</v>
      </c>
      <c r="K731" s="180">
        <f t="shared" si="186"/>
        <v>0</v>
      </c>
      <c r="L731" s="181">
        <f>E731*'Interest Under Collect '!$J$11</f>
        <v>0</v>
      </c>
      <c r="M731" s="180">
        <f t="shared" si="184"/>
        <v>0</v>
      </c>
      <c r="N731" s="203"/>
    </row>
    <row r="732" spans="1:14" s="185" customFormat="1">
      <c r="B732" s="23" t="s">
        <v>20</v>
      </c>
      <c r="C732" s="222">
        <v>0</v>
      </c>
      <c r="D732" s="225">
        <v>0</v>
      </c>
      <c r="E732" s="223">
        <v>0</v>
      </c>
      <c r="F732" s="224">
        <f t="shared" si="181"/>
        <v>0</v>
      </c>
      <c r="G732" s="180">
        <f t="shared" si="182"/>
        <v>0</v>
      </c>
      <c r="H732" s="635">
        <f>ROUND(F732*'Actual Load'!$B$22/'Zonal Load'!$N$22,2)</f>
        <v>0</v>
      </c>
      <c r="I732" s="180">
        <f t="shared" si="183"/>
        <v>0</v>
      </c>
      <c r="J732" s="180">
        <f t="shared" si="185"/>
        <v>0</v>
      </c>
      <c r="K732" s="180">
        <f t="shared" si="186"/>
        <v>0</v>
      </c>
      <c r="L732" s="181">
        <f>E732*'Interest Under Collect '!$J$11</f>
        <v>0</v>
      </c>
      <c r="M732" s="180">
        <f t="shared" si="184"/>
        <v>0</v>
      </c>
      <c r="N732" s="203"/>
    </row>
    <row r="733" spans="1:14" s="185" customFormat="1">
      <c r="B733" s="23" t="s">
        <v>21</v>
      </c>
      <c r="C733" s="222">
        <v>0</v>
      </c>
      <c r="D733" s="225">
        <v>0</v>
      </c>
      <c r="E733" s="223">
        <v>0</v>
      </c>
      <c r="F733" s="224">
        <f t="shared" si="181"/>
        <v>0</v>
      </c>
      <c r="G733" s="180">
        <f t="shared" si="182"/>
        <v>0</v>
      </c>
      <c r="H733" s="635">
        <f>ROUND(F733*'Actual Load'!$B$17/'Zonal Load'!$N$17,2)</f>
        <v>0</v>
      </c>
      <c r="I733" s="180">
        <f t="shared" si="183"/>
        <v>0</v>
      </c>
      <c r="J733" s="180">
        <f t="shared" si="185"/>
        <v>0</v>
      </c>
      <c r="K733" s="180">
        <f t="shared" si="186"/>
        <v>0</v>
      </c>
      <c r="L733" s="181">
        <f>E733*'Interest Under Collect '!$J$11</f>
        <v>0</v>
      </c>
      <c r="M733" s="180">
        <f t="shared" si="184"/>
        <v>0</v>
      </c>
      <c r="N733" s="203"/>
    </row>
    <row r="734" spans="1:14" s="185" customFormat="1">
      <c r="B734" s="23" t="s">
        <v>22</v>
      </c>
      <c r="C734" s="222">
        <v>0</v>
      </c>
      <c r="D734" s="225">
        <v>0</v>
      </c>
      <c r="E734" s="223">
        <v>0</v>
      </c>
      <c r="F734" s="224">
        <f t="shared" si="181"/>
        <v>0</v>
      </c>
      <c r="G734" s="180">
        <f t="shared" si="182"/>
        <v>0</v>
      </c>
      <c r="H734" s="635">
        <f>ROUND(F734*'Actual Load'!$B$15/'Zonal Load'!$N$15,2)</f>
        <v>0</v>
      </c>
      <c r="I734" s="180">
        <f t="shared" si="183"/>
        <v>0</v>
      </c>
      <c r="J734" s="180">
        <f t="shared" si="185"/>
        <v>0</v>
      </c>
      <c r="K734" s="180">
        <f t="shared" si="186"/>
        <v>0</v>
      </c>
      <c r="L734" s="181">
        <f>E734*'Interest Under Collect '!$J$11</f>
        <v>0</v>
      </c>
      <c r="M734" s="180">
        <f t="shared" si="184"/>
        <v>0</v>
      </c>
      <c r="N734" s="203"/>
    </row>
    <row r="735" spans="1:14" s="185" customFormat="1">
      <c r="B735" s="23" t="s">
        <v>23</v>
      </c>
      <c r="C735" s="222">
        <v>0</v>
      </c>
      <c r="D735" s="225">
        <v>0</v>
      </c>
      <c r="E735" s="223">
        <v>0</v>
      </c>
      <c r="F735" s="224">
        <f t="shared" si="181"/>
        <v>0</v>
      </c>
      <c r="G735" s="180">
        <f t="shared" si="182"/>
        <v>0</v>
      </c>
      <c r="H735" s="635">
        <f>ROUND(F735*'Actual Load'!$B$4/'Zonal Load'!$N$4,2)</f>
        <v>0</v>
      </c>
      <c r="I735" s="180">
        <f t="shared" si="183"/>
        <v>0</v>
      </c>
      <c r="J735" s="180">
        <f t="shared" si="185"/>
        <v>0</v>
      </c>
      <c r="K735" s="180">
        <f t="shared" si="186"/>
        <v>0</v>
      </c>
      <c r="L735" s="181">
        <f>E735*'Interest Under Collect '!$J$11</f>
        <v>0</v>
      </c>
      <c r="M735" s="180">
        <f t="shared" si="184"/>
        <v>0</v>
      </c>
      <c r="N735" s="203"/>
    </row>
    <row r="736" spans="1:14" s="185" customFormat="1">
      <c r="B736" s="23" t="s">
        <v>24</v>
      </c>
      <c r="C736" s="222">
        <v>0</v>
      </c>
      <c r="D736" s="225">
        <v>0</v>
      </c>
      <c r="E736" s="223">
        <v>0</v>
      </c>
      <c r="F736" s="224">
        <f t="shared" si="181"/>
        <v>0</v>
      </c>
      <c r="G736" s="180">
        <f t="shared" si="182"/>
        <v>0</v>
      </c>
      <c r="H736" s="635">
        <f>ROUND(F736*'Actual Load'!$B$11/'Zonal Load'!$N$11,2)</f>
        <v>0</v>
      </c>
      <c r="I736" s="180">
        <f t="shared" si="183"/>
        <v>0</v>
      </c>
      <c r="J736" s="180">
        <f t="shared" si="185"/>
        <v>0</v>
      </c>
      <c r="K736" s="180">
        <f t="shared" si="186"/>
        <v>0</v>
      </c>
      <c r="L736" s="181">
        <f>E736*'Interest Under Collect '!$J$11</f>
        <v>0</v>
      </c>
      <c r="M736" s="180">
        <f t="shared" si="184"/>
        <v>0</v>
      </c>
      <c r="N736" s="203"/>
    </row>
    <row r="737" spans="2:14" s="185" customFormat="1">
      <c r="B737" s="23" t="s">
        <v>26</v>
      </c>
      <c r="C737" s="222">
        <v>0</v>
      </c>
      <c r="D737" s="225">
        <v>0</v>
      </c>
      <c r="E737" s="223">
        <v>0</v>
      </c>
      <c r="F737" s="224">
        <f t="shared" si="181"/>
        <v>0</v>
      </c>
      <c r="G737" s="180">
        <f t="shared" si="182"/>
        <v>0</v>
      </c>
      <c r="H737" s="635">
        <f>ROUND(F737*'Actual Load'!$B$7/'Zonal Load'!$N$7,2)</f>
        <v>0</v>
      </c>
      <c r="I737" s="180">
        <f t="shared" si="183"/>
        <v>0</v>
      </c>
      <c r="J737" s="180">
        <f t="shared" si="185"/>
        <v>0</v>
      </c>
      <c r="K737" s="180">
        <f t="shared" si="186"/>
        <v>0</v>
      </c>
      <c r="L737" s="181">
        <f>E737*'Interest Under Collect '!$J$11</f>
        <v>0</v>
      </c>
      <c r="M737" s="180">
        <f t="shared" si="184"/>
        <v>0</v>
      </c>
      <c r="N737" s="203"/>
    </row>
    <row r="738" spans="2:14" s="185" customFormat="1">
      <c r="B738" s="23" t="s">
        <v>25</v>
      </c>
      <c r="C738" s="222">
        <v>0</v>
      </c>
      <c r="D738" s="225">
        <v>0</v>
      </c>
      <c r="E738" s="223">
        <v>0</v>
      </c>
      <c r="F738" s="224">
        <f t="shared" si="181"/>
        <v>0</v>
      </c>
      <c r="G738" s="180">
        <f t="shared" si="182"/>
        <v>0</v>
      </c>
      <c r="H738" s="635">
        <f>ROUND(F738*'Actual Load'!$B$6/'Zonal Load'!$N$6,2)</f>
        <v>0</v>
      </c>
      <c r="I738" s="180">
        <f t="shared" si="183"/>
        <v>0</v>
      </c>
      <c r="J738" s="180">
        <f t="shared" si="185"/>
        <v>0</v>
      </c>
      <c r="K738" s="180">
        <f t="shared" si="186"/>
        <v>0</v>
      </c>
      <c r="L738" s="181">
        <f>E738*'Interest Under Collect '!$J$11</f>
        <v>0</v>
      </c>
      <c r="M738" s="180">
        <f t="shared" si="184"/>
        <v>0</v>
      </c>
      <c r="N738" s="203"/>
    </row>
    <row r="739" spans="2:14" s="185" customFormat="1">
      <c r="B739" s="23" t="s">
        <v>119</v>
      </c>
      <c r="C739" s="222">
        <v>0</v>
      </c>
      <c r="D739" s="225">
        <v>0</v>
      </c>
      <c r="E739" s="223">
        <v>0</v>
      </c>
      <c r="F739" s="224">
        <f t="shared" si="181"/>
        <v>0</v>
      </c>
      <c r="G739" s="180">
        <f t="shared" si="182"/>
        <v>0</v>
      </c>
      <c r="H739" s="635">
        <f>ROUND(F739*'Actual Load'!$B$18/'Zonal Load'!$N$18,2)</f>
        <v>0</v>
      </c>
      <c r="I739" s="180">
        <f t="shared" si="183"/>
        <v>0</v>
      </c>
      <c r="J739" s="180">
        <f t="shared" si="185"/>
        <v>0</v>
      </c>
      <c r="K739" s="180">
        <f t="shared" si="186"/>
        <v>0</v>
      </c>
      <c r="L739" s="181">
        <f>E739*'Interest Under Collect '!$J$11</f>
        <v>0</v>
      </c>
      <c r="M739" s="180">
        <f t="shared" si="184"/>
        <v>0</v>
      </c>
      <c r="N739" s="203"/>
    </row>
    <row r="740" spans="2:14" s="185" customFormat="1">
      <c r="B740" s="23" t="s">
        <v>120</v>
      </c>
      <c r="C740" s="222">
        <v>0</v>
      </c>
      <c r="D740" s="225">
        <v>0</v>
      </c>
      <c r="E740" s="223">
        <v>0</v>
      </c>
      <c r="F740" s="224">
        <f t="shared" si="181"/>
        <v>0</v>
      </c>
      <c r="G740" s="180">
        <f t="shared" si="182"/>
        <v>0</v>
      </c>
      <c r="H740" s="635">
        <f>ROUND(F740*'Actual Load'!$B$17/'Zonal Load'!$N$17,2)</f>
        <v>0</v>
      </c>
      <c r="I740" s="180">
        <f t="shared" si="183"/>
        <v>0</v>
      </c>
      <c r="J740" s="180">
        <f t="shared" si="185"/>
        <v>0</v>
      </c>
      <c r="K740" s="180">
        <f t="shared" si="186"/>
        <v>0</v>
      </c>
      <c r="L740" s="181">
        <f>E740*'Interest Under Collect '!$J$11</f>
        <v>0</v>
      </c>
      <c r="M740" s="180">
        <f t="shared" si="184"/>
        <v>0</v>
      </c>
      <c r="N740" s="203"/>
    </row>
    <row r="741" spans="2:14" s="185" customFormat="1">
      <c r="B741" s="23" t="s">
        <v>27</v>
      </c>
      <c r="C741" s="222">
        <v>0</v>
      </c>
      <c r="D741" s="225">
        <v>0</v>
      </c>
      <c r="E741" s="223">
        <v>0</v>
      </c>
      <c r="F741" s="224">
        <f t="shared" si="181"/>
        <v>0</v>
      </c>
      <c r="G741" s="180">
        <f t="shared" si="182"/>
        <v>0</v>
      </c>
      <c r="H741" s="635">
        <f>ROUND(F741*'Actual Load'!$B$12/'Zonal Load'!$N$12,2)</f>
        <v>0</v>
      </c>
      <c r="I741" s="180">
        <f t="shared" si="183"/>
        <v>0</v>
      </c>
      <c r="J741" s="180">
        <f t="shared" si="185"/>
        <v>0</v>
      </c>
      <c r="K741" s="180">
        <f t="shared" si="186"/>
        <v>0</v>
      </c>
      <c r="L741" s="181">
        <f>E741*'Interest Under Collect '!$J$11</f>
        <v>0</v>
      </c>
      <c r="M741" s="180">
        <f t="shared" si="184"/>
        <v>0</v>
      </c>
      <c r="N741" s="203"/>
    </row>
    <row r="742" spans="2:14" s="185" customFormat="1">
      <c r="B742" s="23" t="s">
        <v>28</v>
      </c>
      <c r="C742" s="222">
        <v>0</v>
      </c>
      <c r="D742" s="225">
        <v>0</v>
      </c>
      <c r="E742" s="223">
        <v>0</v>
      </c>
      <c r="F742" s="224">
        <f t="shared" si="181"/>
        <v>0</v>
      </c>
      <c r="G742" s="180">
        <f t="shared" si="182"/>
        <v>0</v>
      </c>
      <c r="H742" s="635">
        <f>ROUND(F742*'Actual Load'!$B$24/'Zonal Load'!$N$24,2)</f>
        <v>0</v>
      </c>
      <c r="I742" s="180">
        <f t="shared" si="183"/>
        <v>0</v>
      </c>
      <c r="J742" s="180">
        <f t="shared" si="185"/>
        <v>0</v>
      </c>
      <c r="K742" s="180">
        <f t="shared" si="186"/>
        <v>0</v>
      </c>
      <c r="L742" s="181">
        <f>E742*'Interest Under Collect '!$J$11</f>
        <v>0</v>
      </c>
      <c r="M742" s="180">
        <f t="shared" si="184"/>
        <v>0</v>
      </c>
      <c r="N742" s="203"/>
    </row>
    <row r="743" spans="2:14" s="185" customFormat="1">
      <c r="B743" s="23" t="s">
        <v>29</v>
      </c>
      <c r="C743" s="222">
        <v>0</v>
      </c>
      <c r="D743" s="225">
        <v>0</v>
      </c>
      <c r="E743" s="223">
        <v>0</v>
      </c>
      <c r="F743" s="224">
        <f t="shared" si="181"/>
        <v>0</v>
      </c>
      <c r="G743" s="180">
        <f t="shared" si="182"/>
        <v>0</v>
      </c>
      <c r="H743" s="635">
        <f>ROUND(F743*'Actual Load'!$B$5/'Zonal Load'!$N$5,2)</f>
        <v>0</v>
      </c>
      <c r="I743" s="180">
        <f t="shared" si="183"/>
        <v>0</v>
      </c>
      <c r="J743" s="180">
        <f t="shared" si="185"/>
        <v>0</v>
      </c>
      <c r="K743" s="180">
        <f t="shared" si="186"/>
        <v>0</v>
      </c>
      <c r="L743" s="181">
        <f>E743*'Interest Under Collect '!$J$11</f>
        <v>0</v>
      </c>
      <c r="M743" s="180">
        <f t="shared" si="184"/>
        <v>0</v>
      </c>
      <c r="N743" s="203"/>
    </row>
    <row r="744" spans="2:14" s="185" customFormat="1">
      <c r="B744" s="23" t="s">
        <v>30</v>
      </c>
      <c r="C744" s="222">
        <v>0</v>
      </c>
      <c r="D744" s="225">
        <v>0</v>
      </c>
      <c r="E744" s="223">
        <v>1</v>
      </c>
      <c r="F744" s="224">
        <f t="shared" si="181"/>
        <v>1916027.38</v>
      </c>
      <c r="G744" s="180">
        <f t="shared" si="182"/>
        <v>-403870.5471690339</v>
      </c>
      <c r="H744" s="635">
        <f>ROUND(F744*'Actual Load'!$B$21/'Zonal Load'!$N$21,2)</f>
        <v>1830366.28</v>
      </c>
      <c r="I744" s="180">
        <f t="shared" si="183"/>
        <v>1921148.41</v>
      </c>
      <c r="J744" s="180">
        <f t="shared" si="185"/>
        <v>5121.0300000000279</v>
      </c>
      <c r="K744" s="180">
        <f t="shared" si="186"/>
        <v>-398749.51716903388</v>
      </c>
      <c r="L744" s="181">
        <f>E744*'Interest Under Collect '!$J$11</f>
        <v>-1016.4</v>
      </c>
      <c r="M744" s="180">
        <f t="shared" si="184"/>
        <v>-399765.9171690339</v>
      </c>
      <c r="N744" s="203"/>
    </row>
    <row r="745" spans="2:14" s="185" customFormat="1">
      <c r="B745" s="23" t="s">
        <v>31</v>
      </c>
      <c r="C745" s="222">
        <v>0</v>
      </c>
      <c r="D745" s="225">
        <v>0</v>
      </c>
      <c r="E745" s="223">
        <v>0</v>
      </c>
      <c r="F745" s="224">
        <f t="shared" si="181"/>
        <v>0</v>
      </c>
      <c r="G745" s="180">
        <f t="shared" si="182"/>
        <v>0</v>
      </c>
      <c r="H745" s="635">
        <f>ROUND(F745*'Actual Load'!$B$19/'Zonal Load'!$N$19,2)</f>
        <v>0</v>
      </c>
      <c r="I745" s="180">
        <f t="shared" si="183"/>
        <v>0</v>
      </c>
      <c r="J745" s="180">
        <f t="shared" si="185"/>
        <v>0</v>
      </c>
      <c r="K745" s="180">
        <f t="shared" si="186"/>
        <v>0</v>
      </c>
      <c r="L745" s="181">
        <f>E745*'Interest Under Collect '!$J$11</f>
        <v>0</v>
      </c>
      <c r="M745" s="180">
        <f t="shared" si="184"/>
        <v>0</v>
      </c>
      <c r="N745" s="203"/>
    </row>
    <row r="746" spans="2:14" s="185" customFormat="1">
      <c r="B746" s="23" t="s">
        <v>32</v>
      </c>
      <c r="C746" s="222">
        <v>0</v>
      </c>
      <c r="D746" s="225">
        <v>0</v>
      </c>
      <c r="E746" s="223">
        <v>0</v>
      </c>
      <c r="F746" s="224">
        <f t="shared" si="181"/>
        <v>0</v>
      </c>
      <c r="G746" s="180">
        <f t="shared" si="182"/>
        <v>0</v>
      </c>
      <c r="H746" s="635">
        <f>ROUND(F746*'Actual Load'!$B$25/'Zonal Load'!$N$25,2)</f>
        <v>0</v>
      </c>
      <c r="I746" s="180">
        <f t="shared" si="183"/>
        <v>0</v>
      </c>
      <c r="J746" s="180">
        <f t="shared" si="185"/>
        <v>0</v>
      </c>
      <c r="K746" s="180">
        <f t="shared" si="186"/>
        <v>0</v>
      </c>
      <c r="L746" s="181">
        <f>E746*'Interest Under Collect '!$J$11</f>
        <v>0</v>
      </c>
      <c r="M746" s="180">
        <f t="shared" si="184"/>
        <v>0</v>
      </c>
      <c r="N746" s="203"/>
    </row>
    <row r="747" spans="2:14" s="185" customFormat="1">
      <c r="B747" s="23" t="s">
        <v>33</v>
      </c>
      <c r="C747" s="222">
        <v>0</v>
      </c>
      <c r="D747" s="225">
        <v>0</v>
      </c>
      <c r="E747" s="223">
        <v>0</v>
      </c>
      <c r="F747" s="224">
        <f t="shared" si="181"/>
        <v>0</v>
      </c>
      <c r="G747" s="180">
        <f t="shared" si="182"/>
        <v>0</v>
      </c>
      <c r="H747" s="635">
        <f>ROUND(F747*'Actual Load'!$B$13/'Zonal Load'!$N$13,2)</f>
        <v>0</v>
      </c>
      <c r="I747" s="180">
        <f t="shared" si="183"/>
        <v>0</v>
      </c>
      <c r="J747" s="180">
        <f t="shared" si="185"/>
        <v>0</v>
      </c>
      <c r="K747" s="180">
        <f t="shared" si="186"/>
        <v>0</v>
      </c>
      <c r="L747" s="181">
        <f>E747*'Interest Under Collect '!$J$11</f>
        <v>0</v>
      </c>
      <c r="M747" s="180">
        <f t="shared" si="184"/>
        <v>0</v>
      </c>
      <c r="N747" s="203"/>
    </row>
    <row r="748" spans="2:14" s="185" customFormat="1">
      <c r="B748" s="23" t="s">
        <v>34</v>
      </c>
      <c r="C748" s="222">
        <v>0</v>
      </c>
      <c r="D748" s="225">
        <v>0</v>
      </c>
      <c r="E748" s="223">
        <v>0</v>
      </c>
      <c r="F748" s="224">
        <f t="shared" si="181"/>
        <v>0</v>
      </c>
      <c r="G748" s="180">
        <f t="shared" si="182"/>
        <v>0</v>
      </c>
      <c r="H748" s="635">
        <f>ROUND(F748*'Actual Load'!$B$23/'Zonal Load'!$N$23,2)</f>
        <v>0</v>
      </c>
      <c r="I748" s="180">
        <f t="shared" si="183"/>
        <v>0</v>
      </c>
      <c r="J748" s="180">
        <f t="shared" si="185"/>
        <v>0</v>
      </c>
      <c r="K748" s="180">
        <f t="shared" si="186"/>
        <v>0</v>
      </c>
      <c r="L748" s="181">
        <f>E748*'Interest Under Collect '!$J$11</f>
        <v>0</v>
      </c>
      <c r="M748" s="180">
        <f t="shared" si="184"/>
        <v>0</v>
      </c>
      <c r="N748" s="203"/>
    </row>
    <row r="749" spans="2:14" s="185" customFormat="1">
      <c r="B749" s="205" t="s">
        <v>35</v>
      </c>
      <c r="C749" s="222">
        <v>0</v>
      </c>
      <c r="D749" s="225">
        <v>0</v>
      </c>
      <c r="E749" s="223">
        <v>0</v>
      </c>
      <c r="F749" s="224">
        <f t="shared" si="181"/>
        <v>0</v>
      </c>
      <c r="G749" s="180">
        <f t="shared" si="182"/>
        <v>0</v>
      </c>
      <c r="H749" s="635">
        <f>ROUND(F749*'Actual Load'!$B$20/'Zonal Load'!$N$20,2)</f>
        <v>0</v>
      </c>
      <c r="I749" s="180">
        <f t="shared" si="183"/>
        <v>0</v>
      </c>
      <c r="J749" s="180">
        <f>I749-F749</f>
        <v>0</v>
      </c>
      <c r="K749" s="180">
        <f>+G749+J749</f>
        <v>0</v>
      </c>
      <c r="L749" s="181">
        <f>E749*'Interest Under Collect '!$J$11</f>
        <v>0</v>
      </c>
      <c r="M749" s="180">
        <f t="shared" si="184"/>
        <v>0</v>
      </c>
      <c r="N749" s="203"/>
    </row>
    <row r="750" spans="2:14" s="185" customFormat="1">
      <c r="B750" s="205" t="s">
        <v>112</v>
      </c>
      <c r="C750" s="222">
        <v>0</v>
      </c>
      <c r="D750" s="225">
        <v>0</v>
      </c>
      <c r="E750" s="223">
        <v>0</v>
      </c>
      <c r="F750" s="224">
        <f t="shared" si="181"/>
        <v>0</v>
      </c>
      <c r="G750" s="180">
        <f t="shared" si="182"/>
        <v>0</v>
      </c>
      <c r="H750" s="635">
        <f>ROUND(F750*'Actual Load'!$B$27/'Zonal Load'!$N$27,2)</f>
        <v>0</v>
      </c>
      <c r="I750" s="180">
        <f t="shared" si="183"/>
        <v>0</v>
      </c>
      <c r="J750" s="180">
        <f>I750-F750</f>
        <v>0</v>
      </c>
      <c r="K750" s="180">
        <f>+G750+J750</f>
        <v>0</v>
      </c>
      <c r="L750" s="181">
        <f>E750*'Interest Under Collect '!$J$11</f>
        <v>0</v>
      </c>
      <c r="M750" s="180">
        <f t="shared" si="184"/>
        <v>0</v>
      </c>
      <c r="N750" s="203"/>
    </row>
    <row r="751" spans="2:14" s="185" customFormat="1">
      <c r="B751" s="205" t="s">
        <v>113</v>
      </c>
      <c r="C751" s="222">
        <v>0</v>
      </c>
      <c r="D751" s="225">
        <v>0</v>
      </c>
      <c r="E751" s="223">
        <v>0</v>
      </c>
      <c r="F751" s="224">
        <f t="shared" si="181"/>
        <v>0</v>
      </c>
      <c r="G751" s="180">
        <f t="shared" si="182"/>
        <v>0</v>
      </c>
      <c r="H751" s="635">
        <f>ROUND(F751*'Actual Load'!$B$28/'Zonal Load'!$N$28,2)</f>
        <v>0</v>
      </c>
      <c r="I751" s="180">
        <f t="shared" si="183"/>
        <v>0</v>
      </c>
      <c r="J751" s="180">
        <f>I751-F751</f>
        <v>0</v>
      </c>
      <c r="K751" s="180">
        <f>+G751+J751</f>
        <v>0</v>
      </c>
      <c r="L751" s="181">
        <f>E751*'Interest Under Collect '!$J$11</f>
        <v>0</v>
      </c>
      <c r="M751" s="180">
        <f t="shared" si="184"/>
        <v>0</v>
      </c>
      <c r="N751" s="203"/>
    </row>
    <row r="752" spans="2:14" s="185" customFormat="1">
      <c r="B752" s="205" t="s">
        <v>121</v>
      </c>
      <c r="C752" s="222">
        <v>0</v>
      </c>
      <c r="D752" s="225">
        <v>0</v>
      </c>
      <c r="E752" s="223">
        <v>0</v>
      </c>
      <c r="F752" s="224">
        <f t="shared" si="181"/>
        <v>0</v>
      </c>
      <c r="G752" s="180">
        <f t="shared" si="182"/>
        <v>0</v>
      </c>
      <c r="H752" s="635">
        <f>ROUND(F752*'Actual Load'!$B$29/'Zonal Load'!$N$29,2)</f>
        <v>0</v>
      </c>
      <c r="I752" s="180">
        <f t="shared" si="183"/>
        <v>0</v>
      </c>
      <c r="J752" s="180">
        <f>I752-F752</f>
        <v>0</v>
      </c>
      <c r="K752" s="180">
        <f>+G752+J752</f>
        <v>0</v>
      </c>
      <c r="L752" s="181">
        <f>E752*'Interest Under Collect '!$J$11</f>
        <v>0</v>
      </c>
      <c r="M752" s="180">
        <f t="shared" si="184"/>
        <v>0</v>
      </c>
      <c r="N752" s="203"/>
    </row>
    <row r="753" spans="2:14" s="172" customFormat="1">
      <c r="B753" s="205" t="s">
        <v>122</v>
      </c>
      <c r="C753" s="19">
        <v>0</v>
      </c>
      <c r="D753" s="20">
        <v>0</v>
      </c>
      <c r="E753" s="223">
        <v>0</v>
      </c>
      <c r="F753" s="224">
        <f t="shared" si="181"/>
        <v>0</v>
      </c>
      <c r="G753" s="180">
        <f t="shared" si="182"/>
        <v>0</v>
      </c>
      <c r="H753" s="635">
        <f>ROUND(F753*'Actual Load'!$B$30/'Zonal Load'!$N$30,2)</f>
        <v>0</v>
      </c>
      <c r="I753" s="180">
        <f t="shared" si="183"/>
        <v>0</v>
      </c>
      <c r="J753" s="180">
        <f>I753-F753</f>
        <v>0</v>
      </c>
      <c r="K753" s="180">
        <f>+G753+J753</f>
        <v>0</v>
      </c>
      <c r="L753" s="181">
        <f>E753*'Interest Under Collect '!$J$11</f>
        <v>0</v>
      </c>
      <c r="M753" s="180">
        <f t="shared" ref="M753" si="187">+K753+L753</f>
        <v>0</v>
      </c>
      <c r="N753" s="203"/>
    </row>
    <row r="754" spans="2:14" s="172" customFormat="1">
      <c r="B754" s="559"/>
      <c r="C754" s="558">
        <f>SUM(C726:C752)</f>
        <v>0</v>
      </c>
      <c r="D754" s="27">
        <f>SUM(D726:D752)</f>
        <v>0</v>
      </c>
      <c r="E754" s="100">
        <f>SUM(E726:E752)</f>
        <v>1</v>
      </c>
      <c r="F754" s="95">
        <f>SUM(F726:F752)</f>
        <v>1916027.38</v>
      </c>
      <c r="G754" s="138">
        <f>SUM(G726:G752)</f>
        <v>-403870.5471690339</v>
      </c>
      <c r="H754" s="138">
        <f t="shared" ref="H754:M754" si="188">SUM(H726:H752)</f>
        <v>1830366.28</v>
      </c>
      <c r="I754" s="138">
        <f t="shared" si="188"/>
        <v>1921148.41</v>
      </c>
      <c r="J754" s="138">
        <f t="shared" si="188"/>
        <v>5121.0300000000279</v>
      </c>
      <c r="K754" s="587">
        <f t="shared" si="188"/>
        <v>-398749.51716903388</v>
      </c>
      <c r="L754" s="138">
        <f t="shared" si="188"/>
        <v>-1016.4</v>
      </c>
      <c r="M754" s="138">
        <f t="shared" si="188"/>
        <v>-399765.9171690339</v>
      </c>
      <c r="N754" s="203"/>
    </row>
    <row r="755" spans="2:14" s="172" customFormat="1">
      <c r="G755" s="21"/>
      <c r="H755" s="133"/>
      <c r="I755" s="80"/>
      <c r="J755" s="91"/>
      <c r="N755" s="203"/>
    </row>
    <row r="756" spans="2:14" s="172" customFormat="1">
      <c r="E756" s="96" t="s">
        <v>618</v>
      </c>
      <c r="F756" s="178">
        <v>1916027.3773732749</v>
      </c>
      <c r="G756" s="21"/>
      <c r="H756" s="133"/>
      <c r="J756" s="91"/>
      <c r="N756" s="203"/>
    </row>
    <row r="757" spans="2:14" s="172" customFormat="1">
      <c r="E757" s="97" t="s">
        <v>619</v>
      </c>
      <c r="F757" s="179">
        <v>2319897.9245423088</v>
      </c>
      <c r="G757" s="632">
        <f>F756-F757</f>
        <v>-403870.5471690339</v>
      </c>
      <c r="H757" s="633"/>
      <c r="I757" s="29"/>
      <c r="J757" s="91"/>
      <c r="L757" s="84"/>
      <c r="N757" s="203"/>
    </row>
    <row r="758" spans="2:14" s="172" customFormat="1">
      <c r="E758" s="97" t="s">
        <v>160</v>
      </c>
      <c r="F758" s="186">
        <f>I754</f>
        <v>1921148.41</v>
      </c>
      <c r="G758" s="632">
        <f>F758-F756</f>
        <v>5121.0326267250348</v>
      </c>
      <c r="H758" s="634"/>
      <c r="I758" s="29"/>
      <c r="J758" s="91"/>
      <c r="L758" s="84"/>
      <c r="N758" s="203"/>
    </row>
    <row r="759" spans="2:14" s="172" customFormat="1">
      <c r="G759" s="632">
        <f>G757+G758</f>
        <v>-398749.51454230887</v>
      </c>
      <c r="H759" s="633">
        <f>F758-F757</f>
        <v>-398749.51454230887</v>
      </c>
      <c r="I759" s="29"/>
      <c r="J759" s="91"/>
      <c r="L759" s="84"/>
      <c r="N759" s="203"/>
    </row>
    <row r="760" spans="2:14" s="172" customFormat="1">
      <c r="B760" s="82"/>
      <c r="C760" s="82"/>
      <c r="D760" s="82"/>
      <c r="E760" s="82"/>
      <c r="F760" s="82"/>
      <c r="G760" s="82"/>
      <c r="H760" s="82"/>
      <c r="I760" s="82"/>
      <c r="J760" s="111"/>
      <c r="K760" s="82"/>
      <c r="L760" s="82"/>
      <c r="M760" s="82"/>
      <c r="N760" s="203"/>
    </row>
    <row r="761" spans="2:14" s="172" customFormat="1">
      <c r="H761" s="133"/>
      <c r="J761" s="91"/>
      <c r="L761" s="185"/>
      <c r="N761" s="203"/>
    </row>
    <row r="762" spans="2:14" s="172" customFormat="1">
      <c r="B762" s="640" t="s">
        <v>0</v>
      </c>
      <c r="C762" s="641"/>
      <c r="D762" s="642">
        <v>3775</v>
      </c>
      <c r="E762" s="643"/>
      <c r="F762" s="643"/>
      <c r="G762" s="643"/>
      <c r="H762" s="644"/>
      <c r="I762" s="150"/>
      <c r="J762" s="1"/>
      <c r="N762" s="203"/>
    </row>
    <row r="763" spans="2:14" s="172" customFormat="1">
      <c r="B763" s="645" t="s">
        <v>2</v>
      </c>
      <c r="C763" s="646"/>
      <c r="D763" s="647" t="s">
        <v>634</v>
      </c>
      <c r="E763" s="648"/>
      <c r="F763" s="648"/>
      <c r="G763" s="648"/>
      <c r="H763" s="649"/>
      <c r="I763" s="151"/>
      <c r="J763" s="1"/>
      <c r="N763" s="203"/>
    </row>
    <row r="764" spans="2:14" s="172" customFormat="1">
      <c r="B764" s="645" t="s">
        <v>4</v>
      </c>
      <c r="C764" s="646"/>
      <c r="D764" s="650"/>
      <c r="E764" s="651"/>
      <c r="F764" s="651"/>
      <c r="G764" s="651"/>
      <c r="H764" s="652"/>
      <c r="I764" s="152"/>
      <c r="J764" s="1"/>
      <c r="N764" s="203"/>
    </row>
    <row r="765" spans="2:14" s="172" customFormat="1">
      <c r="B765" s="653" t="s">
        <v>6</v>
      </c>
      <c r="C765" s="654"/>
      <c r="D765" s="655" t="s">
        <v>30</v>
      </c>
      <c r="E765" s="656"/>
      <c r="F765" s="656"/>
      <c r="G765" s="656"/>
      <c r="H765" s="657"/>
      <c r="I765" s="153"/>
      <c r="J765" s="1"/>
      <c r="N765" s="203"/>
    </row>
    <row r="766" spans="2:14" s="172" customFormat="1">
      <c r="B766" s="76"/>
      <c r="C766" s="76"/>
      <c r="D766" s="76"/>
      <c r="E766" s="76"/>
      <c r="F766" s="76"/>
      <c r="H766" s="557"/>
      <c r="J766" s="105" t="s">
        <v>163</v>
      </c>
      <c r="K766" s="3" t="s">
        <v>42</v>
      </c>
      <c r="M766" s="3" t="s">
        <v>56</v>
      </c>
      <c r="N766" s="203"/>
    </row>
    <row r="767" spans="2:14" s="172" customFormat="1">
      <c r="B767" s="76"/>
      <c r="C767" s="76"/>
      <c r="D767" s="76"/>
      <c r="E767" s="76"/>
      <c r="F767" s="76"/>
      <c r="G767" s="3" t="s">
        <v>39</v>
      </c>
      <c r="H767" s="134" t="s">
        <v>40</v>
      </c>
      <c r="I767" s="98" t="s">
        <v>41</v>
      </c>
      <c r="J767" s="106" t="s">
        <v>164</v>
      </c>
      <c r="K767" s="4" t="s">
        <v>165</v>
      </c>
      <c r="L767" s="4" t="s">
        <v>55</v>
      </c>
      <c r="M767" s="4" t="s">
        <v>166</v>
      </c>
      <c r="N767" s="203"/>
    </row>
    <row r="768" spans="2:14" s="172" customFormat="1">
      <c r="B768" s="76"/>
      <c r="C768" s="76"/>
      <c r="D768" s="76"/>
      <c r="E768" s="76"/>
      <c r="F768" s="76"/>
      <c r="G768" s="5"/>
      <c r="H768" s="658" t="s">
        <v>43</v>
      </c>
      <c r="I768" s="659"/>
      <c r="J768" s="660"/>
      <c r="K768" s="6" t="s">
        <v>44</v>
      </c>
      <c r="L768" s="5"/>
      <c r="M768" s="6" t="s">
        <v>45</v>
      </c>
      <c r="N768" s="203"/>
    </row>
    <row r="769" spans="1:14" s="172" customFormat="1">
      <c r="B769" s="77"/>
      <c r="C769" s="7">
        <v>0.2</v>
      </c>
      <c r="D769" s="7">
        <v>0.8</v>
      </c>
      <c r="E769" s="7"/>
      <c r="F769" s="92" t="s">
        <v>162</v>
      </c>
      <c r="G769" s="8" t="s">
        <v>46</v>
      </c>
      <c r="H769" s="135"/>
      <c r="I769" s="5"/>
      <c r="J769" s="107" t="s">
        <v>47</v>
      </c>
      <c r="K769" s="8" t="s">
        <v>48</v>
      </c>
      <c r="L769" s="9"/>
      <c r="M769" s="8" t="s">
        <v>49</v>
      </c>
      <c r="N769" s="203"/>
    </row>
    <row r="770" spans="1:14" s="172" customFormat="1">
      <c r="B770" s="10"/>
      <c r="C770" s="69" t="s">
        <v>9</v>
      </c>
      <c r="D770" s="69" t="s">
        <v>10</v>
      </c>
      <c r="E770" s="69" t="s">
        <v>11</v>
      </c>
      <c r="F770" s="93" t="s">
        <v>8</v>
      </c>
      <c r="G770" s="11" t="s">
        <v>50</v>
      </c>
      <c r="H770" s="136" t="s">
        <v>51</v>
      </c>
      <c r="I770" s="12" t="s">
        <v>159</v>
      </c>
      <c r="J770" s="108" t="s">
        <v>50</v>
      </c>
      <c r="K770" s="12" t="s">
        <v>50</v>
      </c>
      <c r="L770" s="12" t="s">
        <v>52</v>
      </c>
      <c r="M770" s="12" t="s">
        <v>53</v>
      </c>
      <c r="N770" s="203"/>
    </row>
    <row r="771" spans="1:14" s="172" customFormat="1" ht="31.5">
      <c r="B771" s="13" t="s">
        <v>13</v>
      </c>
      <c r="C771" s="14" t="s">
        <v>14</v>
      </c>
      <c r="D771" s="14" t="s">
        <v>14</v>
      </c>
      <c r="E771" s="15" t="s">
        <v>14</v>
      </c>
      <c r="F771" s="94" t="s">
        <v>15</v>
      </c>
      <c r="G771" s="16" t="s">
        <v>54</v>
      </c>
      <c r="H771" s="137"/>
      <c r="I771" s="17"/>
      <c r="J771" s="109" t="s">
        <v>54</v>
      </c>
      <c r="K771" s="17"/>
      <c r="L771" s="17"/>
      <c r="M771" s="16" t="s">
        <v>54</v>
      </c>
      <c r="N771" s="203"/>
    </row>
    <row r="772" spans="1:14" s="185" customFormat="1">
      <c r="B772" s="18" t="s">
        <v>16</v>
      </c>
      <c r="C772" s="222">
        <v>0</v>
      </c>
      <c r="D772" s="225">
        <v>0</v>
      </c>
      <c r="E772" s="223">
        <v>0</v>
      </c>
      <c r="F772" s="226">
        <f t="shared" ref="F772:F799" si="189">ROUND(+E772*F$802,2)</f>
        <v>0</v>
      </c>
      <c r="G772" s="180">
        <f t="shared" ref="G772:G799" si="190">(F$802-F$803)*E772</f>
        <v>0</v>
      </c>
      <c r="H772" s="635">
        <f>ROUND(F772*'Actual Load'!$B$8/'Zonal Load'!$N$8,2)</f>
        <v>0</v>
      </c>
      <c r="I772" s="180">
        <f t="shared" ref="I772:I799" si="191">ROUND((H772*$H$912)/$H$910,2)</f>
        <v>0</v>
      </c>
      <c r="J772" s="180">
        <f>I772-F772</f>
        <v>0</v>
      </c>
      <c r="K772" s="180">
        <f>+G772+J772</f>
        <v>0</v>
      </c>
      <c r="L772" s="181">
        <f>E772*'Interest Under Collect '!$J$12</f>
        <v>0</v>
      </c>
      <c r="M772" s="180">
        <f t="shared" ref="M772:M799" si="192">+K772+L772</f>
        <v>0</v>
      </c>
      <c r="N772" s="203"/>
    </row>
    <row r="773" spans="1:14" s="185" customFormat="1">
      <c r="B773" s="23" t="s">
        <v>17</v>
      </c>
      <c r="C773" s="222">
        <v>0</v>
      </c>
      <c r="D773" s="225">
        <v>0</v>
      </c>
      <c r="E773" s="223">
        <v>0</v>
      </c>
      <c r="F773" s="224">
        <f t="shared" si="189"/>
        <v>0</v>
      </c>
      <c r="G773" s="180">
        <f t="shared" si="190"/>
        <v>0</v>
      </c>
      <c r="H773" s="635">
        <f>ROUND(F773*'Actual Load'!$B$14/'Zonal Load'!$N$14,2)</f>
        <v>0</v>
      </c>
      <c r="I773" s="180">
        <f t="shared" si="191"/>
        <v>0</v>
      </c>
      <c r="J773" s="180">
        <f>I773-F773</f>
        <v>0</v>
      </c>
      <c r="K773" s="180">
        <f>+G773+J773</f>
        <v>0</v>
      </c>
      <c r="L773" s="181">
        <f>E773*'Interest Under Collect '!$J$12</f>
        <v>0</v>
      </c>
      <c r="M773" s="180">
        <f t="shared" si="192"/>
        <v>0</v>
      </c>
      <c r="N773" s="203"/>
    </row>
    <row r="774" spans="1:14" s="185" customFormat="1">
      <c r="B774" s="23" t="s">
        <v>201</v>
      </c>
      <c r="C774" s="222">
        <v>0</v>
      </c>
      <c r="D774" s="225">
        <v>0</v>
      </c>
      <c r="E774" s="223">
        <v>0</v>
      </c>
      <c r="F774" s="224">
        <f t="shared" si="189"/>
        <v>0</v>
      </c>
      <c r="G774" s="180">
        <f t="shared" si="190"/>
        <v>0</v>
      </c>
      <c r="H774" s="635">
        <f>ROUND(F774*'Actual Load'!$B$9/'Zonal Load'!$N$9,2)</f>
        <v>0</v>
      </c>
      <c r="I774" s="180">
        <f t="shared" si="191"/>
        <v>0</v>
      </c>
      <c r="J774" s="180">
        <f>I774-F774</f>
        <v>0</v>
      </c>
      <c r="K774" s="180">
        <f>+G774+J774</f>
        <v>0</v>
      </c>
      <c r="L774" s="181">
        <f>E774*'Interest Under Collect '!$J$12</f>
        <v>0</v>
      </c>
      <c r="M774" s="180">
        <f t="shared" ref="M774" si="193">+K774+L774</f>
        <v>0</v>
      </c>
      <c r="N774" s="203"/>
    </row>
    <row r="775" spans="1:14" s="185" customFormat="1">
      <c r="B775" s="132" t="s">
        <v>260</v>
      </c>
      <c r="C775" s="222">
        <v>0</v>
      </c>
      <c r="D775" s="225">
        <v>0</v>
      </c>
      <c r="E775" s="223">
        <v>0</v>
      </c>
      <c r="F775" s="224">
        <f t="shared" si="189"/>
        <v>0</v>
      </c>
      <c r="G775" s="180">
        <f t="shared" si="190"/>
        <v>0</v>
      </c>
      <c r="H775" s="635">
        <f>ROUND(F775*'Actual Load'!$B$10/'Zonal Load'!$N$10,2)</f>
        <v>0</v>
      </c>
      <c r="I775" s="180">
        <f t="shared" si="191"/>
        <v>0</v>
      </c>
      <c r="J775" s="180">
        <f>I775-F775</f>
        <v>0</v>
      </c>
      <c r="K775" s="180">
        <f>+G775+J775</f>
        <v>0</v>
      </c>
      <c r="L775" s="181">
        <f>E775*'Interest Under Collect '!$J$12</f>
        <v>0</v>
      </c>
      <c r="M775" s="180">
        <f t="shared" si="192"/>
        <v>0</v>
      </c>
      <c r="N775" s="203"/>
    </row>
    <row r="776" spans="1:14" s="185" customFormat="1">
      <c r="B776" s="23" t="s">
        <v>18</v>
      </c>
      <c r="C776" s="222">
        <v>0</v>
      </c>
      <c r="D776" s="225">
        <v>0</v>
      </c>
      <c r="E776" s="223">
        <v>0</v>
      </c>
      <c r="F776" s="224">
        <f t="shared" si="189"/>
        <v>0</v>
      </c>
      <c r="G776" s="180">
        <f t="shared" si="190"/>
        <v>0</v>
      </c>
      <c r="H776" s="635">
        <f>ROUND(F776*'Actual Load'!$B$26/'Zonal Load'!$N$26,2)</f>
        <v>0</v>
      </c>
      <c r="I776" s="180">
        <f t="shared" si="191"/>
        <v>0</v>
      </c>
      <c r="J776" s="180">
        <f t="shared" ref="J776:J794" si="194">I776-F776</f>
        <v>0</v>
      </c>
      <c r="K776" s="180">
        <f t="shared" ref="K776:K794" si="195">+G776+J776</f>
        <v>0</v>
      </c>
      <c r="L776" s="181">
        <f>E776*'Interest Under Collect '!$J$12</f>
        <v>0</v>
      </c>
      <c r="M776" s="180">
        <f t="shared" si="192"/>
        <v>0</v>
      </c>
      <c r="N776" s="203"/>
    </row>
    <row r="777" spans="1:14" s="185" customFormat="1">
      <c r="B777" s="23" t="s">
        <v>19</v>
      </c>
      <c r="C777" s="222">
        <v>0</v>
      </c>
      <c r="D777" s="225">
        <v>0</v>
      </c>
      <c r="E777" s="223">
        <v>0</v>
      </c>
      <c r="F777" s="224">
        <f t="shared" si="189"/>
        <v>0</v>
      </c>
      <c r="G777" s="180">
        <f t="shared" si="190"/>
        <v>0</v>
      </c>
      <c r="H777" s="635">
        <f>ROUND(F777*'Actual Load'!$B$16/'Zonal Load'!$N$16,2)</f>
        <v>0</v>
      </c>
      <c r="I777" s="180">
        <f t="shared" si="191"/>
        <v>0</v>
      </c>
      <c r="J777" s="180">
        <f t="shared" si="194"/>
        <v>0</v>
      </c>
      <c r="K777" s="180">
        <f t="shared" si="195"/>
        <v>0</v>
      </c>
      <c r="L777" s="181">
        <f>E777*'Interest Under Collect '!$J$12</f>
        <v>0</v>
      </c>
      <c r="M777" s="180">
        <f t="shared" si="192"/>
        <v>0</v>
      </c>
      <c r="N777" s="203"/>
    </row>
    <row r="778" spans="1:14" s="185" customFormat="1">
      <c r="B778" s="23" t="s">
        <v>20</v>
      </c>
      <c r="C778" s="222">
        <v>0</v>
      </c>
      <c r="D778" s="225">
        <v>0</v>
      </c>
      <c r="E778" s="223">
        <v>0</v>
      </c>
      <c r="F778" s="224">
        <f t="shared" si="189"/>
        <v>0</v>
      </c>
      <c r="G778" s="180">
        <f t="shared" si="190"/>
        <v>0</v>
      </c>
      <c r="H778" s="635">
        <f>ROUND(F778*'Actual Load'!$B$22/'Zonal Load'!$N$22,2)</f>
        <v>0</v>
      </c>
      <c r="I778" s="180">
        <f t="shared" si="191"/>
        <v>0</v>
      </c>
      <c r="J778" s="180">
        <f t="shared" si="194"/>
        <v>0</v>
      </c>
      <c r="K778" s="180">
        <f t="shared" si="195"/>
        <v>0</v>
      </c>
      <c r="L778" s="181">
        <f>E778*'Interest Under Collect '!$J$12</f>
        <v>0</v>
      </c>
      <c r="M778" s="180">
        <f t="shared" si="192"/>
        <v>0</v>
      </c>
      <c r="N778" s="203"/>
    </row>
    <row r="779" spans="1:14" s="185" customFormat="1">
      <c r="B779" s="23" t="s">
        <v>21</v>
      </c>
      <c r="C779" s="222">
        <v>0</v>
      </c>
      <c r="D779" s="225">
        <v>0</v>
      </c>
      <c r="E779" s="223">
        <v>0</v>
      </c>
      <c r="F779" s="224">
        <f t="shared" si="189"/>
        <v>0</v>
      </c>
      <c r="G779" s="180">
        <f t="shared" si="190"/>
        <v>0</v>
      </c>
      <c r="H779" s="635">
        <f>ROUND(F779*'Actual Load'!$B$17/'Zonal Load'!$N$17,2)</f>
        <v>0</v>
      </c>
      <c r="I779" s="180">
        <f t="shared" si="191"/>
        <v>0</v>
      </c>
      <c r="J779" s="180">
        <f t="shared" si="194"/>
        <v>0</v>
      </c>
      <c r="K779" s="180">
        <f t="shared" si="195"/>
        <v>0</v>
      </c>
      <c r="L779" s="181">
        <f>E779*'Interest Under Collect '!$J$12</f>
        <v>0</v>
      </c>
      <c r="M779" s="180">
        <f t="shared" si="192"/>
        <v>0</v>
      </c>
      <c r="N779" s="203"/>
    </row>
    <row r="780" spans="1:14" s="185" customFormat="1">
      <c r="B780" s="23" t="s">
        <v>22</v>
      </c>
      <c r="C780" s="222">
        <v>0</v>
      </c>
      <c r="D780" s="225">
        <v>0</v>
      </c>
      <c r="E780" s="223">
        <v>0</v>
      </c>
      <c r="F780" s="224">
        <f t="shared" si="189"/>
        <v>0</v>
      </c>
      <c r="G780" s="180">
        <f t="shared" si="190"/>
        <v>0</v>
      </c>
      <c r="H780" s="635">
        <f>ROUND(F780*'Actual Load'!$B$15/'Zonal Load'!$N$15,2)</f>
        <v>0</v>
      </c>
      <c r="I780" s="180">
        <f t="shared" si="191"/>
        <v>0</v>
      </c>
      <c r="J780" s="180">
        <f t="shared" si="194"/>
        <v>0</v>
      </c>
      <c r="K780" s="180">
        <f t="shared" si="195"/>
        <v>0</v>
      </c>
      <c r="L780" s="181">
        <f>E780*'Interest Under Collect '!$J$12</f>
        <v>0</v>
      </c>
      <c r="M780" s="180">
        <f t="shared" si="192"/>
        <v>0</v>
      </c>
      <c r="N780" s="203"/>
    </row>
    <row r="781" spans="1:14" s="185" customFormat="1">
      <c r="B781" s="23" t="s">
        <v>23</v>
      </c>
      <c r="C781" s="222">
        <v>0</v>
      </c>
      <c r="D781" s="225">
        <v>0</v>
      </c>
      <c r="E781" s="223">
        <v>0</v>
      </c>
      <c r="F781" s="224">
        <f t="shared" si="189"/>
        <v>0</v>
      </c>
      <c r="G781" s="180">
        <f t="shared" si="190"/>
        <v>0</v>
      </c>
      <c r="H781" s="635">
        <f>ROUND(F781*'Actual Load'!$B$4/'Zonal Load'!$N$4,2)</f>
        <v>0</v>
      </c>
      <c r="I781" s="180">
        <f t="shared" si="191"/>
        <v>0</v>
      </c>
      <c r="J781" s="180">
        <f t="shared" si="194"/>
        <v>0</v>
      </c>
      <c r="K781" s="180">
        <f t="shared" si="195"/>
        <v>0</v>
      </c>
      <c r="L781" s="181">
        <f>E781*'Interest Under Collect '!$J$12</f>
        <v>0</v>
      </c>
      <c r="M781" s="180">
        <f t="shared" si="192"/>
        <v>0</v>
      </c>
      <c r="N781" s="203"/>
    </row>
    <row r="782" spans="1:14" s="185" customFormat="1">
      <c r="B782" s="23" t="s">
        <v>24</v>
      </c>
      <c r="C782" s="222">
        <v>0</v>
      </c>
      <c r="D782" s="225">
        <v>0</v>
      </c>
      <c r="E782" s="223">
        <v>0</v>
      </c>
      <c r="F782" s="224">
        <f t="shared" si="189"/>
        <v>0</v>
      </c>
      <c r="G782" s="180">
        <f t="shared" si="190"/>
        <v>0</v>
      </c>
      <c r="H782" s="635">
        <f>ROUND(F782*'Actual Load'!$B$11/'Zonal Load'!$N$11,2)</f>
        <v>0</v>
      </c>
      <c r="I782" s="180">
        <f t="shared" si="191"/>
        <v>0</v>
      </c>
      <c r="J782" s="180">
        <f t="shared" si="194"/>
        <v>0</v>
      </c>
      <c r="K782" s="180">
        <f t="shared" si="195"/>
        <v>0</v>
      </c>
      <c r="L782" s="181">
        <f>E782*'Interest Under Collect '!$J$12</f>
        <v>0</v>
      </c>
      <c r="M782" s="180">
        <f t="shared" si="192"/>
        <v>0</v>
      </c>
      <c r="N782" s="203"/>
    </row>
    <row r="783" spans="1:14" s="185" customFormat="1">
      <c r="B783" s="23" t="s">
        <v>26</v>
      </c>
      <c r="C783" s="222">
        <v>0</v>
      </c>
      <c r="D783" s="225">
        <v>0</v>
      </c>
      <c r="E783" s="223">
        <v>0</v>
      </c>
      <c r="F783" s="224">
        <f t="shared" si="189"/>
        <v>0</v>
      </c>
      <c r="G783" s="180">
        <f t="shared" si="190"/>
        <v>0</v>
      </c>
      <c r="H783" s="635">
        <f>ROUND(F783*'Actual Load'!$B$7/'Zonal Load'!$N$7,2)</f>
        <v>0</v>
      </c>
      <c r="I783" s="180">
        <f t="shared" si="191"/>
        <v>0</v>
      </c>
      <c r="J783" s="180">
        <f t="shared" si="194"/>
        <v>0</v>
      </c>
      <c r="K783" s="180">
        <f t="shared" si="195"/>
        <v>0</v>
      </c>
      <c r="L783" s="181">
        <f>E783*'Interest Under Collect '!$J$12</f>
        <v>0</v>
      </c>
      <c r="M783" s="180">
        <f t="shared" si="192"/>
        <v>0</v>
      </c>
      <c r="N783" s="203"/>
    </row>
    <row r="784" spans="1:14" s="185" customFormat="1">
      <c r="B784" s="23" t="s">
        <v>25</v>
      </c>
      <c r="C784" s="222">
        <v>0</v>
      </c>
      <c r="D784" s="225">
        <v>0</v>
      </c>
      <c r="E784" s="223">
        <v>0</v>
      </c>
      <c r="F784" s="224">
        <f t="shared" si="189"/>
        <v>0</v>
      </c>
      <c r="G784" s="180">
        <f t="shared" si="190"/>
        <v>0</v>
      </c>
      <c r="H784" s="635">
        <f>ROUND(F784*'Actual Load'!$B$6/'Zonal Load'!$N$6,2)</f>
        <v>0</v>
      </c>
      <c r="I784" s="180">
        <f t="shared" si="191"/>
        <v>0</v>
      </c>
      <c r="J784" s="180">
        <f t="shared" si="194"/>
        <v>0</v>
      </c>
      <c r="K784" s="180">
        <f t="shared" si="195"/>
        <v>0</v>
      </c>
      <c r="L784" s="181">
        <f>E784*'Interest Under Collect '!$J$12</f>
        <v>0</v>
      </c>
      <c r="M784" s="180">
        <f t="shared" si="192"/>
        <v>0</v>
      </c>
      <c r="N784" s="203"/>
    </row>
    <row r="785" spans="2:14" s="185" customFormat="1">
      <c r="B785" s="23" t="s">
        <v>119</v>
      </c>
      <c r="C785" s="222">
        <v>0</v>
      </c>
      <c r="D785" s="225">
        <v>0</v>
      </c>
      <c r="E785" s="223">
        <v>0</v>
      </c>
      <c r="F785" s="224">
        <f t="shared" si="189"/>
        <v>0</v>
      </c>
      <c r="G785" s="180">
        <f t="shared" si="190"/>
        <v>0</v>
      </c>
      <c r="H785" s="635">
        <f>ROUND(F785*'Actual Load'!$B$18/'Zonal Load'!$N$18,2)</f>
        <v>0</v>
      </c>
      <c r="I785" s="180">
        <f t="shared" si="191"/>
        <v>0</v>
      </c>
      <c r="J785" s="180">
        <f t="shared" si="194"/>
        <v>0</v>
      </c>
      <c r="K785" s="180">
        <f t="shared" si="195"/>
        <v>0</v>
      </c>
      <c r="L785" s="181">
        <f>E785*'Interest Under Collect '!$J$12</f>
        <v>0</v>
      </c>
      <c r="M785" s="180">
        <f t="shared" si="192"/>
        <v>0</v>
      </c>
      <c r="N785" s="203"/>
    </row>
    <row r="786" spans="2:14" s="185" customFormat="1">
      <c r="B786" s="23" t="s">
        <v>120</v>
      </c>
      <c r="C786" s="222">
        <v>0</v>
      </c>
      <c r="D786" s="225">
        <v>0</v>
      </c>
      <c r="E786" s="223">
        <v>0</v>
      </c>
      <c r="F786" s="224">
        <f t="shared" si="189"/>
        <v>0</v>
      </c>
      <c r="G786" s="180">
        <f t="shared" si="190"/>
        <v>0</v>
      </c>
      <c r="H786" s="635">
        <f>ROUND(F786*'Actual Load'!$B$17/'Zonal Load'!$N$17,2)</f>
        <v>0</v>
      </c>
      <c r="I786" s="180">
        <f t="shared" si="191"/>
        <v>0</v>
      </c>
      <c r="J786" s="180">
        <f t="shared" si="194"/>
        <v>0</v>
      </c>
      <c r="K786" s="180">
        <f t="shared" si="195"/>
        <v>0</v>
      </c>
      <c r="L786" s="181">
        <f>E786*'Interest Under Collect '!$J$12</f>
        <v>0</v>
      </c>
      <c r="M786" s="180">
        <f t="shared" si="192"/>
        <v>0</v>
      </c>
      <c r="N786" s="203"/>
    </row>
    <row r="787" spans="2:14" s="185" customFormat="1">
      <c r="B787" s="23" t="s">
        <v>27</v>
      </c>
      <c r="C787" s="222">
        <v>0</v>
      </c>
      <c r="D787" s="225">
        <v>0</v>
      </c>
      <c r="E787" s="223">
        <v>0</v>
      </c>
      <c r="F787" s="224">
        <f t="shared" si="189"/>
        <v>0</v>
      </c>
      <c r="G787" s="180">
        <f t="shared" si="190"/>
        <v>0</v>
      </c>
      <c r="H787" s="635">
        <f>ROUND(F787*'Actual Load'!$B$12/'Zonal Load'!$N$12,2)</f>
        <v>0</v>
      </c>
      <c r="I787" s="180">
        <f t="shared" si="191"/>
        <v>0</v>
      </c>
      <c r="J787" s="180">
        <f t="shared" si="194"/>
        <v>0</v>
      </c>
      <c r="K787" s="180">
        <f t="shared" si="195"/>
        <v>0</v>
      </c>
      <c r="L787" s="181">
        <f>E787*'Interest Under Collect '!$J$12</f>
        <v>0</v>
      </c>
      <c r="M787" s="180">
        <f t="shared" si="192"/>
        <v>0</v>
      </c>
      <c r="N787" s="203"/>
    </row>
    <row r="788" spans="2:14" s="185" customFormat="1">
      <c r="B788" s="23" t="s">
        <v>28</v>
      </c>
      <c r="C788" s="222">
        <v>0</v>
      </c>
      <c r="D788" s="225">
        <v>0</v>
      </c>
      <c r="E788" s="223">
        <v>0</v>
      </c>
      <c r="F788" s="224">
        <f t="shared" si="189"/>
        <v>0</v>
      </c>
      <c r="G788" s="180">
        <f t="shared" si="190"/>
        <v>0</v>
      </c>
      <c r="H788" s="635">
        <f>ROUND(F788*'Actual Load'!$B$24/'Zonal Load'!$N$24,2)</f>
        <v>0</v>
      </c>
      <c r="I788" s="180">
        <f t="shared" si="191"/>
        <v>0</v>
      </c>
      <c r="J788" s="180">
        <f t="shared" si="194"/>
        <v>0</v>
      </c>
      <c r="K788" s="180">
        <f t="shared" si="195"/>
        <v>0</v>
      </c>
      <c r="L788" s="181">
        <f>E788*'Interest Under Collect '!$J$12</f>
        <v>0</v>
      </c>
      <c r="M788" s="180">
        <f t="shared" si="192"/>
        <v>0</v>
      </c>
      <c r="N788" s="203"/>
    </row>
    <row r="789" spans="2:14" s="185" customFormat="1">
      <c r="B789" s="23" t="s">
        <v>29</v>
      </c>
      <c r="C789" s="222">
        <v>0</v>
      </c>
      <c r="D789" s="225">
        <v>0</v>
      </c>
      <c r="E789" s="223">
        <v>0.20878603492825801</v>
      </c>
      <c r="F789" s="224">
        <f t="shared" si="189"/>
        <v>101418.99</v>
      </c>
      <c r="G789" s="180">
        <f t="shared" si="190"/>
        <v>-17046.655398500974</v>
      </c>
      <c r="H789" s="635">
        <f>ROUND(F789*'Actual Load'!$B$5/'Zonal Load'!$N$5,2)</f>
        <v>98404.09</v>
      </c>
      <c r="I789" s="180">
        <f t="shared" si="191"/>
        <v>103284.72</v>
      </c>
      <c r="J789" s="180">
        <f t="shared" si="194"/>
        <v>1865.7299999999959</v>
      </c>
      <c r="K789" s="180">
        <f t="shared" si="195"/>
        <v>-15180.925398500978</v>
      </c>
      <c r="L789" s="181">
        <f>E789*'Interest Under Collect '!$J$12</f>
        <v>-51.904208283164941</v>
      </c>
      <c r="M789" s="180">
        <f t="shared" si="192"/>
        <v>-15232.829606784144</v>
      </c>
      <c r="N789" s="203"/>
    </row>
    <row r="790" spans="2:14" s="185" customFormat="1">
      <c r="B790" s="23" t="s">
        <v>30</v>
      </c>
      <c r="C790" s="222">
        <v>0</v>
      </c>
      <c r="D790" s="225">
        <v>0</v>
      </c>
      <c r="E790" s="223">
        <v>0.64668787139633377</v>
      </c>
      <c r="F790" s="224">
        <f t="shared" si="189"/>
        <v>314132.26</v>
      </c>
      <c r="G790" s="180">
        <f t="shared" si="190"/>
        <v>-52799.821108108976</v>
      </c>
      <c r="H790" s="635">
        <f>ROUND(F790*'Actual Load'!$B$21/'Zonal Load'!$N$21,2)</f>
        <v>300088.14</v>
      </c>
      <c r="I790" s="180">
        <f t="shared" si="191"/>
        <v>314971.84999999998</v>
      </c>
      <c r="J790" s="180">
        <f t="shared" si="194"/>
        <v>839.5899999999674</v>
      </c>
      <c r="K790" s="180">
        <f t="shared" si="195"/>
        <v>-51960.231108109008</v>
      </c>
      <c r="L790" s="181">
        <f>E790*'Interest Under Collect '!$J$12</f>
        <v>-160.76660482912857</v>
      </c>
      <c r="M790" s="180">
        <f t="shared" si="192"/>
        <v>-52120.997712938137</v>
      </c>
      <c r="N790" s="203"/>
    </row>
    <row r="791" spans="2:14" s="185" customFormat="1">
      <c r="B791" s="23" t="s">
        <v>31</v>
      </c>
      <c r="C791" s="222">
        <v>0</v>
      </c>
      <c r="D791" s="225">
        <v>0</v>
      </c>
      <c r="E791" s="223">
        <v>8.2775896108459687E-2</v>
      </c>
      <c r="F791" s="224">
        <f t="shared" si="189"/>
        <v>40208.86</v>
      </c>
      <c r="G791" s="180">
        <f t="shared" si="190"/>
        <v>-6758.3647380816847</v>
      </c>
      <c r="H791" s="635">
        <f>ROUND(F791*'Actual Load'!$B$19/'Zonal Load'!$N$19,2)</f>
        <v>37434.67</v>
      </c>
      <c r="I791" s="180">
        <f t="shared" si="191"/>
        <v>39291.35</v>
      </c>
      <c r="J791" s="180">
        <f t="shared" si="194"/>
        <v>-917.51000000000204</v>
      </c>
      <c r="K791" s="180">
        <f t="shared" si="195"/>
        <v>-7675.8747380816867</v>
      </c>
      <c r="L791" s="181">
        <f>E791*'Interest Under Collect '!$J$12</f>
        <v>-20.578087772563077</v>
      </c>
      <c r="M791" s="180">
        <f t="shared" si="192"/>
        <v>-7696.4528258542496</v>
      </c>
      <c r="N791" s="203"/>
    </row>
    <row r="792" spans="2:14" s="185" customFormat="1">
      <c r="B792" s="23" t="s">
        <v>32</v>
      </c>
      <c r="C792" s="222">
        <v>0</v>
      </c>
      <c r="D792" s="225">
        <v>0</v>
      </c>
      <c r="E792" s="223">
        <v>0</v>
      </c>
      <c r="F792" s="224">
        <f t="shared" si="189"/>
        <v>0</v>
      </c>
      <c r="G792" s="180">
        <f t="shared" si="190"/>
        <v>0</v>
      </c>
      <c r="H792" s="635">
        <f>ROUND(F792*'Actual Load'!$B$25/'Zonal Load'!$N$25,2)</f>
        <v>0</v>
      </c>
      <c r="I792" s="180">
        <f t="shared" si="191"/>
        <v>0</v>
      </c>
      <c r="J792" s="180">
        <f t="shared" si="194"/>
        <v>0</v>
      </c>
      <c r="K792" s="180">
        <f t="shared" si="195"/>
        <v>0</v>
      </c>
      <c r="L792" s="181">
        <f>E792*'Interest Under Collect '!$J$12</f>
        <v>0</v>
      </c>
      <c r="M792" s="180">
        <f t="shared" si="192"/>
        <v>0</v>
      </c>
      <c r="N792" s="203"/>
    </row>
    <row r="793" spans="2:14" s="185" customFormat="1">
      <c r="B793" s="23" t="s">
        <v>33</v>
      </c>
      <c r="C793" s="222">
        <v>0</v>
      </c>
      <c r="D793" s="225">
        <v>0</v>
      </c>
      <c r="E793" s="223">
        <v>3.7345141805981454E-3</v>
      </c>
      <c r="F793" s="224">
        <f t="shared" si="189"/>
        <v>1814.06</v>
      </c>
      <c r="G793" s="180">
        <f t="shared" si="190"/>
        <v>-304.91012648114452</v>
      </c>
      <c r="H793" s="635">
        <f>ROUND(F793*'Actual Load'!$B$13/'Zonal Load'!$N$13,2)</f>
        <v>1759.95</v>
      </c>
      <c r="I793" s="180">
        <f t="shared" si="191"/>
        <v>1847.24</v>
      </c>
      <c r="J793" s="180">
        <f t="shared" si="194"/>
        <v>33.180000000000064</v>
      </c>
      <c r="K793" s="180">
        <f t="shared" si="195"/>
        <v>-271.73012648114445</v>
      </c>
      <c r="L793" s="181">
        <f>E793*'Interest Under Collect '!$J$12</f>
        <v>-0.92840022529669897</v>
      </c>
      <c r="M793" s="180">
        <f t="shared" si="192"/>
        <v>-272.65852670644114</v>
      </c>
      <c r="N793" s="203"/>
    </row>
    <row r="794" spans="2:14" s="185" customFormat="1">
      <c r="B794" s="23" t="s">
        <v>34</v>
      </c>
      <c r="C794" s="222">
        <v>0</v>
      </c>
      <c r="D794" s="225">
        <v>0</v>
      </c>
      <c r="E794" s="223">
        <v>7.0461010201267396E-4</v>
      </c>
      <c r="F794" s="224">
        <f t="shared" si="189"/>
        <v>342.27</v>
      </c>
      <c r="G794" s="180">
        <f t="shared" si="190"/>
        <v>-57.528970285009301</v>
      </c>
      <c r="H794" s="635">
        <f>ROUND(F794*'Actual Load'!$B$23/'Zonal Load'!$N$23,2)</f>
        <v>341.87</v>
      </c>
      <c r="I794" s="180">
        <f t="shared" si="191"/>
        <v>358.83</v>
      </c>
      <c r="J794" s="180">
        <f t="shared" si="194"/>
        <v>16.560000000000002</v>
      </c>
      <c r="K794" s="180">
        <f t="shared" si="195"/>
        <v>-40.968970285009298</v>
      </c>
      <c r="L794" s="181">
        <f>E794*'Interest Under Collect '!$J$12</f>
        <v>-0.17516607136035076</v>
      </c>
      <c r="M794" s="180">
        <f t="shared" si="192"/>
        <v>-41.14413635636965</v>
      </c>
      <c r="N794" s="203"/>
    </row>
    <row r="795" spans="2:14" s="185" customFormat="1">
      <c r="B795" s="205" t="s">
        <v>35</v>
      </c>
      <c r="C795" s="222">
        <v>0</v>
      </c>
      <c r="D795" s="225">
        <v>0</v>
      </c>
      <c r="E795" s="223">
        <v>0</v>
      </c>
      <c r="F795" s="224">
        <f t="shared" si="189"/>
        <v>0</v>
      </c>
      <c r="G795" s="180">
        <f t="shared" si="190"/>
        <v>0</v>
      </c>
      <c r="H795" s="635">
        <f>ROUND(F795*'Actual Load'!$B$20/'Zonal Load'!$N$20,2)</f>
        <v>0</v>
      </c>
      <c r="I795" s="180">
        <f t="shared" si="191"/>
        <v>0</v>
      </c>
      <c r="J795" s="180">
        <f>I795-F795</f>
        <v>0</v>
      </c>
      <c r="K795" s="180">
        <f>+G795+J795</f>
        <v>0</v>
      </c>
      <c r="L795" s="181">
        <f>E795*'Interest Under Collect '!$J$12</f>
        <v>0</v>
      </c>
      <c r="M795" s="180">
        <f t="shared" si="192"/>
        <v>0</v>
      </c>
      <c r="N795" s="203"/>
    </row>
    <row r="796" spans="2:14" s="185" customFormat="1">
      <c r="B796" s="205" t="s">
        <v>112</v>
      </c>
      <c r="C796" s="222">
        <v>0</v>
      </c>
      <c r="D796" s="225">
        <v>0</v>
      </c>
      <c r="E796" s="223">
        <v>0</v>
      </c>
      <c r="F796" s="224">
        <f t="shared" si="189"/>
        <v>0</v>
      </c>
      <c r="G796" s="180">
        <f t="shared" si="190"/>
        <v>0</v>
      </c>
      <c r="H796" s="635">
        <f>ROUND(F796*'Actual Load'!$B$27/'Zonal Load'!$N$27,2)</f>
        <v>0</v>
      </c>
      <c r="I796" s="180">
        <f t="shared" si="191"/>
        <v>0</v>
      </c>
      <c r="J796" s="180">
        <f>I796-F796</f>
        <v>0</v>
      </c>
      <c r="K796" s="180">
        <f>+G796+J796</f>
        <v>0</v>
      </c>
      <c r="L796" s="181">
        <f>E796*'Interest Under Collect '!$J$12</f>
        <v>0</v>
      </c>
      <c r="M796" s="180">
        <f t="shared" si="192"/>
        <v>0</v>
      </c>
      <c r="N796" s="203"/>
    </row>
    <row r="797" spans="2:14" s="185" customFormat="1">
      <c r="B797" s="205" t="s">
        <v>113</v>
      </c>
      <c r="C797" s="222">
        <v>0</v>
      </c>
      <c r="D797" s="225">
        <v>0</v>
      </c>
      <c r="E797" s="223">
        <v>0</v>
      </c>
      <c r="F797" s="224">
        <f t="shared" si="189"/>
        <v>0</v>
      </c>
      <c r="G797" s="180">
        <f t="shared" si="190"/>
        <v>0</v>
      </c>
      <c r="H797" s="635">
        <f>ROUND(F797*'Actual Load'!$B$28/'Zonal Load'!$N$28,2)</f>
        <v>0</v>
      </c>
      <c r="I797" s="180">
        <f t="shared" si="191"/>
        <v>0</v>
      </c>
      <c r="J797" s="180">
        <f>I797-F797</f>
        <v>0</v>
      </c>
      <c r="K797" s="180">
        <f>+G797+J797</f>
        <v>0</v>
      </c>
      <c r="L797" s="181">
        <f>E797*'Interest Under Collect '!$J$12</f>
        <v>0</v>
      </c>
      <c r="M797" s="180">
        <f t="shared" si="192"/>
        <v>0</v>
      </c>
      <c r="N797" s="203"/>
    </row>
    <row r="798" spans="2:14" s="185" customFormat="1">
      <c r="B798" s="205" t="s">
        <v>121</v>
      </c>
      <c r="C798" s="222">
        <v>0</v>
      </c>
      <c r="D798" s="225">
        <v>0</v>
      </c>
      <c r="E798" s="223">
        <v>5.731107328433762E-2</v>
      </c>
      <c r="F798" s="224">
        <f t="shared" si="189"/>
        <v>27839.17</v>
      </c>
      <c r="G798" s="180">
        <f t="shared" si="190"/>
        <v>-4679.2503010655737</v>
      </c>
      <c r="H798" s="635">
        <f>ROUND(F798*'Actual Load'!$B$29/'Zonal Load'!$N$29,2)</f>
        <v>26038.68</v>
      </c>
      <c r="I798" s="180">
        <f t="shared" si="191"/>
        <v>27330.14</v>
      </c>
      <c r="J798" s="180">
        <f>I798-F798</f>
        <v>-509.02999999999884</v>
      </c>
      <c r="K798" s="180">
        <f>+G798+J798</f>
        <v>-5188.2803010655725</v>
      </c>
      <c r="L798" s="181">
        <f>E798*'Interest Under Collect '!$J$12</f>
        <v>-14.247532818486333</v>
      </c>
      <c r="M798" s="180">
        <f t="shared" si="192"/>
        <v>-5202.527833884059</v>
      </c>
      <c r="N798" s="203"/>
    </row>
    <row r="799" spans="2:14" s="172" customFormat="1">
      <c r="B799" s="205" t="s">
        <v>122</v>
      </c>
      <c r="C799" s="19">
        <v>0</v>
      </c>
      <c r="D799" s="20">
        <v>0</v>
      </c>
      <c r="E799" s="223">
        <v>0</v>
      </c>
      <c r="F799" s="224">
        <f t="shared" si="189"/>
        <v>0</v>
      </c>
      <c r="G799" s="180">
        <f t="shared" si="190"/>
        <v>0</v>
      </c>
      <c r="H799" s="635">
        <f>ROUND(F799*'Actual Load'!$B$30/'Zonal Load'!$N$30,2)</f>
        <v>0</v>
      </c>
      <c r="I799" s="180">
        <f t="shared" si="191"/>
        <v>0</v>
      </c>
      <c r="J799" s="180">
        <f>I799-F799</f>
        <v>0</v>
      </c>
      <c r="K799" s="180">
        <f>+G799+J799</f>
        <v>0</v>
      </c>
      <c r="L799" s="181">
        <f>E799*'Interest Under Collect '!$J$12</f>
        <v>0</v>
      </c>
      <c r="M799" s="180">
        <f t="shared" si="192"/>
        <v>0</v>
      </c>
      <c r="N799" s="203"/>
    </row>
    <row r="800" spans="2:14" s="172" customFormat="1">
      <c r="B800" s="559"/>
      <c r="C800" s="558">
        <f t="shared" ref="C800:M800" si="196">SUM(C772:C798)</f>
        <v>0</v>
      </c>
      <c r="D800" s="27">
        <f t="shared" si="196"/>
        <v>0</v>
      </c>
      <c r="E800" s="100">
        <f t="shared" si="196"/>
        <v>0.99999999999999989</v>
      </c>
      <c r="F800" s="95">
        <f t="shared" si="196"/>
        <v>485755.61</v>
      </c>
      <c r="G800" s="138">
        <f t="shared" si="196"/>
        <v>-81646.530642523372</v>
      </c>
      <c r="H800" s="138">
        <f t="shared" si="196"/>
        <v>464067.39999999997</v>
      </c>
      <c r="I800" s="138">
        <f t="shared" si="196"/>
        <v>487084.12999999995</v>
      </c>
      <c r="J800" s="138">
        <f t="shared" si="196"/>
        <v>1328.5199999999625</v>
      </c>
      <c r="K800" s="587">
        <f t="shared" si="196"/>
        <v>-80318.010642523412</v>
      </c>
      <c r="L800" s="138">
        <f t="shared" si="196"/>
        <v>-248.59999999999994</v>
      </c>
      <c r="M800" s="138">
        <f t="shared" si="196"/>
        <v>-80566.610642523388</v>
      </c>
      <c r="N800" s="203"/>
    </row>
    <row r="801" spans="2:14" s="172" customFormat="1">
      <c r="G801" s="21"/>
      <c r="H801" s="133"/>
      <c r="I801" s="80"/>
      <c r="J801" s="91"/>
      <c r="N801" s="203"/>
    </row>
    <row r="802" spans="2:14" s="172" customFormat="1">
      <c r="E802" s="96" t="s">
        <v>618</v>
      </c>
      <c r="F802" s="178">
        <v>485755.60347227211</v>
      </c>
      <c r="G802" s="21"/>
      <c r="H802" s="133"/>
      <c r="J802" s="91"/>
      <c r="N802" s="203"/>
    </row>
    <row r="803" spans="2:14" s="172" customFormat="1">
      <c r="E803" s="97" t="s">
        <v>619</v>
      </c>
      <c r="F803" s="179">
        <v>567402.13411479548</v>
      </c>
      <c r="G803" s="632">
        <f>F802-F803</f>
        <v>-81646.530642523372</v>
      </c>
      <c r="H803" s="633"/>
      <c r="I803" s="29"/>
      <c r="J803" s="91"/>
      <c r="L803" s="84"/>
      <c r="N803" s="203"/>
    </row>
    <row r="804" spans="2:14" s="172" customFormat="1">
      <c r="E804" s="97" t="s">
        <v>160</v>
      </c>
      <c r="F804" s="186">
        <f>I800</f>
        <v>487084.12999999995</v>
      </c>
      <c r="G804" s="632">
        <f>F804-F802</f>
        <v>1328.5265277278377</v>
      </c>
      <c r="H804" s="634"/>
      <c r="I804" s="29"/>
      <c r="J804" s="91"/>
      <c r="L804" s="84"/>
      <c r="N804" s="203"/>
    </row>
    <row r="805" spans="2:14" s="172" customFormat="1">
      <c r="G805" s="632">
        <f>G803+G804</f>
        <v>-80318.004114795534</v>
      </c>
      <c r="H805" s="633">
        <f>F804-F803</f>
        <v>-80318.004114795534</v>
      </c>
      <c r="I805" s="29"/>
      <c r="J805" s="91"/>
      <c r="L805" s="84"/>
      <c r="N805" s="203"/>
    </row>
    <row r="806" spans="2:14" s="172" customFormat="1">
      <c r="B806" s="82"/>
      <c r="C806" s="82"/>
      <c r="D806" s="82"/>
      <c r="E806" s="82"/>
      <c r="F806" s="82"/>
      <c r="G806" s="82"/>
      <c r="H806" s="82"/>
      <c r="I806" s="82"/>
      <c r="J806" s="111"/>
      <c r="K806" s="82"/>
      <c r="L806" s="82"/>
      <c r="M806" s="82"/>
      <c r="N806" s="203"/>
    </row>
    <row r="807" spans="2:14" s="172" customFormat="1">
      <c r="H807" s="133"/>
      <c r="J807" s="91"/>
      <c r="L807" s="185"/>
      <c r="N807" s="203"/>
    </row>
    <row r="808" spans="2:14" s="172" customFormat="1">
      <c r="B808" s="640" t="s">
        <v>0</v>
      </c>
      <c r="C808" s="641"/>
      <c r="D808" s="642">
        <v>9523</v>
      </c>
      <c r="E808" s="643"/>
      <c r="F808" s="643"/>
      <c r="G808" s="643"/>
      <c r="H808" s="644"/>
      <c r="I808" s="150"/>
      <c r="J808" s="1"/>
      <c r="N808" s="203"/>
    </row>
    <row r="809" spans="2:14" s="172" customFormat="1">
      <c r="B809" s="645" t="s">
        <v>2</v>
      </c>
      <c r="C809" s="646"/>
      <c r="D809" s="647" t="s">
        <v>613</v>
      </c>
      <c r="E809" s="648"/>
      <c r="F809" s="648"/>
      <c r="G809" s="648"/>
      <c r="H809" s="649"/>
      <c r="I809" s="151"/>
      <c r="J809" s="1"/>
      <c r="N809" s="203"/>
    </row>
    <row r="810" spans="2:14" s="172" customFormat="1">
      <c r="B810" s="645" t="s">
        <v>4</v>
      </c>
      <c r="C810" s="646"/>
      <c r="D810" s="650"/>
      <c r="E810" s="651"/>
      <c r="F810" s="651"/>
      <c r="G810" s="651"/>
      <c r="H810" s="652"/>
      <c r="I810" s="152"/>
      <c r="J810" s="1"/>
      <c r="N810" s="203"/>
    </row>
    <row r="811" spans="2:14" s="172" customFormat="1">
      <c r="B811" s="653" t="s">
        <v>6</v>
      </c>
      <c r="C811" s="654"/>
      <c r="D811" s="655" t="s">
        <v>30</v>
      </c>
      <c r="E811" s="656"/>
      <c r="F811" s="656"/>
      <c r="G811" s="656"/>
      <c r="H811" s="657"/>
      <c r="I811" s="153"/>
      <c r="J811" s="1"/>
      <c r="N811" s="203"/>
    </row>
    <row r="812" spans="2:14" s="172" customFormat="1">
      <c r="B812" s="76"/>
      <c r="C812" s="76"/>
      <c r="D812" s="76"/>
      <c r="E812" s="76"/>
      <c r="F812" s="76"/>
      <c r="H812" s="557"/>
      <c r="J812" s="105" t="s">
        <v>163</v>
      </c>
      <c r="K812" s="3" t="s">
        <v>42</v>
      </c>
      <c r="M812" s="3" t="s">
        <v>56</v>
      </c>
      <c r="N812" s="203"/>
    </row>
    <row r="813" spans="2:14" s="172" customFormat="1">
      <c r="B813" s="76"/>
      <c r="C813" s="76"/>
      <c r="D813" s="76"/>
      <c r="E813" s="76"/>
      <c r="F813" s="76"/>
      <c r="G813" s="3" t="s">
        <v>39</v>
      </c>
      <c r="H813" s="134" t="s">
        <v>40</v>
      </c>
      <c r="I813" s="98" t="s">
        <v>41</v>
      </c>
      <c r="J813" s="106" t="s">
        <v>164</v>
      </c>
      <c r="K813" s="4" t="s">
        <v>165</v>
      </c>
      <c r="L813" s="4" t="s">
        <v>55</v>
      </c>
      <c r="M813" s="4" t="s">
        <v>166</v>
      </c>
      <c r="N813" s="203"/>
    </row>
    <row r="814" spans="2:14" s="172" customFormat="1">
      <c r="B814" s="76"/>
      <c r="C814" s="76"/>
      <c r="D814" s="76"/>
      <c r="E814" s="76"/>
      <c r="F814" s="76"/>
      <c r="G814" s="5"/>
      <c r="H814" s="658" t="s">
        <v>43</v>
      </c>
      <c r="I814" s="659"/>
      <c r="J814" s="660"/>
      <c r="K814" s="6" t="s">
        <v>44</v>
      </c>
      <c r="L814" s="5"/>
      <c r="M814" s="6" t="s">
        <v>45</v>
      </c>
      <c r="N814" s="203"/>
    </row>
    <row r="815" spans="2:14" s="172" customFormat="1">
      <c r="B815" s="77"/>
      <c r="C815" s="7">
        <v>0.2</v>
      </c>
      <c r="D815" s="7">
        <v>0.8</v>
      </c>
      <c r="E815" s="7"/>
      <c r="F815" s="92" t="s">
        <v>162</v>
      </c>
      <c r="G815" s="8" t="s">
        <v>46</v>
      </c>
      <c r="H815" s="135"/>
      <c r="I815" s="5"/>
      <c r="J815" s="107" t="s">
        <v>47</v>
      </c>
      <c r="K815" s="8" t="s">
        <v>48</v>
      </c>
      <c r="L815" s="9"/>
      <c r="M815" s="8" t="s">
        <v>49</v>
      </c>
      <c r="N815" s="203"/>
    </row>
    <row r="816" spans="2:14" s="172" customFormat="1">
      <c r="B816" s="10"/>
      <c r="C816" s="69" t="s">
        <v>9</v>
      </c>
      <c r="D816" s="69" t="s">
        <v>10</v>
      </c>
      <c r="E816" s="69" t="s">
        <v>11</v>
      </c>
      <c r="F816" s="93" t="s">
        <v>8</v>
      </c>
      <c r="G816" s="11" t="s">
        <v>50</v>
      </c>
      <c r="H816" s="136" t="s">
        <v>51</v>
      </c>
      <c r="I816" s="12" t="s">
        <v>159</v>
      </c>
      <c r="J816" s="108" t="s">
        <v>50</v>
      </c>
      <c r="K816" s="12" t="s">
        <v>50</v>
      </c>
      <c r="L816" s="12" t="s">
        <v>52</v>
      </c>
      <c r="M816" s="12" t="s">
        <v>53</v>
      </c>
      <c r="N816" s="203"/>
    </row>
    <row r="817" spans="1:14" s="172" customFormat="1" ht="31.5">
      <c r="B817" s="13" t="s">
        <v>13</v>
      </c>
      <c r="C817" s="14" t="s">
        <v>14</v>
      </c>
      <c r="D817" s="14" t="s">
        <v>14</v>
      </c>
      <c r="E817" s="15" t="s">
        <v>14</v>
      </c>
      <c r="F817" s="94" t="s">
        <v>15</v>
      </c>
      <c r="G817" s="16" t="s">
        <v>54</v>
      </c>
      <c r="H817" s="137"/>
      <c r="I817" s="17"/>
      <c r="J817" s="109" t="s">
        <v>54</v>
      </c>
      <c r="K817" s="17"/>
      <c r="L817" s="17"/>
      <c r="M817" s="16" t="s">
        <v>54</v>
      </c>
      <c r="N817" s="203"/>
    </row>
    <row r="818" spans="1:14" s="185" customFormat="1">
      <c r="B818" s="18" t="s">
        <v>16</v>
      </c>
      <c r="C818" s="222">
        <v>0</v>
      </c>
      <c r="D818" s="225">
        <v>0</v>
      </c>
      <c r="E818" s="223">
        <v>0</v>
      </c>
      <c r="F818" s="231">
        <f t="shared" ref="F818:F852" si="197">ROUND(+E818*F$855,2)</f>
        <v>0</v>
      </c>
      <c r="G818" s="180">
        <f t="shared" ref="G818:G852" si="198">(F$855-F$856)*E818</f>
        <v>0</v>
      </c>
      <c r="H818" s="635">
        <f>ROUND(F818*'Actual Load'!$B$8/'Zonal Load'!$N$8,2)</f>
        <v>0</v>
      </c>
      <c r="I818" s="180">
        <f t="shared" ref="I818:I852" si="199">ROUND((H818*$H$912)/$H$910,2)</f>
        <v>0</v>
      </c>
      <c r="J818" s="180">
        <f>I818-F818</f>
        <v>0</v>
      </c>
      <c r="K818" s="180">
        <f>+G818+J818</f>
        <v>0</v>
      </c>
      <c r="L818" s="181">
        <f>E818*'Interest Under Collect '!$J$13</f>
        <v>0</v>
      </c>
      <c r="M818" s="180">
        <f t="shared" ref="M818:M852" si="200">+K818+L818</f>
        <v>0</v>
      </c>
      <c r="N818" s="203"/>
    </row>
    <row r="819" spans="1:14" s="185" customFormat="1">
      <c r="B819" s="23" t="s">
        <v>17</v>
      </c>
      <c r="C819" s="222">
        <v>0</v>
      </c>
      <c r="D819" s="225">
        <v>0</v>
      </c>
      <c r="E819" s="223">
        <v>7.7488659152842605E-3</v>
      </c>
      <c r="F819" s="206">
        <f t="shared" si="197"/>
        <v>0</v>
      </c>
      <c r="G819" s="180">
        <f t="shared" si="198"/>
        <v>52.348538579774875</v>
      </c>
      <c r="H819" s="635">
        <f>ROUND(F819*'Actual Load'!$B$14/'Zonal Load'!$N$14,2)</f>
        <v>0</v>
      </c>
      <c r="I819" s="180">
        <f t="shared" si="199"/>
        <v>0</v>
      </c>
      <c r="J819" s="180">
        <f>I819-F819</f>
        <v>0</v>
      </c>
      <c r="K819" s="180">
        <f>+G819+J819</f>
        <v>52.348538579774875</v>
      </c>
      <c r="L819" s="181">
        <f>E819*'Interest Under Collect '!$J$13</f>
        <v>2.3246597745852783E-2</v>
      </c>
      <c r="M819" s="180">
        <f t="shared" si="200"/>
        <v>52.371785177520728</v>
      </c>
      <c r="N819" s="203"/>
    </row>
    <row r="820" spans="1:14" s="185" customFormat="1">
      <c r="B820" s="23" t="s">
        <v>201</v>
      </c>
      <c r="C820" s="222">
        <f>0%*0.421</f>
        <v>0</v>
      </c>
      <c r="D820" s="225">
        <f>0%*0.421</f>
        <v>0</v>
      </c>
      <c r="E820" s="223">
        <f>8.33468085616993%*0.421</f>
        <v>3.5089006404475404E-2</v>
      </c>
      <c r="F820" s="206">
        <f t="shared" si="197"/>
        <v>0</v>
      </c>
      <c r="G820" s="180">
        <f t="shared" si="198"/>
        <v>237.04865016021699</v>
      </c>
      <c r="H820" s="635">
        <f>ROUND(F820*'Actual Load'!$B$9/'Zonal Load'!$N$9,2)</f>
        <v>0</v>
      </c>
      <c r="I820" s="180">
        <f t="shared" si="199"/>
        <v>0</v>
      </c>
      <c r="J820" s="180">
        <f>I820-F820</f>
        <v>0</v>
      </c>
      <c r="K820" s="180">
        <f>+G820+J820</f>
        <v>237.04865016021699</v>
      </c>
      <c r="L820" s="181">
        <f>E820*'Interest Under Collect '!$J$13</f>
        <v>0.10526701921342621</v>
      </c>
      <c r="M820" s="180">
        <f t="shared" ref="M820" si="201">+K820+L820</f>
        <v>237.15391717943041</v>
      </c>
      <c r="N820" s="203"/>
    </row>
    <row r="821" spans="1:14" s="185" customFormat="1">
      <c r="B821" s="23" t="s">
        <v>260</v>
      </c>
      <c r="C821" s="222">
        <f>0%*0.421</f>
        <v>0</v>
      </c>
      <c r="D821" s="225">
        <f>0%*0.421</f>
        <v>0</v>
      </c>
      <c r="E821" s="223">
        <f>8.33468085616993%*0.579</f>
        <v>4.8257802157223896E-2</v>
      </c>
      <c r="F821" s="206">
        <f t="shared" si="197"/>
        <v>0</v>
      </c>
      <c r="G821" s="180">
        <f t="shared" si="198"/>
        <v>326.0122765861417</v>
      </c>
      <c r="H821" s="635">
        <f>ROUND(F821*'Actual Load'!$B$10/'Zonal Load'!$N$10,2)</f>
        <v>0</v>
      </c>
      <c r="I821" s="180">
        <f t="shared" si="199"/>
        <v>0</v>
      </c>
      <c r="J821" s="180">
        <f>I821-F821</f>
        <v>0</v>
      </c>
      <c r="K821" s="180">
        <f>+G821+J821</f>
        <v>326.0122765861417</v>
      </c>
      <c r="L821" s="181">
        <f>E821*'Interest Under Collect '!$J$13</f>
        <v>0.1447734064716717</v>
      </c>
      <c r="M821" s="180">
        <f t="shared" si="200"/>
        <v>326.15704999261339</v>
      </c>
      <c r="N821" s="203"/>
    </row>
    <row r="822" spans="1:14" s="185" customFormat="1">
      <c r="B822" s="23" t="s">
        <v>18</v>
      </c>
      <c r="C822" s="222">
        <f>0%*0.579</f>
        <v>0</v>
      </c>
      <c r="D822" s="225">
        <f>0%*0.579</f>
        <v>0</v>
      </c>
      <c r="E822" s="223">
        <v>1.3064224586972421E-2</v>
      </c>
      <c r="F822" s="206">
        <f t="shared" si="197"/>
        <v>0</v>
      </c>
      <c r="G822" s="180">
        <f t="shared" si="198"/>
        <v>88.257181409865865</v>
      </c>
      <c r="H822" s="635">
        <f>ROUND(F822*'Actual Load'!$B$26/'Zonal Load'!$N$26,2)</f>
        <v>0</v>
      </c>
      <c r="I822" s="180">
        <f t="shared" si="199"/>
        <v>0</v>
      </c>
      <c r="J822" s="180">
        <f>I822-F822</f>
        <v>0</v>
      </c>
      <c r="K822" s="180">
        <f>+G822+J822</f>
        <v>88.257181409865865</v>
      </c>
      <c r="L822" s="181">
        <f>E822*'Interest Under Collect '!$J$13</f>
        <v>3.9192673760917264E-2</v>
      </c>
      <c r="M822" s="180">
        <f t="shared" si="200"/>
        <v>88.296374083626787</v>
      </c>
      <c r="N822" s="203"/>
    </row>
    <row r="823" spans="1:14" s="185" customFormat="1">
      <c r="B823" s="23" t="s">
        <v>19</v>
      </c>
      <c r="C823" s="222">
        <v>0</v>
      </c>
      <c r="D823" s="225">
        <v>0</v>
      </c>
      <c r="E823" s="223">
        <v>3.168961389364703E-2</v>
      </c>
      <c r="F823" s="206">
        <f t="shared" si="197"/>
        <v>0</v>
      </c>
      <c r="G823" s="180">
        <f t="shared" si="198"/>
        <v>214.08358250433037</v>
      </c>
      <c r="H823" s="635">
        <f>ROUND(F823*'Actual Load'!$B$16/'Zonal Load'!$N$16,2)</f>
        <v>0</v>
      </c>
      <c r="I823" s="180">
        <f t="shared" si="199"/>
        <v>0</v>
      </c>
      <c r="J823" s="180">
        <f t="shared" ref="J823:J841" si="202">I823-F823</f>
        <v>0</v>
      </c>
      <c r="K823" s="180">
        <f t="shared" ref="K823:K841" si="203">+G823+J823</f>
        <v>214.08358250433037</v>
      </c>
      <c r="L823" s="181">
        <f>E823*'Interest Under Collect '!$J$13</f>
        <v>9.5068841680941096E-2</v>
      </c>
      <c r="M823" s="180">
        <f t="shared" si="200"/>
        <v>214.17865134601129</v>
      </c>
      <c r="N823" s="203"/>
    </row>
    <row r="824" spans="1:14" s="185" customFormat="1">
      <c r="B824" s="23" t="s">
        <v>20</v>
      </c>
      <c r="C824" s="222">
        <v>0</v>
      </c>
      <c r="D824" s="225">
        <v>0</v>
      </c>
      <c r="E824" s="223">
        <v>3.8362255672088182E-2</v>
      </c>
      <c r="F824" s="206">
        <f t="shared" si="197"/>
        <v>0</v>
      </c>
      <c r="G824" s="180">
        <f t="shared" si="198"/>
        <v>259.16153963851707</v>
      </c>
      <c r="H824" s="635">
        <f>ROUND(F824*'Actual Load'!$B$22/'Zonal Load'!$N$22,2)</f>
        <v>0</v>
      </c>
      <c r="I824" s="180">
        <f t="shared" si="199"/>
        <v>0</v>
      </c>
      <c r="J824" s="180">
        <f t="shared" si="202"/>
        <v>0</v>
      </c>
      <c r="K824" s="180">
        <f t="shared" si="203"/>
        <v>259.16153963851707</v>
      </c>
      <c r="L824" s="181">
        <f>E824*'Interest Under Collect '!$J$13</f>
        <v>0.11508676701626455</v>
      </c>
      <c r="M824" s="180">
        <f t="shared" si="200"/>
        <v>259.27662640553331</v>
      </c>
      <c r="N824" s="203"/>
    </row>
    <row r="825" spans="1:14" s="185" customFormat="1">
      <c r="B825" s="23" t="s">
        <v>21</v>
      </c>
      <c r="C825" s="222">
        <v>0</v>
      </c>
      <c r="D825" s="225">
        <v>0</v>
      </c>
      <c r="E825" s="223">
        <v>8.6483693050264654E-2</v>
      </c>
      <c r="F825" s="206">
        <f t="shared" si="197"/>
        <v>0</v>
      </c>
      <c r="G825" s="180">
        <f t="shared" si="198"/>
        <v>584.25258504387318</v>
      </c>
      <c r="H825" s="635">
        <f>ROUND(F825*'Actual Load'!$B$17/'Zonal Load'!$N$17,2)</f>
        <v>0</v>
      </c>
      <c r="I825" s="180">
        <f t="shared" si="199"/>
        <v>0</v>
      </c>
      <c r="J825" s="180">
        <f t="shared" si="202"/>
        <v>0</v>
      </c>
      <c r="K825" s="180">
        <f t="shared" si="203"/>
        <v>584.25258504387318</v>
      </c>
      <c r="L825" s="181">
        <f>E825*'Interest Under Collect '!$J$13</f>
        <v>0.25945107915079396</v>
      </c>
      <c r="M825" s="180">
        <f t="shared" si="200"/>
        <v>584.51203612302402</v>
      </c>
      <c r="N825" s="203"/>
    </row>
    <row r="826" spans="1:14" s="185" customFormat="1">
      <c r="B826" s="23" t="s">
        <v>22</v>
      </c>
      <c r="C826" s="222">
        <v>0</v>
      </c>
      <c r="D826" s="225">
        <v>0</v>
      </c>
      <c r="E826" s="223">
        <v>0.11181887980278341</v>
      </c>
      <c r="F826" s="206">
        <f t="shared" si="197"/>
        <v>0</v>
      </c>
      <c r="G826" s="180">
        <f t="shared" si="198"/>
        <v>755.40795353773831</v>
      </c>
      <c r="H826" s="635">
        <f>ROUND(F826*'Actual Load'!$B$15/'Zonal Load'!$N$15,2)</f>
        <v>0</v>
      </c>
      <c r="I826" s="180">
        <f t="shared" si="199"/>
        <v>0</v>
      </c>
      <c r="J826" s="180">
        <f t="shared" si="202"/>
        <v>0</v>
      </c>
      <c r="K826" s="180">
        <f t="shared" si="203"/>
        <v>755.40795353773831</v>
      </c>
      <c r="L826" s="181">
        <f>E826*'Interest Under Collect '!$J$13</f>
        <v>0.33545663940835024</v>
      </c>
      <c r="M826" s="180">
        <f t="shared" si="200"/>
        <v>755.74341017714664</v>
      </c>
      <c r="N826" s="203"/>
    </row>
    <row r="827" spans="1:14" s="185" customFormat="1">
      <c r="B827" s="23" t="s">
        <v>23</v>
      </c>
      <c r="C827" s="222">
        <v>0</v>
      </c>
      <c r="D827" s="225">
        <v>0</v>
      </c>
      <c r="E827" s="223">
        <v>3.7768195066254819E-2</v>
      </c>
      <c r="F827" s="206">
        <f t="shared" si="197"/>
        <v>0</v>
      </c>
      <c r="G827" s="180">
        <f t="shared" si="198"/>
        <v>255.14828081029907</v>
      </c>
      <c r="H827" s="635">
        <f>ROUND(F827*'Actual Load'!$B$4/'Zonal Load'!$N$4,2)</f>
        <v>0</v>
      </c>
      <c r="I827" s="180">
        <f t="shared" si="199"/>
        <v>0</v>
      </c>
      <c r="J827" s="180">
        <f t="shared" si="202"/>
        <v>0</v>
      </c>
      <c r="K827" s="180">
        <f t="shared" si="203"/>
        <v>255.14828081029907</v>
      </c>
      <c r="L827" s="181">
        <f>E827*'Interest Under Collect '!$J$13</f>
        <v>0.11330458519876446</v>
      </c>
      <c r="M827" s="180">
        <f t="shared" si="200"/>
        <v>255.26158539549783</v>
      </c>
      <c r="N827" s="203"/>
    </row>
    <row r="828" spans="1:14" s="185" customFormat="1">
      <c r="B828" s="23" t="s">
        <v>24</v>
      </c>
      <c r="C828" s="222">
        <v>0</v>
      </c>
      <c r="D828" s="225">
        <v>0</v>
      </c>
      <c r="E828" s="223">
        <v>3.6100034621644526E-3</v>
      </c>
      <c r="F828" s="206">
        <f t="shared" si="197"/>
        <v>0</v>
      </c>
      <c r="G828" s="180">
        <f t="shared" si="198"/>
        <v>24.387879152675236</v>
      </c>
      <c r="H828" s="635">
        <f>ROUND(F828*'Actual Load'!$B$11/'Zonal Load'!$N$11,2)</f>
        <v>0</v>
      </c>
      <c r="I828" s="180">
        <f t="shared" si="199"/>
        <v>0</v>
      </c>
      <c r="J828" s="180">
        <f t="shared" si="202"/>
        <v>0</v>
      </c>
      <c r="K828" s="180">
        <f t="shared" si="203"/>
        <v>24.387879152675236</v>
      </c>
      <c r="L828" s="181">
        <f>E828*'Interest Under Collect '!$J$13</f>
        <v>1.0830010386493357E-2</v>
      </c>
      <c r="M828" s="180">
        <f t="shared" si="200"/>
        <v>24.398709163061728</v>
      </c>
      <c r="N828" s="203"/>
    </row>
    <row r="829" spans="1:14" s="185" customFormat="1">
      <c r="B829" s="23" t="s">
        <v>26</v>
      </c>
      <c r="C829" s="222">
        <v>0</v>
      </c>
      <c r="D829" s="225">
        <v>0</v>
      </c>
      <c r="E829" s="223">
        <v>9.1186107018586329E-2</v>
      </c>
      <c r="F829" s="206">
        <f t="shared" si="197"/>
        <v>0</v>
      </c>
      <c r="G829" s="180">
        <f t="shared" si="198"/>
        <v>616.02039490534105</v>
      </c>
      <c r="H829" s="635">
        <f>ROUND(F829*'Actual Load'!$B$7/'Zonal Load'!$N$7,2)</f>
        <v>0</v>
      </c>
      <c r="I829" s="180">
        <f t="shared" si="199"/>
        <v>0</v>
      </c>
      <c r="J829" s="180">
        <f t="shared" si="202"/>
        <v>0</v>
      </c>
      <c r="K829" s="180">
        <f t="shared" si="203"/>
        <v>616.02039490534105</v>
      </c>
      <c r="L829" s="181">
        <f>E829*'Interest Under Collect '!$J$13</f>
        <v>0.273558321055759</v>
      </c>
      <c r="M829" s="180">
        <f t="shared" si="200"/>
        <v>616.29395322639675</v>
      </c>
      <c r="N829" s="203"/>
    </row>
    <row r="830" spans="1:14" s="185" customFormat="1">
      <c r="B830" s="23" t="s">
        <v>25</v>
      </c>
      <c r="C830" s="222">
        <v>0</v>
      </c>
      <c r="D830" s="225">
        <v>0</v>
      </c>
      <c r="E830" s="223">
        <v>9.2469991065776469E-2</v>
      </c>
      <c r="F830" s="206">
        <f t="shared" si="197"/>
        <v>0</v>
      </c>
      <c r="G830" s="180">
        <f t="shared" si="198"/>
        <v>624.69385168096073</v>
      </c>
      <c r="H830" s="635">
        <f>ROUND(F830*'Actual Load'!$B$6/'Zonal Load'!$N$6,2)</f>
        <v>0</v>
      </c>
      <c r="I830" s="180">
        <f t="shared" si="199"/>
        <v>0</v>
      </c>
      <c r="J830" s="180">
        <f t="shared" si="202"/>
        <v>0</v>
      </c>
      <c r="K830" s="180">
        <f t="shared" si="203"/>
        <v>624.69385168096073</v>
      </c>
      <c r="L830" s="181">
        <f>E830*'Interest Under Collect '!$J$13</f>
        <v>0.27740997319732941</v>
      </c>
      <c r="M830" s="180">
        <f t="shared" si="200"/>
        <v>624.97126165415807</v>
      </c>
      <c r="N830" s="203"/>
    </row>
    <row r="831" spans="1:14" s="185" customFormat="1">
      <c r="B831" s="23" t="s">
        <v>119</v>
      </c>
      <c r="C831" s="222">
        <v>0</v>
      </c>
      <c r="D831" s="225">
        <v>0</v>
      </c>
      <c r="E831" s="223">
        <v>6.2866320580590284E-3</v>
      </c>
      <c r="F831" s="206">
        <f t="shared" si="197"/>
        <v>0</v>
      </c>
      <c r="G831" s="180">
        <f t="shared" si="198"/>
        <v>42.470214922551023</v>
      </c>
      <c r="H831" s="635">
        <f>ROUND(F831*'Actual Load'!$B$18/'Zonal Load'!$N$18,2)</f>
        <v>0</v>
      </c>
      <c r="I831" s="180">
        <f t="shared" si="199"/>
        <v>0</v>
      </c>
      <c r="J831" s="180">
        <f t="shared" si="202"/>
        <v>0</v>
      </c>
      <c r="K831" s="180">
        <f t="shared" si="203"/>
        <v>42.470214922551023</v>
      </c>
      <c r="L831" s="181">
        <f>E831*'Interest Under Collect '!$J$13</f>
        <v>1.8859896174177083E-2</v>
      </c>
      <c r="M831" s="180">
        <f t="shared" si="200"/>
        <v>42.4890748187252</v>
      </c>
      <c r="N831" s="203"/>
    </row>
    <row r="832" spans="1:14" s="185" customFormat="1">
      <c r="B832" s="23" t="s">
        <v>120</v>
      </c>
      <c r="C832" s="222">
        <v>0</v>
      </c>
      <c r="D832" s="225">
        <v>0</v>
      </c>
      <c r="E832" s="223">
        <v>1.648611689400012E-3</v>
      </c>
      <c r="F832" s="206">
        <f t="shared" si="197"/>
        <v>0</v>
      </c>
      <c r="G832" s="180">
        <f t="shared" si="198"/>
        <v>11.137424956005118</v>
      </c>
      <c r="H832" s="635">
        <f>ROUND(F832*'Actual Load'!$B$17/'Zonal Load'!$N$17,2)</f>
        <v>0</v>
      </c>
      <c r="I832" s="180">
        <f t="shared" si="199"/>
        <v>0</v>
      </c>
      <c r="J832" s="180">
        <f t="shared" si="202"/>
        <v>0</v>
      </c>
      <c r="K832" s="180">
        <f t="shared" si="203"/>
        <v>11.137424956005118</v>
      </c>
      <c r="L832" s="181">
        <f>E832*'Interest Under Collect '!$J$13</f>
        <v>4.9458350682000359E-3</v>
      </c>
      <c r="M832" s="180">
        <f t="shared" si="200"/>
        <v>11.142370791073319</v>
      </c>
      <c r="N832" s="203"/>
    </row>
    <row r="833" spans="2:14" s="185" customFormat="1">
      <c r="B833" s="23" t="s">
        <v>27</v>
      </c>
      <c r="C833" s="222">
        <v>0</v>
      </c>
      <c r="D833" s="225">
        <v>0</v>
      </c>
      <c r="E833" s="223">
        <v>4.0922060906846145E-3</v>
      </c>
      <c r="F833" s="206">
        <f t="shared" si="197"/>
        <v>0</v>
      </c>
      <c r="G833" s="180">
        <f t="shared" si="198"/>
        <v>27.645465898700451</v>
      </c>
      <c r="H833" s="635">
        <f>ROUND(F833*'Actual Load'!$B$12/'Zonal Load'!$N$12,2)</f>
        <v>0</v>
      </c>
      <c r="I833" s="180">
        <f t="shared" si="199"/>
        <v>0</v>
      </c>
      <c r="J833" s="180">
        <f t="shared" si="202"/>
        <v>0</v>
      </c>
      <c r="K833" s="180">
        <f t="shared" si="203"/>
        <v>27.645465898700451</v>
      </c>
      <c r="L833" s="181">
        <f>E833*'Interest Under Collect '!$J$13</f>
        <v>1.2276618272053844E-2</v>
      </c>
      <c r="M833" s="180">
        <f t="shared" si="200"/>
        <v>27.657742516972505</v>
      </c>
      <c r="N833" s="203"/>
    </row>
    <row r="834" spans="2:14" s="185" customFormat="1">
      <c r="B834" s="23" t="s">
        <v>28</v>
      </c>
      <c r="C834" s="222">
        <v>0</v>
      </c>
      <c r="D834" s="225">
        <v>0</v>
      </c>
      <c r="E834" s="223">
        <v>6.2121643332113466E-3</v>
      </c>
      <c r="F834" s="206">
        <f t="shared" si="197"/>
        <v>0</v>
      </c>
      <c r="G834" s="180">
        <f t="shared" si="198"/>
        <v>41.967137877502694</v>
      </c>
      <c r="H834" s="635">
        <f>ROUND(F834*'Actual Load'!$B$24/'Zonal Load'!$N$24,2)</f>
        <v>0</v>
      </c>
      <c r="I834" s="180">
        <f t="shared" si="199"/>
        <v>0</v>
      </c>
      <c r="J834" s="180">
        <f t="shared" si="202"/>
        <v>0</v>
      </c>
      <c r="K834" s="180">
        <f t="shared" si="203"/>
        <v>41.967137877502694</v>
      </c>
      <c r="L834" s="181">
        <f>E834*'Interest Under Collect '!$J$13</f>
        <v>1.863649299963404E-2</v>
      </c>
      <c r="M834" s="180">
        <f t="shared" si="200"/>
        <v>41.985774370502327</v>
      </c>
      <c r="N834" s="203"/>
    </row>
    <row r="835" spans="2:14" s="185" customFormat="1">
      <c r="B835" s="23" t="s">
        <v>29</v>
      </c>
      <c r="C835" s="222">
        <v>0</v>
      </c>
      <c r="D835" s="225">
        <v>0</v>
      </c>
      <c r="E835" s="223">
        <v>0.12997945640327885</v>
      </c>
      <c r="F835" s="206">
        <f t="shared" si="197"/>
        <v>0</v>
      </c>
      <c r="G835" s="180">
        <f t="shared" si="198"/>
        <v>878.09424791880679</v>
      </c>
      <c r="H835" s="635">
        <f>ROUND(F835*'Actual Load'!$B$5/'Zonal Load'!$N$5,2)</f>
        <v>0</v>
      </c>
      <c r="I835" s="180">
        <f t="shared" si="199"/>
        <v>0</v>
      </c>
      <c r="J835" s="180">
        <f t="shared" si="202"/>
        <v>0</v>
      </c>
      <c r="K835" s="180">
        <f t="shared" si="203"/>
        <v>878.09424791880679</v>
      </c>
      <c r="L835" s="181">
        <f>E835*'Interest Under Collect '!$J$13</f>
        <v>0.38993836920983654</v>
      </c>
      <c r="M835" s="180">
        <f t="shared" si="200"/>
        <v>878.48418628801664</v>
      </c>
      <c r="N835" s="203"/>
    </row>
    <row r="836" spans="2:14" s="185" customFormat="1">
      <c r="B836" s="23" t="s">
        <v>30</v>
      </c>
      <c r="C836" s="222">
        <v>0</v>
      </c>
      <c r="D836" s="225">
        <v>0</v>
      </c>
      <c r="E836" s="223">
        <v>0.10337469072967656</v>
      </c>
      <c r="F836" s="206">
        <f t="shared" si="197"/>
        <v>0</v>
      </c>
      <c r="G836" s="180">
        <f t="shared" si="198"/>
        <v>698.36206291308019</v>
      </c>
      <c r="H836" s="635">
        <f>ROUND(F836*'Actual Load'!$B$21/'Zonal Load'!$N$21,2)</f>
        <v>0</v>
      </c>
      <c r="I836" s="180">
        <f t="shared" si="199"/>
        <v>0</v>
      </c>
      <c r="J836" s="180">
        <f t="shared" si="202"/>
        <v>0</v>
      </c>
      <c r="K836" s="180">
        <f t="shared" si="203"/>
        <v>698.36206291308019</v>
      </c>
      <c r="L836" s="181">
        <f>E836*'Interest Under Collect '!$J$13</f>
        <v>0.31012407218902971</v>
      </c>
      <c r="M836" s="180">
        <f t="shared" si="200"/>
        <v>698.67218698526926</v>
      </c>
      <c r="N836" s="203"/>
    </row>
    <row r="837" spans="2:14" s="185" customFormat="1">
      <c r="B837" s="23" t="s">
        <v>31</v>
      </c>
      <c r="C837" s="222">
        <v>0</v>
      </c>
      <c r="D837" s="225">
        <v>0</v>
      </c>
      <c r="E837" s="223">
        <v>2.2805265048225574E-2</v>
      </c>
      <c r="F837" s="206">
        <f t="shared" si="197"/>
        <v>0</v>
      </c>
      <c r="G837" s="180">
        <f t="shared" si="198"/>
        <v>154.06413148074634</v>
      </c>
      <c r="H837" s="635">
        <f>ROUND(F837*'Actual Load'!$B$19/'Zonal Load'!$N$19,2)</f>
        <v>0</v>
      </c>
      <c r="I837" s="180">
        <f t="shared" si="199"/>
        <v>0</v>
      </c>
      <c r="J837" s="180">
        <f t="shared" si="202"/>
        <v>0</v>
      </c>
      <c r="K837" s="180">
        <f t="shared" si="203"/>
        <v>154.06413148074634</v>
      </c>
      <c r="L837" s="181">
        <f>E837*'Interest Under Collect '!$J$13</f>
        <v>6.8415795144676717E-2</v>
      </c>
      <c r="M837" s="180">
        <f t="shared" si="200"/>
        <v>154.13254727589103</v>
      </c>
      <c r="N837" s="203"/>
    </row>
    <row r="838" spans="2:14" s="185" customFormat="1">
      <c r="B838" s="23" t="s">
        <v>32</v>
      </c>
      <c r="C838" s="222">
        <v>0</v>
      </c>
      <c r="D838" s="225">
        <v>0</v>
      </c>
      <c r="E838" s="223">
        <v>3.449299661832504E-3</v>
      </c>
      <c r="F838" s="206">
        <f t="shared" si="197"/>
        <v>0</v>
      </c>
      <c r="G838" s="180">
        <f t="shared" si="198"/>
        <v>23.302222337398565</v>
      </c>
      <c r="H838" s="635">
        <f>ROUND(F838*'Actual Load'!$B$25/'Zonal Load'!$N$25,2)</f>
        <v>0</v>
      </c>
      <c r="I838" s="180">
        <f t="shared" si="199"/>
        <v>0</v>
      </c>
      <c r="J838" s="180">
        <f t="shared" si="202"/>
        <v>0</v>
      </c>
      <c r="K838" s="180">
        <f t="shared" si="203"/>
        <v>23.302222337398565</v>
      </c>
      <c r="L838" s="181">
        <f>E838*'Interest Under Collect '!$J$13</f>
        <v>1.0347898985497511E-2</v>
      </c>
      <c r="M838" s="180">
        <f t="shared" si="200"/>
        <v>23.312570236384062</v>
      </c>
      <c r="N838" s="203"/>
    </row>
    <row r="839" spans="2:14" s="185" customFormat="1">
      <c r="B839" s="23" t="s">
        <v>33</v>
      </c>
      <c r="C839" s="222">
        <v>0</v>
      </c>
      <c r="D839" s="225">
        <v>0</v>
      </c>
      <c r="E839" s="223">
        <v>1.3602466980428713E-2</v>
      </c>
      <c r="F839" s="206">
        <f t="shared" si="197"/>
        <v>0</v>
      </c>
      <c r="G839" s="180">
        <f t="shared" si="198"/>
        <v>91.893352561510241</v>
      </c>
      <c r="H839" s="635">
        <f>ROUND(F839*'Actual Load'!$B$13/'Zonal Load'!$N$13,2)</f>
        <v>0</v>
      </c>
      <c r="I839" s="180">
        <f t="shared" si="199"/>
        <v>0</v>
      </c>
      <c r="J839" s="180">
        <f t="shared" si="202"/>
        <v>0</v>
      </c>
      <c r="K839" s="180">
        <f t="shared" si="203"/>
        <v>91.893352561510241</v>
      </c>
      <c r="L839" s="181">
        <f>E839*'Interest Under Collect '!$J$13</f>
        <v>4.080740094128614E-2</v>
      </c>
      <c r="M839" s="180">
        <f t="shared" si="200"/>
        <v>91.934159962451531</v>
      </c>
      <c r="N839" s="203"/>
    </row>
    <row r="840" spans="2:14" s="185" customFormat="1">
      <c r="B840" s="23" t="s">
        <v>34</v>
      </c>
      <c r="C840" s="222">
        <v>0</v>
      </c>
      <c r="D840" s="225">
        <v>0</v>
      </c>
      <c r="E840" s="223">
        <v>1.6744707827921659E-2</v>
      </c>
      <c r="F840" s="206">
        <f t="shared" si="197"/>
        <v>0</v>
      </c>
      <c r="G840" s="180">
        <f t="shared" si="198"/>
        <v>113.12119648477095</v>
      </c>
      <c r="H840" s="635">
        <f>ROUND(F840*'Actual Load'!$B$23/'Zonal Load'!$N$23,2)</f>
        <v>0</v>
      </c>
      <c r="I840" s="180">
        <f t="shared" si="199"/>
        <v>0</v>
      </c>
      <c r="J840" s="180">
        <f t="shared" si="202"/>
        <v>0</v>
      </c>
      <c r="K840" s="180">
        <f t="shared" si="203"/>
        <v>113.12119648477095</v>
      </c>
      <c r="L840" s="181">
        <f>E840*'Interest Under Collect '!$J$13</f>
        <v>5.0234123483764978E-2</v>
      </c>
      <c r="M840" s="180">
        <f t="shared" si="200"/>
        <v>113.17143060825471</v>
      </c>
      <c r="N840" s="203"/>
    </row>
    <row r="841" spans="2:14" s="185" customFormat="1">
      <c r="B841" s="23" t="s">
        <v>35</v>
      </c>
      <c r="C841" s="222">
        <v>0</v>
      </c>
      <c r="D841" s="225">
        <v>0</v>
      </c>
      <c r="E841" s="223">
        <v>6.7047929645103234E-3</v>
      </c>
      <c r="F841" s="206">
        <f t="shared" si="197"/>
        <v>0</v>
      </c>
      <c r="G841" s="180">
        <f t="shared" si="198"/>
        <v>45.295158931550077</v>
      </c>
      <c r="H841" s="635">
        <f>ROUND(F841*'Actual Load'!$B$20/'Zonal Load'!$N$20,2)</f>
        <v>0</v>
      </c>
      <c r="I841" s="180">
        <f t="shared" si="199"/>
        <v>0</v>
      </c>
      <c r="J841" s="180">
        <f t="shared" si="202"/>
        <v>0</v>
      </c>
      <c r="K841" s="180">
        <f t="shared" si="203"/>
        <v>45.295158931550077</v>
      </c>
      <c r="L841" s="181">
        <f>E841*'Interest Under Collect '!$J$13</f>
        <v>2.011437889353097E-2</v>
      </c>
      <c r="M841" s="180">
        <f t="shared" si="200"/>
        <v>45.315273310443608</v>
      </c>
      <c r="N841" s="203"/>
    </row>
    <row r="842" spans="2:14" s="185" customFormat="1">
      <c r="B842" s="205" t="s">
        <v>112</v>
      </c>
      <c r="C842" s="222">
        <v>0</v>
      </c>
      <c r="D842" s="225">
        <v>0</v>
      </c>
      <c r="E842" s="223">
        <v>5.5422910481718338E-2</v>
      </c>
      <c r="F842" s="206">
        <f t="shared" si="197"/>
        <v>0</v>
      </c>
      <c r="G842" s="180">
        <f t="shared" si="198"/>
        <v>374.4171597850148</v>
      </c>
      <c r="H842" s="635">
        <f>ROUND(F842*'Actual Load'!$B$27/'Zonal Load'!$N$27,2)</f>
        <v>0</v>
      </c>
      <c r="I842" s="180">
        <f t="shared" si="199"/>
        <v>0</v>
      </c>
      <c r="J842" s="180">
        <f>I842-F842</f>
        <v>0</v>
      </c>
      <c r="K842" s="180">
        <f>+G842+J842</f>
        <v>374.4171597850148</v>
      </c>
      <c r="L842" s="181">
        <f>E842*'Interest Under Collect '!$J$13</f>
        <v>0.16626873144515503</v>
      </c>
      <c r="M842" s="180">
        <f t="shared" si="200"/>
        <v>374.58342851645995</v>
      </c>
      <c r="N842" s="203"/>
    </row>
    <row r="843" spans="2:14" s="185" customFormat="1">
      <c r="B843" s="205" t="s">
        <v>113</v>
      </c>
      <c r="C843" s="222">
        <v>0</v>
      </c>
      <c r="D843" s="225">
        <v>0</v>
      </c>
      <c r="E843" s="223">
        <v>1.5698693034130169E-3</v>
      </c>
      <c r="F843" s="206">
        <f t="shared" si="197"/>
        <v>0</v>
      </c>
      <c r="G843" s="180">
        <f t="shared" si="198"/>
        <v>10.605469844667704</v>
      </c>
      <c r="H843" s="635">
        <f>ROUND(F843*'Actual Load'!$B$28/'Zonal Load'!$N$28,2)</f>
        <v>0</v>
      </c>
      <c r="I843" s="180">
        <f t="shared" si="199"/>
        <v>0</v>
      </c>
      <c r="J843" s="180">
        <f>I843-F843</f>
        <v>0</v>
      </c>
      <c r="K843" s="180">
        <f>+G843+J843</f>
        <v>10.605469844667704</v>
      </c>
      <c r="L843" s="181">
        <f>E843*'Interest Under Collect '!$J$13</f>
        <v>4.709607910239051E-3</v>
      </c>
      <c r="M843" s="180">
        <f t="shared" si="200"/>
        <v>10.610179452577944</v>
      </c>
      <c r="N843" s="203"/>
    </row>
    <row r="844" spans="2:14" s="185" customFormat="1">
      <c r="B844" s="205" t="s">
        <v>121</v>
      </c>
      <c r="C844" s="222">
        <v>0</v>
      </c>
      <c r="D844" s="225">
        <v>0</v>
      </c>
      <c r="E844" s="223">
        <v>1.142331510712526E-2</v>
      </c>
      <c r="F844" s="206">
        <f t="shared" si="197"/>
        <v>0</v>
      </c>
      <c r="G844" s="180">
        <f t="shared" si="198"/>
        <v>77.17178979891213</v>
      </c>
      <c r="H844" s="635">
        <f>ROUND(F844*'Actual Load'!$B$29/'Zonal Load'!$N$29,2)</f>
        <v>0</v>
      </c>
      <c r="I844" s="180">
        <f t="shared" si="199"/>
        <v>0</v>
      </c>
      <c r="J844" s="180">
        <f>I844-F844</f>
        <v>0</v>
      </c>
      <c r="K844" s="180">
        <f>+G844+J844</f>
        <v>77.17178979891213</v>
      </c>
      <c r="L844" s="181">
        <f>E844*'Interest Under Collect '!$J$13</f>
        <v>3.4269945321375783E-2</v>
      </c>
      <c r="M844" s="180">
        <f t="shared" si="200"/>
        <v>77.206059744233499</v>
      </c>
      <c r="N844" s="203"/>
    </row>
    <row r="845" spans="2:14" s="185" customFormat="1">
      <c r="B845" s="205" t="s">
        <v>122</v>
      </c>
      <c r="C845" s="222">
        <v>0</v>
      </c>
      <c r="D845" s="225">
        <v>0</v>
      </c>
      <c r="E845" s="223">
        <v>1.9134973224992628E-2</v>
      </c>
      <c r="F845" s="206">
        <f t="shared" si="197"/>
        <v>0</v>
      </c>
      <c r="G845" s="180">
        <f t="shared" si="198"/>
        <v>129.26896594193292</v>
      </c>
      <c r="H845" s="635">
        <f>ROUND(F845*'Actual Load'!$B$30/'Zonal Load'!$N$30,2)</f>
        <v>0</v>
      </c>
      <c r="I845" s="180">
        <f t="shared" si="199"/>
        <v>0</v>
      </c>
      <c r="J845" s="180">
        <f>I845-F845</f>
        <v>0</v>
      </c>
      <c r="K845" s="180">
        <f>+G845+J845</f>
        <v>129.26896594193292</v>
      </c>
      <c r="L845" s="181">
        <f>E845*'Interest Under Collect '!$J$13</f>
        <v>5.7404919674977885E-2</v>
      </c>
      <c r="M845" s="180">
        <f t="shared" si="200"/>
        <v>129.3263708616079</v>
      </c>
      <c r="N845" s="203"/>
    </row>
    <row r="846" spans="2:14" s="185" customFormat="1">
      <c r="B846" s="205" t="s">
        <v>271</v>
      </c>
      <c r="C846" s="222">
        <v>0</v>
      </c>
      <c r="D846" s="225">
        <v>0</v>
      </c>
      <c r="E846" s="223">
        <v>0</v>
      </c>
      <c r="F846" s="206">
        <f t="shared" si="197"/>
        <v>0</v>
      </c>
      <c r="G846" s="180">
        <f t="shared" si="198"/>
        <v>0</v>
      </c>
      <c r="H846" s="635">
        <f>ROUND(F846*'Actual Load'!$B$31/'Zonal Load'!$N$31,2)</f>
        <v>0</v>
      </c>
      <c r="I846" s="180">
        <f t="shared" si="199"/>
        <v>0</v>
      </c>
      <c r="J846" s="180">
        <f t="shared" ref="J846:J851" si="204">I846-F846</f>
        <v>0</v>
      </c>
      <c r="K846" s="180">
        <f t="shared" ref="K846:K851" si="205">+G846+J846</f>
        <v>0</v>
      </c>
      <c r="L846" s="181">
        <f>E846*'Interest Under Collect '!$J$13</f>
        <v>0</v>
      </c>
      <c r="M846" s="180">
        <f t="shared" ref="M846:M851" si="206">+K846+L846</f>
        <v>0</v>
      </c>
      <c r="N846" s="203"/>
    </row>
    <row r="847" spans="2:14" s="185" customFormat="1">
      <c r="B847" s="205" t="s">
        <v>273</v>
      </c>
      <c r="C847" s="222">
        <v>0</v>
      </c>
      <c r="D847" s="225">
        <v>0</v>
      </c>
      <c r="E847" s="223">
        <v>0</v>
      </c>
      <c r="F847" s="206">
        <f t="shared" si="197"/>
        <v>0</v>
      </c>
      <c r="G847" s="180">
        <f t="shared" si="198"/>
        <v>0</v>
      </c>
      <c r="H847" s="635">
        <f>ROUND(F847*'Actual Load'!$B$32/'Zonal Load'!$N$32,2)</f>
        <v>0</v>
      </c>
      <c r="I847" s="180">
        <f t="shared" si="199"/>
        <v>0</v>
      </c>
      <c r="J847" s="180">
        <f t="shared" si="204"/>
        <v>0</v>
      </c>
      <c r="K847" s="180">
        <f t="shared" si="205"/>
        <v>0</v>
      </c>
      <c r="L847" s="181">
        <f>E847*'Interest Under Collect '!$J$13</f>
        <v>0</v>
      </c>
      <c r="M847" s="180">
        <f t="shared" si="206"/>
        <v>0</v>
      </c>
      <c r="N847" s="203"/>
    </row>
    <row r="848" spans="2:14" s="185" customFormat="1">
      <c r="B848" s="205" t="s">
        <v>277</v>
      </c>
      <c r="C848" s="222">
        <v>0</v>
      </c>
      <c r="D848" s="225">
        <v>0</v>
      </c>
      <c r="E848" s="223">
        <v>0</v>
      </c>
      <c r="F848" s="206">
        <f t="shared" si="197"/>
        <v>0</v>
      </c>
      <c r="G848" s="180">
        <f t="shared" si="198"/>
        <v>0</v>
      </c>
      <c r="H848" s="180">
        <f>ROUND(F848*'Actual Load'!$B$33/'Zonal Load'!$N$33,2)</f>
        <v>0</v>
      </c>
      <c r="I848" s="180">
        <f t="shared" si="199"/>
        <v>0</v>
      </c>
      <c r="J848" s="180">
        <f t="shared" si="204"/>
        <v>0</v>
      </c>
      <c r="K848" s="180">
        <f t="shared" si="205"/>
        <v>0</v>
      </c>
      <c r="L848" s="181">
        <f>E848*'Interest Under Collect '!$J$13</f>
        <v>0</v>
      </c>
      <c r="M848" s="180">
        <f t="shared" si="206"/>
        <v>0</v>
      </c>
      <c r="N848" s="203"/>
    </row>
    <row r="849" spans="1:17" s="185" customFormat="1">
      <c r="B849" s="205" t="s">
        <v>279</v>
      </c>
      <c r="C849" s="222">
        <v>0</v>
      </c>
      <c r="D849" s="225">
        <v>0</v>
      </c>
      <c r="E849" s="223">
        <v>0</v>
      </c>
      <c r="F849" s="206">
        <f t="shared" si="197"/>
        <v>0</v>
      </c>
      <c r="G849" s="180">
        <f t="shared" si="198"/>
        <v>0</v>
      </c>
      <c r="H849" s="180">
        <f>ROUND(F849*'Actual Load'!$B$34/'Zonal Load'!$N$34,2)</f>
        <v>0</v>
      </c>
      <c r="I849" s="180">
        <f t="shared" si="199"/>
        <v>0</v>
      </c>
      <c r="J849" s="180">
        <f t="shared" si="204"/>
        <v>0</v>
      </c>
      <c r="K849" s="180">
        <f t="shared" si="205"/>
        <v>0</v>
      </c>
      <c r="L849" s="181">
        <f>E849*'Interest Under Collect '!$J$13</f>
        <v>0</v>
      </c>
      <c r="M849" s="180">
        <f t="shared" si="206"/>
        <v>0</v>
      </c>
      <c r="N849" s="203"/>
    </row>
    <row r="850" spans="1:17" s="185" customFormat="1">
      <c r="B850" s="205" t="s">
        <v>274</v>
      </c>
      <c r="C850" s="222">
        <v>0</v>
      </c>
      <c r="D850" s="225">
        <v>0</v>
      </c>
      <c r="E850" s="223">
        <v>0</v>
      </c>
      <c r="F850" s="206">
        <f t="shared" si="197"/>
        <v>0</v>
      </c>
      <c r="G850" s="180">
        <f t="shared" si="198"/>
        <v>0</v>
      </c>
      <c r="H850" s="180">
        <f>ROUND(F850*'Actual Load'!$B$35/'Zonal Load'!$N$35,2)</f>
        <v>0</v>
      </c>
      <c r="I850" s="180">
        <f t="shared" si="199"/>
        <v>0</v>
      </c>
      <c r="J850" s="180">
        <f t="shared" si="204"/>
        <v>0</v>
      </c>
      <c r="K850" s="180">
        <f t="shared" si="205"/>
        <v>0</v>
      </c>
      <c r="L850" s="181">
        <f>E850*'Interest Under Collect '!$J$13</f>
        <v>0</v>
      </c>
      <c r="M850" s="180">
        <f t="shared" si="206"/>
        <v>0</v>
      </c>
      <c r="N850" s="203"/>
    </row>
    <row r="851" spans="1:17" s="185" customFormat="1">
      <c r="B851" s="205" t="s">
        <v>278</v>
      </c>
      <c r="C851" s="222">
        <v>0</v>
      </c>
      <c r="D851" s="225">
        <v>0</v>
      </c>
      <c r="E851" s="223">
        <v>0</v>
      </c>
      <c r="F851" s="206">
        <f t="shared" si="197"/>
        <v>0</v>
      </c>
      <c r="G851" s="180">
        <f t="shared" si="198"/>
        <v>0</v>
      </c>
      <c r="H851" s="180">
        <f>ROUND(F851*'Actual Load'!$B$36/'Zonal Load'!$N$36,2)</f>
        <v>0</v>
      </c>
      <c r="I851" s="180">
        <f t="shared" si="199"/>
        <v>0</v>
      </c>
      <c r="J851" s="180">
        <f t="shared" si="204"/>
        <v>0</v>
      </c>
      <c r="K851" s="180">
        <f t="shared" si="205"/>
        <v>0</v>
      </c>
      <c r="L851" s="181">
        <f>E851*'Interest Under Collect '!$J$13</f>
        <v>0</v>
      </c>
      <c r="M851" s="180">
        <f t="shared" si="206"/>
        <v>0</v>
      </c>
      <c r="N851" s="203"/>
    </row>
    <row r="852" spans="1:17" s="185" customFormat="1">
      <c r="B852" s="205" t="s">
        <v>284</v>
      </c>
      <c r="C852" s="222">
        <v>0</v>
      </c>
      <c r="D852" s="225">
        <v>0</v>
      </c>
      <c r="E852" s="223">
        <v>0</v>
      </c>
      <c r="F852" s="206">
        <f t="shared" si="197"/>
        <v>0</v>
      </c>
      <c r="G852" s="180">
        <f t="shared" si="198"/>
        <v>0</v>
      </c>
      <c r="H852" s="180">
        <f>ROUND(F852*'Actual Load'!$B$37/'Zonal Load'!$N$37,2)</f>
        <v>0</v>
      </c>
      <c r="I852" s="180">
        <f t="shared" si="199"/>
        <v>0</v>
      </c>
      <c r="J852" s="180">
        <f>I852-F852</f>
        <v>0</v>
      </c>
      <c r="K852" s="180">
        <f>+G852+J852</f>
        <v>0</v>
      </c>
      <c r="L852" s="181">
        <f>E852*'Interest Under Collect '!$J$13</f>
        <v>0</v>
      </c>
      <c r="M852" s="180">
        <f t="shared" si="200"/>
        <v>0</v>
      </c>
      <c r="N852" s="203"/>
    </row>
    <row r="853" spans="1:17" s="172" customFormat="1">
      <c r="B853" s="559"/>
      <c r="C853" s="558">
        <f>SUM(C818:C845)</f>
        <v>0</v>
      </c>
      <c r="D853" s="27">
        <f>SUM(D818:D845)</f>
        <v>0</v>
      </c>
      <c r="E853" s="100">
        <f>SUM(E818:E845)</f>
        <v>0.99999999999999944</v>
      </c>
      <c r="F853" s="95">
        <f>SUM(F818:F845)</f>
        <v>0</v>
      </c>
      <c r="G853" s="138">
        <f>SUM(G818:G845)</f>
        <v>6755.6387156628844</v>
      </c>
      <c r="H853" s="138">
        <f t="shared" ref="H853:M853" si="207">SUM(H818:H845)</f>
        <v>0</v>
      </c>
      <c r="I853" s="138">
        <f t="shared" si="207"/>
        <v>0</v>
      </c>
      <c r="J853" s="138">
        <f t="shared" si="207"/>
        <v>0</v>
      </c>
      <c r="K853" s="587">
        <f t="shared" si="207"/>
        <v>6755.6387156628844</v>
      </c>
      <c r="L853" s="138">
        <f t="shared" si="207"/>
        <v>3.0000000000000004</v>
      </c>
      <c r="M853" s="138">
        <f t="shared" si="207"/>
        <v>6758.6387156628834</v>
      </c>
      <c r="N853" s="203"/>
    </row>
    <row r="854" spans="1:17" s="172" customFormat="1">
      <c r="G854" s="21"/>
      <c r="H854" s="133"/>
      <c r="I854" s="80"/>
      <c r="J854" s="91"/>
      <c r="N854" s="203"/>
    </row>
    <row r="855" spans="1:17" s="172" customFormat="1">
      <c r="E855" s="96" t="s">
        <v>618</v>
      </c>
      <c r="F855" s="178">
        <v>0</v>
      </c>
      <c r="G855" s="632"/>
      <c r="H855" s="633"/>
      <c r="J855" s="91"/>
      <c r="N855" s="203"/>
    </row>
    <row r="856" spans="1:17" s="172" customFormat="1">
      <c r="E856" s="97" t="s">
        <v>619</v>
      </c>
      <c r="F856" s="179">
        <v>-6755.6387156628862</v>
      </c>
      <c r="G856" s="632">
        <f>F855-F856</f>
        <v>6755.6387156628862</v>
      </c>
      <c r="H856" s="634"/>
      <c r="I856" s="29"/>
      <c r="J856" s="91"/>
      <c r="L856" s="84"/>
      <c r="N856" s="203"/>
    </row>
    <row r="857" spans="1:17" s="172" customFormat="1">
      <c r="E857" s="97" t="s">
        <v>160</v>
      </c>
      <c r="F857" s="186">
        <f>I853</f>
        <v>0</v>
      </c>
      <c r="G857" s="632">
        <f>F857-F855</f>
        <v>0</v>
      </c>
      <c r="H857" s="633"/>
      <c r="I857" s="29"/>
      <c r="J857" s="91"/>
      <c r="L857" s="84"/>
      <c r="N857" s="203"/>
    </row>
    <row r="858" spans="1:17" s="172" customFormat="1">
      <c r="G858" s="632">
        <f>G856+G857</f>
        <v>6755.6387156628862</v>
      </c>
      <c r="H858" s="633">
        <f>F857-F856</f>
        <v>6755.6387156628862</v>
      </c>
      <c r="I858" s="29"/>
      <c r="J858" s="91"/>
      <c r="L858" s="84"/>
      <c r="N858" s="203"/>
    </row>
    <row r="859" spans="1:17" s="172" customFormat="1">
      <c r="B859" s="82"/>
      <c r="C859" s="82"/>
      <c r="D859" s="82"/>
      <c r="E859" s="82"/>
      <c r="F859" s="82"/>
      <c r="G859" s="82"/>
      <c r="H859" s="82"/>
      <c r="I859" s="82"/>
      <c r="J859" s="111"/>
      <c r="K859" s="82"/>
      <c r="L859" s="82"/>
      <c r="M859" s="82"/>
      <c r="N859" s="203"/>
    </row>
    <row r="860" spans="1:17" s="172" customFormat="1">
      <c r="E860" s="97"/>
      <c r="F860" s="97"/>
      <c r="H860" s="139"/>
      <c r="I860" s="29"/>
      <c r="J860" s="91"/>
      <c r="L860" s="84"/>
      <c r="N860" s="203"/>
    </row>
    <row r="861" spans="1:17">
      <c r="A861" s="172"/>
      <c r="E861" s="96" t="str">
        <f>$E$81</f>
        <v>2015 Estimated Revenue Requirement</v>
      </c>
      <c r="F861" s="178">
        <f>F81+F121+F161+F203+F243+F285+F327+F367+F409+F451+F493+F535+F577+F619+F664+F710+F756+F855+F802</f>
        <v>69555635.542111367</v>
      </c>
      <c r="G861" s="172"/>
      <c r="N861" s="203"/>
      <c r="P861" s="172"/>
      <c r="Q861" s="172"/>
    </row>
    <row r="862" spans="1:17">
      <c r="A862" s="172"/>
      <c r="E862" s="556" t="s">
        <v>638</v>
      </c>
      <c r="F862" s="179">
        <f>F82+F122+F162+F204+F244+F286+F328+F368+F410+F452+F494+F536+F578+F620+F665+F711+F757+F856+F803</f>
        <v>71337404.306775272</v>
      </c>
      <c r="G862" s="632">
        <f>F861-F862</f>
        <v>-1781768.7646639049</v>
      </c>
      <c r="H862" s="633"/>
      <c r="N862" s="203"/>
      <c r="P862" s="172"/>
      <c r="Q862" s="172"/>
    </row>
    <row r="863" spans="1:17">
      <c r="A863" s="172"/>
      <c r="E863" s="97" t="s">
        <v>161</v>
      </c>
      <c r="F863" s="186">
        <f>F83+F123+F163+F205+F245+F287+F329+F369+F411+F453+F495+F537+F579+F621+F666+F712+F758+F857+F804</f>
        <v>70319917.25999999</v>
      </c>
      <c r="G863" s="632">
        <f>F863-F861</f>
        <v>764281.71788862348</v>
      </c>
      <c r="H863" s="634"/>
      <c r="N863" s="203"/>
      <c r="P863" s="172"/>
      <c r="Q863" s="172"/>
    </row>
    <row r="864" spans="1:17">
      <c r="A864" s="172"/>
      <c r="F864" s="21"/>
      <c r="G864" s="632">
        <f>G862+G863</f>
        <v>-1017487.0467752814</v>
      </c>
      <c r="H864" s="633">
        <f>F863-F862</f>
        <v>-1017487.0467752814</v>
      </c>
      <c r="N864" s="203"/>
      <c r="P864" s="172"/>
      <c r="Q864" s="172"/>
    </row>
    <row r="865" spans="1:17" ht="31.5">
      <c r="A865" s="172"/>
      <c r="M865" s="600" t="s">
        <v>54</v>
      </c>
      <c r="N865" s="203"/>
      <c r="P865" s="172"/>
      <c r="Q865" s="172"/>
    </row>
    <row r="866" spans="1:17">
      <c r="A866" s="172"/>
      <c r="F866" s="563" t="s">
        <v>635</v>
      </c>
      <c r="G866" s="157" t="s">
        <v>168</v>
      </c>
      <c r="H866" s="158" t="s">
        <v>169</v>
      </c>
      <c r="I866" s="157" t="s">
        <v>170</v>
      </c>
      <c r="J866" s="159" t="s">
        <v>171</v>
      </c>
      <c r="K866" s="157" t="s">
        <v>172</v>
      </c>
      <c r="L866" s="157" t="s">
        <v>173</v>
      </c>
      <c r="M866" s="157" t="s">
        <v>174</v>
      </c>
      <c r="N866" s="203"/>
      <c r="P866" s="172"/>
      <c r="Q866" s="172"/>
    </row>
    <row r="867" spans="1:17" ht="25.5" customHeight="1">
      <c r="A867" s="172"/>
      <c r="F867" s="91">
        <f>F79+F119+F159+F201+F241+F283+F325+F365+F407+F449+F491+F533+F575+F617+F662+F708+F754+F800+F853</f>
        <v>69555635.559999987</v>
      </c>
      <c r="G867" s="91">
        <f t="shared" ref="G867:M867" si="208">G79+G119+G159+G201+G241+G283+G325+G365+G407+G449+G491+G533+G575+G617+G662+G708+G754+G800+G853</f>
        <v>-1781768.7635074563</v>
      </c>
      <c r="H867" s="91">
        <f t="shared" si="208"/>
        <v>66997013.170000009</v>
      </c>
      <c r="I867" s="91">
        <f t="shared" si="208"/>
        <v>70319917.25999999</v>
      </c>
      <c r="J867" s="91">
        <f t="shared" si="208"/>
        <v>764281.7</v>
      </c>
      <c r="K867" s="91">
        <f t="shared" si="208"/>
        <v>-1017487.0635074561</v>
      </c>
      <c r="L867" s="91">
        <f t="shared" si="208"/>
        <v>20940.090011626391</v>
      </c>
      <c r="M867" s="637">
        <f t="shared" si="208"/>
        <v>-996546.97349582985</v>
      </c>
      <c r="N867" s="203"/>
    </row>
    <row r="868" spans="1:17">
      <c r="A868" s="172"/>
      <c r="N868" s="203"/>
    </row>
    <row r="869" spans="1:17">
      <c r="A869" s="172"/>
      <c r="F869" s="178">
        <f>F81+F121+F161+F203+F243+F327+F367+F409+F451+F493+F664+F855</f>
        <v>37497409.97706122</v>
      </c>
      <c r="J869" s="97" t="s">
        <v>157</v>
      </c>
      <c r="K869" s="34">
        <f>K79+K119+K159+K201+K241+K325+K365+K407+K449+K491+K662</f>
        <v>527459.05202496133</v>
      </c>
      <c r="L869" s="34">
        <f>L79+L119+L159+L201+L241+L325+L365+L407+L449+L491+L662</f>
        <v>35833.989999999991</v>
      </c>
    </row>
    <row r="870" spans="1:17">
      <c r="A870" s="172"/>
      <c r="F870" s="179">
        <f>F286+F536+F578+F620+F711+F757+F803+F856</f>
        <v>33995512.161739022</v>
      </c>
      <c r="I870" s="21"/>
      <c r="J870" s="97" t="s">
        <v>158</v>
      </c>
      <c r="K870" s="34">
        <f>K283+K533+K575+K617+K708+K754+K800+K853</f>
        <v>-1544946.1155324173</v>
      </c>
      <c r="L870" s="34">
        <f>L283+L533+L575+L617+L708+L754+L800+L853</f>
        <v>-14893.899988373603</v>
      </c>
    </row>
    <row r="871" spans="1:17">
      <c r="A871" s="172"/>
      <c r="K871" s="144">
        <f>K867-K869-K870</f>
        <v>0</v>
      </c>
      <c r="L871" s="144">
        <f>L867-L869-L870</f>
        <v>0</v>
      </c>
    </row>
    <row r="872" spans="1:17">
      <c r="A872" s="172"/>
      <c r="B872" s="116" t="s">
        <v>179</v>
      </c>
      <c r="C872" s="117"/>
      <c r="D872" s="117"/>
      <c r="E872" s="117"/>
      <c r="F872" s="117"/>
      <c r="G872" s="117"/>
      <c r="H872" s="156"/>
    </row>
    <row r="873" spans="1:17">
      <c r="A873" s="172"/>
      <c r="B873" s="114"/>
      <c r="C873" s="30"/>
      <c r="D873" s="30"/>
      <c r="E873" s="30"/>
      <c r="F873" s="30"/>
      <c r="G873" s="30"/>
      <c r="H873" s="142"/>
      <c r="K873" s="172"/>
      <c r="L873" s="172"/>
      <c r="M873" s="172"/>
    </row>
    <row r="874" spans="1:17">
      <c r="A874" s="172"/>
      <c r="B874" s="115" t="s">
        <v>16</v>
      </c>
      <c r="C874" s="30"/>
      <c r="D874" s="30"/>
      <c r="E874" s="30"/>
      <c r="F874" s="30"/>
      <c r="G874" s="30"/>
      <c r="H874" s="207">
        <f>H57+H97+H137+H177+H219+H259+H301+H343+H383+H425+H467+H509+H551+H593+H635+H680+H726+H818+H772</f>
        <v>1317605.24</v>
      </c>
      <c r="I874" s="172"/>
      <c r="K874" s="172"/>
      <c r="L874" s="172"/>
      <c r="M874" s="172"/>
    </row>
    <row r="875" spans="1:17">
      <c r="A875" s="172"/>
      <c r="B875" s="115" t="s">
        <v>17</v>
      </c>
      <c r="C875" s="30"/>
      <c r="D875" s="30"/>
      <c r="E875" s="30"/>
      <c r="F875" s="30"/>
      <c r="G875" s="30"/>
      <c r="H875" s="207">
        <f>H58+H98+H138+H178+H220+H260+H302+H344+H384+H426+H468+H510+H552+H594+H636+H681+H727+H819+H773</f>
        <v>61247.47</v>
      </c>
      <c r="I875" s="172"/>
      <c r="K875" s="172"/>
      <c r="L875" s="172"/>
      <c r="M875" s="172"/>
    </row>
    <row r="876" spans="1:17">
      <c r="A876" s="172"/>
      <c r="B876" s="132" t="s">
        <v>201</v>
      </c>
      <c r="C876" s="30"/>
      <c r="D876" s="30"/>
      <c r="E876" s="30"/>
      <c r="F876" s="30"/>
      <c r="G876" s="30"/>
      <c r="H876" s="207">
        <f>H59+H99+H139+H179+H221+H261+H303+H345+H385+H427+H469+H511+H553+H595+H637+H682+H728+H774+H820</f>
        <v>505901.95</v>
      </c>
      <c r="I876" s="172"/>
      <c r="K876" s="172"/>
      <c r="L876" s="172"/>
      <c r="M876" s="172"/>
    </row>
    <row r="877" spans="1:17">
      <c r="A877" s="172"/>
      <c r="B877" s="132" t="s">
        <v>260</v>
      </c>
      <c r="C877" s="30"/>
      <c r="D877" s="30"/>
      <c r="E877" s="30"/>
      <c r="F877" s="30"/>
      <c r="G877" s="30"/>
      <c r="H877" s="207">
        <f>H60+H100+H140+H180+H222+H262+H304+H346+H386+H428+H470+H512+H554+H596+H638+H683+H729+H821+H775</f>
        <v>697934.12</v>
      </c>
      <c r="I877" s="172"/>
      <c r="K877" s="172"/>
      <c r="L877" s="172"/>
      <c r="M877" s="172"/>
    </row>
    <row r="878" spans="1:17">
      <c r="A878" s="172"/>
      <c r="B878" s="115" t="s">
        <v>18</v>
      </c>
      <c r="C878" s="30"/>
      <c r="D878" s="30"/>
      <c r="E878" s="30"/>
      <c r="F878" s="30"/>
      <c r="G878" s="30"/>
      <c r="H878" s="207">
        <f t="shared" ref="H878:H884" si="209">H61+H101+H141+H181+H223+H263+H305+H347+H387+H429+H471+H513+H555+H597+H639+H684+H730+H822+H776</f>
        <v>116802.66</v>
      </c>
      <c r="I878" s="172"/>
      <c r="K878" s="172"/>
      <c r="L878" s="172"/>
      <c r="M878" s="172"/>
    </row>
    <row r="879" spans="1:17">
      <c r="A879" s="172"/>
      <c r="B879" s="115" t="s">
        <v>19</v>
      </c>
      <c r="C879" s="30"/>
      <c r="D879" s="30"/>
      <c r="E879" s="30"/>
      <c r="F879" s="30"/>
      <c r="G879" s="30"/>
      <c r="H879" s="207">
        <f t="shared" si="209"/>
        <v>282465.60000000003</v>
      </c>
      <c r="I879" s="172"/>
      <c r="K879" s="172"/>
      <c r="L879" s="172"/>
      <c r="M879" s="172"/>
    </row>
    <row r="880" spans="1:17">
      <c r="A880" s="172"/>
      <c r="B880" s="115" t="s">
        <v>20</v>
      </c>
      <c r="C880" s="30"/>
      <c r="D880" s="30"/>
      <c r="E880" s="30"/>
      <c r="F880" s="30"/>
      <c r="G880" s="30"/>
      <c r="H880" s="207">
        <f t="shared" si="209"/>
        <v>328309.14999999997</v>
      </c>
      <c r="I880" s="172"/>
      <c r="K880" s="172"/>
      <c r="L880" s="172"/>
      <c r="M880" s="172"/>
    </row>
    <row r="881" spans="1:13">
      <c r="A881" s="172"/>
      <c r="B881" s="115" t="s">
        <v>21</v>
      </c>
      <c r="C881" s="30"/>
      <c r="D881" s="30"/>
      <c r="E881" s="30"/>
      <c r="F881" s="30"/>
      <c r="G881" s="30"/>
      <c r="H881" s="207">
        <f t="shared" si="209"/>
        <v>782535.1</v>
      </c>
      <c r="I881" s="172"/>
      <c r="K881" s="172"/>
      <c r="L881" s="172"/>
      <c r="M881" s="172"/>
    </row>
    <row r="882" spans="1:13">
      <c r="A882" s="172"/>
      <c r="B882" s="115" t="s">
        <v>22</v>
      </c>
      <c r="C882" s="30"/>
      <c r="D882" s="30"/>
      <c r="E882" s="30"/>
      <c r="F882" s="30"/>
      <c r="G882" s="30"/>
      <c r="H882" s="207">
        <f t="shared" si="209"/>
        <v>1017635.3900000001</v>
      </c>
      <c r="I882" s="172"/>
      <c r="K882" s="172"/>
      <c r="L882" s="172"/>
      <c r="M882" s="172"/>
    </row>
    <row r="883" spans="1:13">
      <c r="A883" s="172"/>
      <c r="B883" s="115" t="s">
        <v>23</v>
      </c>
      <c r="C883" s="30"/>
      <c r="D883" s="30"/>
      <c r="E883" s="30"/>
      <c r="F883" s="30"/>
      <c r="G883" s="30"/>
      <c r="H883" s="207">
        <f t="shared" si="209"/>
        <v>3404946.26</v>
      </c>
      <c r="I883" s="172"/>
    </row>
    <row r="884" spans="1:13">
      <c r="A884" s="172"/>
      <c r="B884" s="115" t="s">
        <v>24</v>
      </c>
      <c r="C884" s="30"/>
      <c r="D884" s="30"/>
      <c r="E884" s="30"/>
      <c r="F884" s="30"/>
      <c r="G884" s="30"/>
      <c r="H884" s="207">
        <f t="shared" si="209"/>
        <v>26425.93</v>
      </c>
      <c r="I884" s="172"/>
    </row>
    <row r="885" spans="1:13">
      <c r="A885" s="172"/>
      <c r="B885" s="115" t="s">
        <v>25</v>
      </c>
      <c r="C885" s="30"/>
      <c r="D885" s="30"/>
      <c r="E885" s="30"/>
      <c r="F885" s="30"/>
      <c r="G885" s="30"/>
      <c r="H885" s="207">
        <f>H68+H108+H148+H189+H230+H271+H313+H354+H395+H437+H479+H521+H563+H605+H647+H738+H692+H830+H784</f>
        <v>791670.57</v>
      </c>
      <c r="I885" s="172"/>
    </row>
    <row r="886" spans="1:13">
      <c r="A886" s="172"/>
      <c r="B886" s="115" t="s">
        <v>26</v>
      </c>
      <c r="C886" s="30"/>
      <c r="D886" s="30"/>
      <c r="E886" s="30"/>
      <c r="F886" s="30"/>
      <c r="G886" s="30"/>
      <c r="H886" s="207">
        <f>H69+H109+H149+H188+H231+H270+H312+H355+H394+H436+H478+H520+H562+H604+H646+H691+H737+H829+H783</f>
        <v>762757.86</v>
      </c>
      <c r="I886" s="172"/>
    </row>
    <row r="887" spans="1:13">
      <c r="A887" s="172"/>
      <c r="B887" s="115" t="s">
        <v>119</v>
      </c>
      <c r="C887" s="30"/>
      <c r="D887" s="30"/>
      <c r="E887" s="30"/>
      <c r="F887" s="30"/>
      <c r="G887" s="30"/>
      <c r="H887" s="207">
        <f>H190+H272+H314+H396+H438+H480+H522+H564+H606+H648+H693+H739+H831+H785</f>
        <v>54185.750000000007</v>
      </c>
      <c r="I887" s="172"/>
    </row>
    <row r="888" spans="1:13">
      <c r="A888" s="172"/>
      <c r="B888" s="115" t="s">
        <v>120</v>
      </c>
      <c r="C888" s="30"/>
      <c r="D888" s="30"/>
      <c r="E888" s="30"/>
      <c r="F888" s="30"/>
      <c r="G888" s="30"/>
      <c r="H888" s="207">
        <f>H191+H273+H315+H397+H439+H481+H523+H565+H607+H649+H694+H740+H832+H786</f>
        <v>14034.69</v>
      </c>
      <c r="I888" s="172"/>
    </row>
    <row r="889" spans="1:13">
      <c r="A889" s="172"/>
      <c r="B889" s="115" t="s">
        <v>27</v>
      </c>
      <c r="C889" s="30"/>
      <c r="D889" s="30"/>
      <c r="E889" s="30"/>
      <c r="F889" s="30"/>
      <c r="G889" s="30"/>
      <c r="H889" s="207">
        <f>H70+H110+H150+H192+H232+H274+H316+H356+H398+H440+H482+H524+H566+H608+H650+H695+H741+H833+H787</f>
        <v>40242.730000000003</v>
      </c>
      <c r="I889" s="172"/>
    </row>
    <row r="890" spans="1:13">
      <c r="A890" s="172"/>
      <c r="B890" s="115" t="s">
        <v>28</v>
      </c>
      <c r="C890" s="30"/>
      <c r="D890" s="30"/>
      <c r="E890" s="30"/>
      <c r="F890" s="30"/>
      <c r="G890" s="30"/>
      <c r="H890" s="207">
        <f t="shared" ref="H890:H893" si="210">H71+H111+H151+H193+H233+H275+H317+H357+H399+H441+H483+H525+H567+H609+H651+H696+H742+H834+H788</f>
        <v>42149.47</v>
      </c>
      <c r="I890" s="172"/>
    </row>
    <row r="891" spans="1:13">
      <c r="A891" s="172"/>
      <c r="B891" s="115" t="s">
        <v>29</v>
      </c>
      <c r="C891" s="30"/>
      <c r="D891" s="30"/>
      <c r="E891" s="30"/>
      <c r="F891" s="30"/>
      <c r="G891" s="30"/>
      <c r="H891" s="207">
        <f t="shared" si="210"/>
        <v>5282540.0999999996</v>
      </c>
      <c r="I891" s="172"/>
    </row>
    <row r="892" spans="1:13">
      <c r="A892" s="172"/>
      <c r="B892" s="115" t="s">
        <v>30</v>
      </c>
      <c r="C892" s="30"/>
      <c r="D892" s="30"/>
      <c r="E892" s="30"/>
      <c r="F892" s="30"/>
      <c r="G892" s="30"/>
      <c r="H892" s="207">
        <f t="shared" si="210"/>
        <v>36623291.789999999</v>
      </c>
      <c r="I892" s="172"/>
    </row>
    <row r="893" spans="1:13">
      <c r="A893" s="172"/>
      <c r="B893" s="115" t="s">
        <v>31</v>
      </c>
      <c r="C893" s="30"/>
      <c r="D893" s="30"/>
      <c r="E893" s="30"/>
      <c r="F893" s="30"/>
      <c r="G893" s="30"/>
      <c r="H893" s="207">
        <f t="shared" si="210"/>
        <v>3897617.75</v>
      </c>
      <c r="I893" s="172"/>
    </row>
    <row r="894" spans="1:13">
      <c r="A894" s="172"/>
      <c r="B894" s="115" t="s">
        <v>32</v>
      </c>
      <c r="C894" s="30"/>
      <c r="D894" s="30"/>
      <c r="E894" s="30"/>
      <c r="F894" s="30"/>
      <c r="G894" s="30"/>
      <c r="H894" s="207">
        <f>H75+H115+H155+H197+H237+H279+H321+H361+H403+H445+H487+H529+H571+H613+H655+H700+H746+H838+H792</f>
        <v>2112586.5299999998</v>
      </c>
      <c r="I894" s="172"/>
    </row>
    <row r="895" spans="1:13">
      <c r="A895" s="172"/>
      <c r="B895" s="115" t="s">
        <v>33</v>
      </c>
      <c r="C895" s="30"/>
      <c r="D895" s="30"/>
      <c r="E895" s="30"/>
      <c r="F895" s="30"/>
      <c r="G895" s="30"/>
      <c r="H895" s="207">
        <f t="shared" ref="H895:H897" si="211">H76+H116+H156+H198+H238+H280+H322+H362+H404+H446+H488+H530+H572+H614+H656+H701+H747+H839+H793</f>
        <v>1736238.0400000003</v>
      </c>
      <c r="I895" s="172"/>
    </row>
    <row r="896" spans="1:13">
      <c r="A896" s="172"/>
      <c r="B896" s="115" t="s">
        <v>34</v>
      </c>
      <c r="C896" s="30"/>
      <c r="D896" s="30"/>
      <c r="E896" s="30"/>
      <c r="F896" s="30"/>
      <c r="G896" s="30"/>
      <c r="H896" s="207">
        <f t="shared" si="211"/>
        <v>6707727.4100000001</v>
      </c>
      <c r="I896" s="172"/>
    </row>
    <row r="897" spans="1:14">
      <c r="A897" s="172"/>
      <c r="B897" s="115" t="s">
        <v>35</v>
      </c>
      <c r="C897" s="30"/>
      <c r="D897" s="30"/>
      <c r="E897" s="30"/>
      <c r="F897" s="30"/>
      <c r="G897" s="30"/>
      <c r="H897" s="207">
        <f t="shared" si="211"/>
        <v>363720.75</v>
      </c>
      <c r="I897" s="172"/>
    </row>
    <row r="898" spans="1:14">
      <c r="A898" s="172"/>
      <c r="B898" s="115" t="s">
        <v>112</v>
      </c>
      <c r="C898" s="30"/>
      <c r="D898" s="30"/>
      <c r="E898" s="30"/>
      <c r="F898" s="30"/>
      <c r="G898" s="30"/>
      <c r="H898" s="207">
        <f>H659+H704+H750+H796+H842</f>
        <v>388.52</v>
      </c>
      <c r="I898" s="172"/>
    </row>
    <row r="899" spans="1:14">
      <c r="A899" s="172"/>
      <c r="B899" s="115" t="s">
        <v>113</v>
      </c>
      <c r="C899" s="30"/>
      <c r="D899" s="30"/>
      <c r="E899" s="30"/>
      <c r="F899" s="30"/>
      <c r="G899" s="30"/>
      <c r="H899" s="207">
        <f t="shared" ref="H899:H900" si="212">H660+H705+H751+H797+H843</f>
        <v>13.66</v>
      </c>
      <c r="I899" s="172"/>
    </row>
    <row r="900" spans="1:14">
      <c r="A900" s="172"/>
      <c r="B900" s="115" t="s">
        <v>121</v>
      </c>
      <c r="C900" s="30"/>
      <c r="D900" s="30"/>
      <c r="E900" s="30"/>
      <c r="F900" s="30"/>
      <c r="G900" s="30"/>
      <c r="H900" s="207">
        <f t="shared" si="212"/>
        <v>26038.68</v>
      </c>
      <c r="I900" s="172"/>
    </row>
    <row r="901" spans="1:14" s="172" customFormat="1">
      <c r="B901" s="115" t="s">
        <v>122</v>
      </c>
      <c r="C901" s="30"/>
      <c r="D901" s="30"/>
      <c r="E901" s="30"/>
      <c r="F901" s="30"/>
      <c r="G901" s="30"/>
      <c r="H901" s="207">
        <f>H707+H753+H845+H799</f>
        <v>0</v>
      </c>
      <c r="J901" s="91"/>
      <c r="N901" s="86"/>
    </row>
    <row r="902" spans="1:14" s="172" customFormat="1">
      <c r="B902" s="115" t="s">
        <v>271</v>
      </c>
      <c r="C902" s="30"/>
      <c r="D902" s="30"/>
      <c r="E902" s="30"/>
      <c r="F902" s="30"/>
      <c r="G902" s="30"/>
      <c r="H902" s="207">
        <f>H846</f>
        <v>0</v>
      </c>
      <c r="J902" s="91"/>
      <c r="N902" s="86"/>
    </row>
    <row r="903" spans="1:14" s="172" customFormat="1">
      <c r="B903" s="115" t="s">
        <v>273</v>
      </c>
      <c r="C903" s="30"/>
      <c r="D903" s="30"/>
      <c r="E903" s="30"/>
      <c r="F903" s="30"/>
      <c r="G903" s="30"/>
      <c r="H903" s="207">
        <f t="shared" ref="H903:H908" si="213">H847</f>
        <v>0</v>
      </c>
      <c r="J903" s="91"/>
      <c r="N903" s="86"/>
    </row>
    <row r="904" spans="1:14" s="172" customFormat="1">
      <c r="B904" s="115" t="s">
        <v>277</v>
      </c>
      <c r="C904" s="30"/>
      <c r="D904" s="30"/>
      <c r="E904" s="30"/>
      <c r="F904" s="30"/>
      <c r="G904" s="30"/>
      <c r="H904" s="207">
        <f t="shared" si="213"/>
        <v>0</v>
      </c>
      <c r="J904" s="91"/>
      <c r="N904" s="86"/>
    </row>
    <row r="905" spans="1:14" s="172" customFormat="1">
      <c r="B905" s="115" t="s">
        <v>279</v>
      </c>
      <c r="C905" s="30"/>
      <c r="D905" s="30"/>
      <c r="E905" s="30"/>
      <c r="F905" s="30"/>
      <c r="G905" s="30"/>
      <c r="H905" s="207">
        <f t="shared" si="213"/>
        <v>0</v>
      </c>
      <c r="J905" s="91"/>
      <c r="N905" s="86"/>
    </row>
    <row r="906" spans="1:14" s="172" customFormat="1">
      <c r="B906" s="115" t="s">
        <v>274</v>
      </c>
      <c r="C906" s="30"/>
      <c r="D906" s="30"/>
      <c r="E906" s="30"/>
      <c r="F906" s="30"/>
      <c r="G906" s="30"/>
      <c r="H906" s="207">
        <f t="shared" si="213"/>
        <v>0</v>
      </c>
      <c r="J906" s="91"/>
      <c r="N906" s="86"/>
    </row>
    <row r="907" spans="1:14" s="172" customFormat="1">
      <c r="B907" s="115" t="s">
        <v>278</v>
      </c>
      <c r="C907" s="30"/>
      <c r="D907" s="30"/>
      <c r="E907" s="30"/>
      <c r="F907" s="30"/>
      <c r="G907" s="30"/>
      <c r="H907" s="207">
        <f t="shared" si="213"/>
        <v>0</v>
      </c>
      <c r="J907" s="91"/>
      <c r="N907" s="86"/>
    </row>
    <row r="908" spans="1:14" s="172" customFormat="1">
      <c r="B908" s="115" t="s">
        <v>284</v>
      </c>
      <c r="C908" s="30"/>
      <c r="D908" s="30"/>
      <c r="E908" s="30"/>
      <c r="F908" s="30"/>
      <c r="G908" s="30"/>
      <c r="H908" s="207">
        <f t="shared" si="213"/>
        <v>0</v>
      </c>
      <c r="J908" s="91"/>
      <c r="N908" s="86"/>
    </row>
    <row r="909" spans="1:14">
      <c r="A909" s="172"/>
      <c r="B909" s="114"/>
      <c r="C909" s="30"/>
      <c r="D909" s="30"/>
      <c r="E909" s="30"/>
      <c r="F909" s="30"/>
      <c r="G909" s="30"/>
      <c r="H909" s="142"/>
    </row>
    <row r="910" spans="1:14">
      <c r="A910" s="172"/>
      <c r="B910" s="116" t="s">
        <v>179</v>
      </c>
      <c r="C910" s="117"/>
      <c r="D910" s="117"/>
      <c r="E910" s="117"/>
      <c r="F910" s="117"/>
      <c r="G910" s="117"/>
      <c r="H910" s="160">
        <f>SUM(H874:H909)</f>
        <v>66997013.170000002</v>
      </c>
    </row>
    <row r="911" spans="1:14">
      <c r="I911" s="191" t="s">
        <v>256</v>
      </c>
      <c r="J911" s="190">
        <f>H912/H910</f>
        <v>1.0495977941817851</v>
      </c>
    </row>
    <row r="912" spans="1:14">
      <c r="B912" s="118" t="s">
        <v>178</v>
      </c>
      <c r="C912" s="119"/>
      <c r="D912" s="119">
        <v>801699</v>
      </c>
      <c r="E912" s="560" t="s">
        <v>575</v>
      </c>
      <c r="F912" s="119"/>
      <c r="G912" s="119"/>
      <c r="H912" s="145">
        <v>70319917.24000001</v>
      </c>
      <c r="I912" s="2" t="s">
        <v>261</v>
      </c>
      <c r="J912" s="204"/>
    </row>
    <row r="914" spans="3:9">
      <c r="C914" s="172"/>
      <c r="D914" s="172"/>
      <c r="E914" s="172"/>
      <c r="F914" s="172"/>
      <c r="G914" s="172"/>
      <c r="H914" s="172"/>
      <c r="I914" s="172"/>
    </row>
    <row r="915" spans="3:9" hidden="1">
      <c r="D915" s="119">
        <v>801699</v>
      </c>
      <c r="E915" s="560" t="s">
        <v>587</v>
      </c>
      <c r="F915" s="562" t="s">
        <v>589</v>
      </c>
      <c r="H915" s="208">
        <f>726597.47*0</f>
        <v>0</v>
      </c>
    </row>
    <row r="916" spans="3:9" hidden="1">
      <c r="D916" s="119">
        <v>801699</v>
      </c>
      <c r="E916" s="560" t="s">
        <v>588</v>
      </c>
      <c r="F916" s="562" t="s">
        <v>590</v>
      </c>
      <c r="H916" s="208">
        <f>1077323.97*0</f>
        <v>0</v>
      </c>
    </row>
    <row r="917" spans="3:9" ht="16.5" hidden="1" thickBot="1">
      <c r="H917" s="585">
        <f>H914+H915+H916</f>
        <v>0</v>
      </c>
    </row>
    <row r="919" spans="3:9">
      <c r="H919" s="83"/>
    </row>
  </sheetData>
  <mergeCells count="136">
    <mergeCell ref="H722:J722"/>
    <mergeCell ref="B717:C717"/>
    <mergeCell ref="D717:H717"/>
    <mergeCell ref="B718:C718"/>
    <mergeCell ref="D718:H718"/>
    <mergeCell ref="B719:C719"/>
    <mergeCell ref="D719:H719"/>
    <mergeCell ref="B673:C673"/>
    <mergeCell ref="D673:H673"/>
    <mergeCell ref="H676:J676"/>
    <mergeCell ref="B716:C716"/>
    <mergeCell ref="D716:H716"/>
    <mergeCell ref="B670:C670"/>
    <mergeCell ref="D670:H670"/>
    <mergeCell ref="B671:C671"/>
    <mergeCell ref="D671:H671"/>
    <mergeCell ref="B672:C672"/>
    <mergeCell ref="D672:H672"/>
    <mergeCell ref="C167:H167"/>
    <mergeCell ref="C168:H168"/>
    <mergeCell ref="H133:J133"/>
    <mergeCell ref="C169:H169"/>
    <mergeCell ref="C170:H170"/>
    <mergeCell ref="H173:J173"/>
    <mergeCell ref="C209:H209"/>
    <mergeCell ref="B417:C417"/>
    <mergeCell ref="C333:H333"/>
    <mergeCell ref="C334:H334"/>
    <mergeCell ref="C335:H335"/>
    <mergeCell ref="C336:H336"/>
    <mergeCell ref="D415:H415"/>
    <mergeCell ref="D416:H416"/>
    <mergeCell ref="B415:C415"/>
    <mergeCell ref="B416:C416"/>
    <mergeCell ref="D417:H417"/>
    <mergeCell ref="B499:C499"/>
    <mergeCell ref="C211:H211"/>
    <mergeCell ref="C47:H47"/>
    <mergeCell ref="C48:H48"/>
    <mergeCell ref="C49:H49"/>
    <mergeCell ref="C50:H50"/>
    <mergeCell ref="C87:H87"/>
    <mergeCell ref="C88:H88"/>
    <mergeCell ref="H53:J53"/>
    <mergeCell ref="H93:J93"/>
    <mergeCell ref="C89:H89"/>
    <mergeCell ref="C90:H90"/>
    <mergeCell ref="H4:J4"/>
    <mergeCell ref="C376:H376"/>
    <mergeCell ref="H379:J379"/>
    <mergeCell ref="C373:H373"/>
    <mergeCell ref="C375:H375"/>
    <mergeCell ref="C374:H374"/>
    <mergeCell ref="H339:J339"/>
    <mergeCell ref="H255:J255"/>
    <mergeCell ref="H297:J297"/>
    <mergeCell ref="C291:H291"/>
    <mergeCell ref="C292:H292"/>
    <mergeCell ref="C293:H293"/>
    <mergeCell ref="C294:H294"/>
    <mergeCell ref="C212:H212"/>
    <mergeCell ref="C249:H249"/>
    <mergeCell ref="C250:H250"/>
    <mergeCell ref="C127:H127"/>
    <mergeCell ref="C128:H128"/>
    <mergeCell ref="C129:H129"/>
    <mergeCell ref="C130:H130"/>
    <mergeCell ref="C251:H251"/>
    <mergeCell ref="H215:J215"/>
    <mergeCell ref="C252:H252"/>
    <mergeCell ref="C210:H210"/>
    <mergeCell ref="D499:H499"/>
    <mergeCell ref="B418:C418"/>
    <mergeCell ref="B458:C458"/>
    <mergeCell ref="B459:C459"/>
    <mergeCell ref="B460:C460"/>
    <mergeCell ref="H421:J421"/>
    <mergeCell ref="H463:J463"/>
    <mergeCell ref="B457:C457"/>
    <mergeCell ref="D460:H460"/>
    <mergeCell ref="D418:H418"/>
    <mergeCell ref="D457:H457"/>
    <mergeCell ref="D458:H458"/>
    <mergeCell ref="D459:H459"/>
    <mergeCell ref="H505:J505"/>
    <mergeCell ref="D500:H500"/>
    <mergeCell ref="B541:C541"/>
    <mergeCell ref="D541:H541"/>
    <mergeCell ref="B542:C542"/>
    <mergeCell ref="D542:H542"/>
    <mergeCell ref="B500:C500"/>
    <mergeCell ref="B501:C501"/>
    <mergeCell ref="D501:H501"/>
    <mergeCell ref="B502:C502"/>
    <mergeCell ref="D502:H502"/>
    <mergeCell ref="H631:J631"/>
    <mergeCell ref="B627:C627"/>
    <mergeCell ref="D627:H627"/>
    <mergeCell ref="B628:C628"/>
    <mergeCell ref="D628:H628"/>
    <mergeCell ref="H547:J547"/>
    <mergeCell ref="B543:C543"/>
    <mergeCell ref="D543:H543"/>
    <mergeCell ref="B544:C544"/>
    <mergeCell ref="D544:H544"/>
    <mergeCell ref="B626:C626"/>
    <mergeCell ref="D626:H626"/>
    <mergeCell ref="B583:C583"/>
    <mergeCell ref="D583:H583"/>
    <mergeCell ref="B584:C584"/>
    <mergeCell ref="D584:H584"/>
    <mergeCell ref="B585:C585"/>
    <mergeCell ref="D585:H585"/>
    <mergeCell ref="B586:C586"/>
    <mergeCell ref="D586:H586"/>
    <mergeCell ref="H589:J589"/>
    <mergeCell ref="B625:C625"/>
    <mergeCell ref="D625:H625"/>
    <mergeCell ref="B808:C808"/>
    <mergeCell ref="D808:H808"/>
    <mergeCell ref="B809:C809"/>
    <mergeCell ref="D809:H809"/>
    <mergeCell ref="B810:C810"/>
    <mergeCell ref="D810:H810"/>
    <mergeCell ref="B811:C811"/>
    <mergeCell ref="D811:H811"/>
    <mergeCell ref="H814:J814"/>
    <mergeCell ref="B762:C762"/>
    <mergeCell ref="D762:H762"/>
    <mergeCell ref="B763:C763"/>
    <mergeCell ref="D763:H763"/>
    <mergeCell ref="B764:C764"/>
    <mergeCell ref="D764:H764"/>
    <mergeCell ref="B765:C765"/>
    <mergeCell ref="D765:H765"/>
    <mergeCell ref="H768:J768"/>
  </mergeCells>
  <phoneticPr fontId="4" type="noConversion"/>
  <conditionalFormatting sqref="D501:D502 D500:I500 D496 D417:D418 C374:C376 C334:C336 C292:C294 C250:C252 D416:I416 D542:D544 I542 D584:D586 I584 D626:D628 I626">
    <cfRule type="cellIs" dxfId="8" priority="9" stopIfTrue="1" operator="equal">
      <formula>0</formula>
    </cfRule>
  </conditionalFormatting>
  <conditionalFormatting sqref="D671:D673 I671">
    <cfRule type="cellIs" dxfId="7" priority="8" stopIfTrue="1" operator="equal">
      <formula>0</formula>
    </cfRule>
  </conditionalFormatting>
  <conditionalFormatting sqref="D717:D718 I717">
    <cfRule type="cellIs" dxfId="6" priority="7" stopIfTrue="1" operator="equal">
      <formula>0</formula>
    </cfRule>
  </conditionalFormatting>
  <conditionalFormatting sqref="D719">
    <cfRule type="cellIs" dxfId="5" priority="6" stopIfTrue="1" operator="equal">
      <formula>0</formula>
    </cfRule>
  </conditionalFormatting>
  <conditionalFormatting sqref="D459:D460 D458:H458">
    <cfRule type="cellIs" dxfId="4" priority="5" stopIfTrue="1" operator="equal">
      <formula>0</formula>
    </cfRule>
  </conditionalFormatting>
  <conditionalFormatting sqref="D809:D810 I809">
    <cfRule type="cellIs" dxfId="3" priority="4" stopIfTrue="1" operator="equal">
      <formula>0</formula>
    </cfRule>
  </conditionalFormatting>
  <conditionalFormatting sqref="D811">
    <cfRule type="cellIs" dxfId="2" priority="3" stopIfTrue="1" operator="equal">
      <formula>0</formula>
    </cfRule>
  </conditionalFormatting>
  <conditionalFormatting sqref="D763:D764 I763">
    <cfRule type="cellIs" dxfId="1" priority="2" stopIfTrue="1" operator="equal">
      <formula>0</formula>
    </cfRule>
  </conditionalFormatting>
  <conditionalFormatting sqref="D765">
    <cfRule type="cellIs" dxfId="0" priority="1" stopIfTrue="1" operator="equal">
      <formula>0</formula>
    </cfRule>
  </conditionalFormatting>
  <pageMargins left="0.25" right="0.25" top="0.5" bottom="0.5" header="0.5" footer="0.5"/>
  <pageSetup scale="60" fitToHeight="13" orientation="landscape" r:id="rId1"/>
  <headerFooter alignWithMargins="0"/>
  <rowBreaks count="20" manualBreakCount="20">
    <brk id="45" min="1" max="13" man="1"/>
    <brk id="85" min="1" max="13" man="1"/>
    <brk id="125" min="1" max="13" man="1"/>
    <brk id="165" min="1" max="13" man="1"/>
    <brk id="207" min="1" max="13" man="1"/>
    <brk id="247" min="1" max="13" man="1"/>
    <brk id="289" min="1" max="13" man="1"/>
    <brk id="331" min="1" max="13" man="1"/>
    <brk id="371" min="1" max="13" man="1"/>
    <brk id="413" min="1" max="13" man="1"/>
    <brk id="455" min="1" max="13" man="1"/>
    <brk id="497" min="1" max="13" man="1"/>
    <brk id="539" min="1" max="13" man="1"/>
    <brk id="581" min="1" max="13" man="1"/>
    <brk id="623" min="1" max="13" man="1"/>
    <brk id="668" min="1" max="13" man="1"/>
    <brk id="714" min="1" max="13" man="1"/>
    <brk id="760" min="1" max="13" man="1"/>
    <brk id="806" min="1" max="13" man="1"/>
    <brk id="859" min="1" max="1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59999389629810485"/>
  </sheetPr>
  <dimension ref="A1:BQ304"/>
  <sheetViews>
    <sheetView showGridLines="0" topLeftCell="A62" zoomScale="80" zoomScaleNormal="80" workbookViewId="0">
      <selection activeCell="E72" sqref="E72"/>
    </sheetView>
  </sheetViews>
  <sheetFormatPr defaultRowHeight="12.75"/>
  <cols>
    <col min="1" max="1" width="6.75" style="348" customWidth="1"/>
    <col min="2" max="2" width="1.625" style="348" customWidth="1"/>
    <col min="3" max="3" width="26.375" style="348" customWidth="1"/>
    <col min="4" max="4" width="11.5" style="348" customWidth="1"/>
    <col min="5" max="5" width="15.25" style="348" bestFit="1" customWidth="1"/>
    <col min="6" max="6" width="14.5" style="348" customWidth="1"/>
    <col min="7" max="7" width="15.25" style="348" customWidth="1"/>
    <col min="8" max="8" width="16.25" style="348" customWidth="1"/>
    <col min="9" max="9" width="13.875" style="348" customWidth="1"/>
    <col min="10" max="10" width="17.375" style="348" customWidth="1"/>
    <col min="11" max="11" width="13.75" style="348" customWidth="1"/>
    <col min="12" max="12" width="17.125" style="348" bestFit="1" customWidth="1"/>
    <col min="13" max="13" width="14.25" style="348" customWidth="1"/>
    <col min="14" max="14" width="14.375" style="348" customWidth="1"/>
    <col min="15" max="15" width="14" style="348" customWidth="1"/>
    <col min="16" max="16" width="18" style="348" customWidth="1"/>
    <col min="17" max="17" width="13.875" style="348" customWidth="1"/>
    <col min="18" max="18" width="15.625" style="348" customWidth="1"/>
    <col min="19" max="19" width="2.125" style="348" customWidth="1"/>
    <col min="20" max="20" width="15.25" style="348" customWidth="1"/>
    <col min="21" max="16384" width="9" style="348"/>
  </cols>
  <sheetData>
    <row r="1" spans="1:69">
      <c r="R1" s="349"/>
    </row>
    <row r="2" spans="1:69">
      <c r="R2" s="349"/>
    </row>
    <row r="4" spans="1:69">
      <c r="R4" s="349" t="s">
        <v>414</v>
      </c>
    </row>
    <row r="5" spans="1:69" ht="15">
      <c r="C5" s="235" t="s">
        <v>293</v>
      </c>
      <c r="D5" s="235"/>
      <c r="E5" s="235"/>
      <c r="F5" s="235"/>
      <c r="G5" s="235"/>
      <c r="H5" s="235"/>
      <c r="I5" s="235"/>
      <c r="J5" s="236" t="s">
        <v>294</v>
      </c>
      <c r="K5" s="236"/>
      <c r="L5" s="235"/>
      <c r="M5" s="235"/>
      <c r="N5" s="235"/>
      <c r="O5" s="237"/>
      <c r="Q5" s="238"/>
      <c r="R5" s="239" t="s">
        <v>596</v>
      </c>
      <c r="S5" s="238"/>
      <c r="T5" s="350"/>
      <c r="U5" s="350"/>
      <c r="V5" s="23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row>
    <row r="6" spans="1:69" ht="15">
      <c r="C6" s="235"/>
      <c r="D6" s="235"/>
      <c r="E6" s="235"/>
      <c r="F6" s="235"/>
      <c r="G6" s="235"/>
      <c r="H6" s="243" t="s">
        <v>295</v>
      </c>
      <c r="I6" s="243"/>
      <c r="J6" s="243" t="s">
        <v>296</v>
      </c>
      <c r="K6" s="243"/>
      <c r="L6" s="243"/>
      <c r="M6" s="243"/>
      <c r="N6" s="243"/>
      <c r="O6" s="237"/>
      <c r="Q6" s="238"/>
      <c r="R6" s="237"/>
      <c r="S6" s="238"/>
      <c r="T6" s="351"/>
      <c r="U6" s="350"/>
      <c r="V6" s="23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88"/>
      <c r="BO6" s="288"/>
      <c r="BP6" s="288"/>
      <c r="BQ6" s="288"/>
    </row>
    <row r="7" spans="1:69" ht="15">
      <c r="C7" s="238"/>
      <c r="D7" s="238"/>
      <c r="E7" s="238"/>
      <c r="F7" s="238"/>
      <c r="G7" s="238"/>
      <c r="H7" s="238"/>
      <c r="I7" s="238"/>
      <c r="J7" s="238"/>
      <c r="K7" s="238"/>
      <c r="L7" s="238"/>
      <c r="M7" s="238"/>
      <c r="N7" s="238"/>
      <c r="O7" s="238"/>
      <c r="Q7" s="238"/>
      <c r="R7" s="238" t="s">
        <v>297</v>
      </c>
      <c r="S7" s="238"/>
      <c r="T7" s="350"/>
      <c r="U7" s="350"/>
      <c r="V7" s="23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8"/>
      <c r="AY7" s="288"/>
      <c r="AZ7" s="288"/>
      <c r="BA7" s="288"/>
      <c r="BB7" s="288"/>
      <c r="BC7" s="288"/>
      <c r="BD7" s="288"/>
      <c r="BE7" s="288"/>
      <c r="BF7" s="288"/>
      <c r="BG7" s="288"/>
      <c r="BH7" s="288"/>
      <c r="BI7" s="288"/>
      <c r="BJ7" s="288"/>
      <c r="BK7" s="288"/>
      <c r="BL7" s="288"/>
      <c r="BM7" s="288"/>
      <c r="BN7" s="288"/>
      <c r="BO7" s="288"/>
      <c r="BP7" s="288"/>
      <c r="BQ7" s="288"/>
    </row>
    <row r="8" spans="1:69" ht="15">
      <c r="A8" s="352"/>
      <c r="C8" s="238"/>
      <c r="D8" s="238"/>
      <c r="E8" s="238"/>
      <c r="F8" s="238"/>
      <c r="G8" s="238"/>
      <c r="H8" s="238"/>
      <c r="I8" s="238"/>
      <c r="J8" s="247" t="s">
        <v>415</v>
      </c>
      <c r="K8" s="247"/>
      <c r="L8" s="238"/>
      <c r="M8" s="238"/>
      <c r="N8" s="238"/>
      <c r="O8" s="238"/>
      <c r="P8" s="238"/>
      <c r="Q8" s="238"/>
      <c r="R8" s="238"/>
      <c r="S8" s="238"/>
      <c r="T8" s="350"/>
      <c r="U8" s="350"/>
      <c r="V8" s="23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8"/>
      <c r="AY8" s="288"/>
      <c r="AZ8" s="288"/>
      <c r="BA8" s="288"/>
      <c r="BB8" s="288"/>
      <c r="BC8" s="288"/>
      <c r="BD8" s="288"/>
      <c r="BE8" s="288"/>
      <c r="BF8" s="288"/>
      <c r="BG8" s="288"/>
      <c r="BH8" s="288"/>
      <c r="BI8" s="288"/>
      <c r="BJ8" s="288"/>
      <c r="BK8" s="288"/>
      <c r="BL8" s="288"/>
      <c r="BM8" s="288"/>
      <c r="BN8" s="288"/>
      <c r="BO8" s="288"/>
      <c r="BP8" s="288"/>
      <c r="BQ8" s="288"/>
    </row>
    <row r="9" spans="1:69" ht="15">
      <c r="A9" s="352"/>
      <c r="C9" s="238"/>
      <c r="D9" s="238"/>
      <c r="E9" s="238"/>
      <c r="F9" s="238"/>
      <c r="G9" s="238"/>
      <c r="H9" s="238"/>
      <c r="I9" s="238"/>
      <c r="J9" s="248"/>
      <c r="K9" s="248"/>
      <c r="L9" s="238"/>
      <c r="M9" s="238"/>
      <c r="N9" s="238"/>
      <c r="O9" s="238"/>
      <c r="P9" s="238"/>
      <c r="Q9" s="238"/>
      <c r="R9" s="238"/>
      <c r="S9" s="238"/>
      <c r="T9" s="350"/>
      <c r="U9" s="350"/>
      <c r="V9" s="23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288"/>
      <c r="AU9" s="288"/>
      <c r="AV9" s="288"/>
      <c r="AW9" s="288"/>
      <c r="AX9" s="288"/>
      <c r="AY9" s="288"/>
      <c r="AZ9" s="288"/>
      <c r="BA9" s="288"/>
      <c r="BB9" s="288"/>
      <c r="BC9" s="288"/>
      <c r="BD9" s="288"/>
      <c r="BE9" s="288"/>
      <c r="BF9" s="288"/>
      <c r="BG9" s="288"/>
      <c r="BH9" s="288"/>
      <c r="BI9" s="288"/>
      <c r="BJ9" s="288"/>
      <c r="BK9" s="288"/>
      <c r="BL9" s="288"/>
      <c r="BM9" s="288"/>
      <c r="BN9" s="288"/>
      <c r="BO9" s="288"/>
      <c r="BP9" s="288"/>
      <c r="BQ9" s="288"/>
    </row>
    <row r="10" spans="1:69" ht="15">
      <c r="A10" s="352"/>
      <c r="C10" s="238" t="s">
        <v>299</v>
      </c>
      <c r="D10" s="238"/>
      <c r="E10" s="238"/>
      <c r="F10" s="238"/>
      <c r="G10" s="238"/>
      <c r="H10" s="238"/>
      <c r="I10" s="238"/>
      <c r="J10" s="248"/>
      <c r="K10" s="248"/>
      <c r="L10" s="238"/>
      <c r="M10" s="238"/>
      <c r="N10" s="238"/>
      <c r="O10" s="238"/>
      <c r="P10" s="238"/>
      <c r="Q10" s="238"/>
      <c r="R10" s="238"/>
      <c r="S10" s="238"/>
      <c r="T10" s="350"/>
      <c r="U10" s="350"/>
      <c r="V10" s="238"/>
      <c r="W10" s="288"/>
      <c r="X10" s="288"/>
      <c r="Y10" s="288"/>
      <c r="Z10" s="288"/>
      <c r="AA10" s="288"/>
      <c r="AB10" s="288"/>
      <c r="AC10" s="288"/>
      <c r="AD10" s="288"/>
      <c r="AE10" s="288"/>
      <c r="AF10" s="288"/>
      <c r="AG10" s="288"/>
      <c r="AH10" s="288"/>
      <c r="AI10" s="288"/>
      <c r="AJ10" s="288"/>
      <c r="AK10" s="288"/>
      <c r="AL10" s="288"/>
      <c r="AM10" s="288"/>
      <c r="AN10" s="288"/>
      <c r="AO10" s="288"/>
      <c r="AP10" s="288"/>
      <c r="AQ10" s="288"/>
      <c r="AR10" s="288"/>
      <c r="AS10" s="288"/>
      <c r="AT10" s="288"/>
      <c r="AU10" s="288"/>
      <c r="AV10" s="288"/>
      <c r="AW10" s="288"/>
      <c r="AX10" s="288"/>
      <c r="AY10" s="288"/>
      <c r="AZ10" s="288"/>
      <c r="BA10" s="288"/>
      <c r="BB10" s="288"/>
      <c r="BC10" s="288"/>
      <c r="BD10" s="288"/>
      <c r="BE10" s="288"/>
      <c r="BF10" s="288"/>
      <c r="BG10" s="288"/>
      <c r="BH10" s="288"/>
      <c r="BI10" s="288"/>
      <c r="BJ10" s="288"/>
      <c r="BK10" s="288"/>
      <c r="BL10" s="288"/>
      <c r="BM10" s="288"/>
      <c r="BN10" s="288"/>
      <c r="BO10" s="288"/>
      <c r="BP10" s="288"/>
      <c r="BQ10" s="288"/>
    </row>
    <row r="11" spans="1:69" ht="15">
      <c r="A11" s="352"/>
      <c r="C11" s="238" t="s">
        <v>416</v>
      </c>
      <c r="D11" s="238"/>
      <c r="E11" s="238"/>
      <c r="F11" s="238"/>
      <c r="G11" s="238"/>
      <c r="H11" s="238"/>
      <c r="I11" s="238"/>
      <c r="J11" s="248"/>
      <c r="K11" s="248"/>
      <c r="P11" s="238"/>
      <c r="Q11" s="238"/>
      <c r="R11" s="238"/>
      <c r="S11" s="238"/>
      <c r="T11" s="238"/>
      <c r="U11" s="238"/>
      <c r="V11" s="23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8"/>
      <c r="AV11" s="288"/>
      <c r="AW11" s="288"/>
      <c r="AX11" s="288"/>
      <c r="AY11" s="288"/>
      <c r="AZ11" s="288"/>
      <c r="BA11" s="288"/>
      <c r="BB11" s="288"/>
      <c r="BC11" s="288"/>
      <c r="BD11" s="288"/>
      <c r="BE11" s="288"/>
      <c r="BF11" s="288"/>
      <c r="BG11" s="288"/>
      <c r="BH11" s="288"/>
      <c r="BI11" s="288"/>
      <c r="BJ11" s="288"/>
      <c r="BK11" s="288"/>
      <c r="BL11" s="288"/>
      <c r="BM11" s="288"/>
      <c r="BN11" s="288"/>
      <c r="BO11" s="288"/>
      <c r="BP11" s="288"/>
      <c r="BQ11" s="288"/>
    </row>
    <row r="12" spans="1:69" ht="15">
      <c r="A12" s="352"/>
      <c r="C12" s="238"/>
      <c r="D12" s="238"/>
      <c r="E12" s="238"/>
      <c r="F12" s="238"/>
      <c r="G12" s="238"/>
      <c r="H12" s="238"/>
      <c r="I12" s="238"/>
      <c r="J12" s="238"/>
      <c r="K12" s="238"/>
      <c r="P12" s="249"/>
      <c r="Q12" s="238"/>
      <c r="R12" s="238"/>
      <c r="S12" s="238"/>
      <c r="T12" s="238"/>
      <c r="U12" s="238"/>
      <c r="V12" s="23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8"/>
      <c r="AW12" s="288"/>
      <c r="AX12" s="288"/>
      <c r="AY12" s="288"/>
      <c r="AZ12" s="288"/>
      <c r="BA12" s="288"/>
      <c r="BB12" s="288"/>
      <c r="BC12" s="288"/>
      <c r="BD12" s="288"/>
      <c r="BE12" s="288"/>
      <c r="BF12" s="288"/>
      <c r="BG12" s="288"/>
      <c r="BH12" s="288"/>
      <c r="BI12" s="288"/>
      <c r="BJ12" s="288"/>
      <c r="BK12" s="288"/>
      <c r="BL12" s="288"/>
      <c r="BM12" s="288"/>
      <c r="BN12" s="288"/>
      <c r="BO12" s="288"/>
      <c r="BP12" s="288"/>
      <c r="BQ12" s="288"/>
    </row>
    <row r="13" spans="1:69" ht="15">
      <c r="C13" s="250" t="s">
        <v>300</v>
      </c>
      <c r="D13" s="250"/>
      <c r="E13" s="250"/>
      <c r="F13" s="250"/>
      <c r="G13" s="250"/>
      <c r="H13" s="250" t="s">
        <v>301</v>
      </c>
      <c r="I13" s="250"/>
      <c r="J13" s="250" t="s">
        <v>302</v>
      </c>
      <c r="K13" s="250"/>
      <c r="L13" s="251" t="s">
        <v>303</v>
      </c>
      <c r="Q13" s="243"/>
      <c r="R13" s="251"/>
      <c r="S13" s="243"/>
      <c r="T13" s="251"/>
      <c r="U13" s="243"/>
      <c r="V13" s="254"/>
      <c r="W13" s="288"/>
      <c r="X13" s="288"/>
      <c r="Y13" s="288"/>
      <c r="Z13" s="288"/>
      <c r="AA13" s="288"/>
      <c r="AB13" s="288"/>
      <c r="AC13" s="288"/>
      <c r="AD13" s="288"/>
      <c r="AE13" s="288"/>
      <c r="AF13" s="288"/>
      <c r="AG13" s="288"/>
      <c r="AH13" s="288"/>
      <c r="AI13" s="288"/>
      <c r="AJ13" s="288"/>
      <c r="AK13" s="288"/>
      <c r="AL13" s="288"/>
      <c r="AM13" s="288"/>
      <c r="AN13" s="288"/>
      <c r="AO13" s="288"/>
      <c r="AP13" s="288"/>
      <c r="AQ13" s="288"/>
      <c r="AR13" s="288"/>
      <c r="AS13" s="288"/>
      <c r="AT13" s="288"/>
      <c r="AU13" s="288"/>
      <c r="AV13" s="288"/>
      <c r="AW13" s="288"/>
      <c r="AX13" s="288"/>
      <c r="AY13" s="288"/>
      <c r="AZ13" s="288"/>
      <c r="BA13" s="288"/>
      <c r="BB13" s="288"/>
      <c r="BC13" s="288"/>
      <c r="BD13" s="288"/>
      <c r="BE13" s="288"/>
      <c r="BF13" s="288"/>
      <c r="BG13" s="288"/>
      <c r="BH13" s="288"/>
      <c r="BI13" s="288"/>
      <c r="BJ13" s="288"/>
      <c r="BK13" s="288"/>
      <c r="BL13" s="288"/>
      <c r="BM13" s="288"/>
      <c r="BN13" s="288"/>
      <c r="BO13" s="288"/>
      <c r="BP13" s="288"/>
      <c r="BQ13" s="288"/>
    </row>
    <row r="14" spans="1:69" ht="15">
      <c r="C14" s="254"/>
      <c r="D14" s="254"/>
      <c r="E14" s="254"/>
      <c r="F14" s="254"/>
      <c r="G14" s="254"/>
      <c r="H14" s="263" t="s">
        <v>304</v>
      </c>
      <c r="I14" s="263"/>
      <c r="J14" s="243"/>
      <c r="K14" s="243"/>
      <c r="Q14" s="243"/>
      <c r="S14" s="243"/>
      <c r="T14" s="250"/>
      <c r="U14" s="250"/>
      <c r="V14" s="254"/>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row>
    <row r="15" spans="1:69" ht="15">
      <c r="A15" s="352" t="s">
        <v>305</v>
      </c>
      <c r="C15" s="254"/>
      <c r="D15" s="254"/>
      <c r="E15" s="254"/>
      <c r="F15" s="254"/>
      <c r="G15" s="254"/>
      <c r="H15" s="273" t="s">
        <v>306</v>
      </c>
      <c r="I15" s="273"/>
      <c r="J15" s="353" t="s">
        <v>307</v>
      </c>
      <c r="K15" s="353"/>
      <c r="L15" s="353" t="s">
        <v>308</v>
      </c>
      <c r="Q15" s="243"/>
      <c r="S15" s="238"/>
      <c r="T15" s="250"/>
      <c r="U15" s="250"/>
      <c r="V15" s="254"/>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8"/>
      <c r="AY15" s="288"/>
      <c r="AZ15" s="288"/>
      <c r="BA15" s="288"/>
      <c r="BB15" s="288"/>
      <c r="BC15" s="288"/>
      <c r="BD15" s="288"/>
      <c r="BE15" s="288"/>
      <c r="BF15" s="288"/>
      <c r="BG15" s="288"/>
      <c r="BH15" s="288"/>
      <c r="BI15" s="288"/>
      <c r="BJ15" s="288"/>
      <c r="BK15" s="288"/>
      <c r="BL15" s="288"/>
      <c r="BM15" s="288"/>
      <c r="BN15" s="288"/>
      <c r="BO15" s="288"/>
      <c r="BP15" s="288"/>
      <c r="BQ15" s="288"/>
    </row>
    <row r="16" spans="1:69" ht="15">
      <c r="A16" s="352" t="s">
        <v>309</v>
      </c>
      <c r="C16" s="254"/>
      <c r="D16" s="254"/>
      <c r="E16" s="254"/>
      <c r="F16" s="254"/>
      <c r="G16" s="254"/>
      <c r="H16" s="243"/>
      <c r="I16" s="243"/>
      <c r="J16" s="243"/>
      <c r="K16" s="243"/>
      <c r="L16" s="243"/>
      <c r="Q16" s="243"/>
      <c r="R16" s="243"/>
      <c r="S16" s="238"/>
      <c r="T16" s="243"/>
      <c r="U16" s="243"/>
      <c r="V16" s="254"/>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c r="BI16" s="288"/>
      <c r="BJ16" s="288"/>
      <c r="BK16" s="288"/>
      <c r="BL16" s="288"/>
      <c r="BM16" s="288"/>
      <c r="BN16" s="288"/>
      <c r="BO16" s="288"/>
      <c r="BP16" s="288"/>
      <c r="BQ16" s="288"/>
    </row>
    <row r="17" spans="1:69" ht="15">
      <c r="A17" s="354"/>
      <c r="C17" s="254"/>
      <c r="D17" s="254"/>
      <c r="E17" s="254"/>
      <c r="F17" s="254"/>
      <c r="G17" s="254"/>
      <c r="H17" s="243"/>
      <c r="I17" s="243"/>
      <c r="J17" s="243"/>
      <c r="K17" s="243"/>
      <c r="L17" s="243"/>
      <c r="Q17" s="243"/>
      <c r="R17" s="243"/>
      <c r="S17" s="238"/>
      <c r="T17" s="243"/>
      <c r="U17" s="243"/>
      <c r="V17" s="254"/>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c r="AW17" s="288"/>
      <c r="AX17" s="288"/>
      <c r="AY17" s="288"/>
      <c r="AZ17" s="288"/>
      <c r="BA17" s="288"/>
      <c r="BB17" s="288"/>
      <c r="BC17" s="288"/>
      <c r="BD17" s="288"/>
      <c r="BE17" s="288"/>
      <c r="BF17" s="288"/>
      <c r="BG17" s="288"/>
      <c r="BH17" s="288"/>
      <c r="BI17" s="288"/>
      <c r="BJ17" s="288"/>
      <c r="BK17" s="288"/>
      <c r="BL17" s="288"/>
      <c r="BM17" s="288"/>
      <c r="BN17" s="288"/>
      <c r="BO17" s="288"/>
      <c r="BP17" s="288"/>
      <c r="BQ17" s="288"/>
    </row>
    <row r="18" spans="1:69" ht="15">
      <c r="A18" s="355">
        <v>1</v>
      </c>
      <c r="C18" s="254" t="s">
        <v>310</v>
      </c>
      <c r="D18" s="254"/>
      <c r="E18" s="254"/>
      <c r="F18" s="254"/>
      <c r="G18" s="254"/>
      <c r="H18" s="263" t="s">
        <v>311</v>
      </c>
      <c r="I18" s="263"/>
      <c r="J18" s="336">
        <v>3952228206.9005342</v>
      </c>
      <c r="K18" s="243"/>
      <c r="Q18" s="243"/>
      <c r="R18" s="243"/>
      <c r="S18" s="238"/>
      <c r="T18" s="243"/>
      <c r="U18" s="243"/>
      <c r="V18" s="254"/>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row>
    <row r="19" spans="1:69" ht="15">
      <c r="A19" s="355" t="s">
        <v>377</v>
      </c>
      <c r="C19" s="254" t="s">
        <v>417</v>
      </c>
      <c r="D19" s="254"/>
      <c r="E19" s="254"/>
      <c r="F19" s="254"/>
      <c r="G19" s="254"/>
      <c r="H19" s="263" t="s">
        <v>418</v>
      </c>
      <c r="I19" s="263"/>
      <c r="J19" s="337">
        <v>948960757.28670013</v>
      </c>
      <c r="K19" s="338"/>
      <c r="Q19" s="243"/>
      <c r="R19" s="243"/>
      <c r="S19" s="238"/>
      <c r="T19" s="243"/>
      <c r="U19" s="243"/>
      <c r="V19" s="254"/>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288"/>
    </row>
    <row r="20" spans="1:69" ht="15">
      <c r="A20" s="355">
        <v>2</v>
      </c>
      <c r="C20" s="254" t="s">
        <v>312</v>
      </c>
      <c r="D20" s="254"/>
      <c r="E20" s="254"/>
      <c r="F20" s="254"/>
      <c r="G20" s="254"/>
      <c r="H20" s="263" t="s">
        <v>419</v>
      </c>
      <c r="I20" s="263"/>
      <c r="J20" s="324">
        <f>J18-J19</f>
        <v>3003267449.6138339</v>
      </c>
      <c r="K20" s="339"/>
      <c r="Q20" s="243"/>
      <c r="R20" s="243"/>
      <c r="S20" s="238"/>
      <c r="T20" s="243"/>
      <c r="U20" s="243"/>
      <c r="V20" s="254"/>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288"/>
      <c r="BA20" s="288"/>
      <c r="BB20" s="288"/>
      <c r="BC20" s="288"/>
      <c r="BD20" s="288"/>
      <c r="BE20" s="288"/>
      <c r="BF20" s="288"/>
      <c r="BG20" s="288"/>
      <c r="BH20" s="288"/>
      <c r="BI20" s="288"/>
      <c r="BJ20" s="288"/>
      <c r="BK20" s="288"/>
      <c r="BL20" s="288"/>
      <c r="BM20" s="288"/>
      <c r="BN20" s="288"/>
      <c r="BO20" s="288"/>
      <c r="BP20" s="288"/>
      <c r="BQ20" s="288"/>
    </row>
    <row r="21" spans="1:69" ht="15">
      <c r="A21" s="355"/>
      <c r="H21" s="263"/>
      <c r="I21" s="263"/>
      <c r="Q21" s="243"/>
      <c r="R21" s="243"/>
      <c r="S21" s="238"/>
      <c r="T21" s="243"/>
      <c r="U21" s="243"/>
      <c r="V21" s="254"/>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row>
    <row r="22" spans="1:69" ht="15">
      <c r="A22" s="355"/>
      <c r="C22" s="254" t="s">
        <v>420</v>
      </c>
      <c r="D22" s="254"/>
      <c r="E22" s="254"/>
      <c r="F22" s="254"/>
      <c r="G22" s="254"/>
      <c r="H22" s="263"/>
      <c r="I22" s="263"/>
      <c r="J22" s="243"/>
      <c r="K22" s="243"/>
      <c r="L22" s="243"/>
      <c r="Q22" s="243"/>
      <c r="R22" s="243"/>
      <c r="S22" s="243"/>
      <c r="T22" s="243"/>
      <c r="U22" s="243"/>
      <c r="V22" s="254"/>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288"/>
      <c r="BA22" s="288"/>
      <c r="BB22" s="288"/>
      <c r="BC22" s="288"/>
      <c r="BD22" s="288"/>
      <c r="BE22" s="288"/>
      <c r="BF22" s="288"/>
      <c r="BG22" s="288"/>
      <c r="BH22" s="288"/>
      <c r="BI22" s="288"/>
      <c r="BJ22" s="288"/>
      <c r="BK22" s="288"/>
      <c r="BL22" s="288"/>
      <c r="BM22" s="288"/>
      <c r="BN22" s="288"/>
      <c r="BO22" s="288"/>
      <c r="BP22" s="288"/>
      <c r="BQ22" s="288"/>
    </row>
    <row r="23" spans="1:69" ht="15">
      <c r="A23" s="355">
        <v>3</v>
      </c>
      <c r="C23" s="254" t="s">
        <v>315</v>
      </c>
      <c r="D23" s="254"/>
      <c r="E23" s="254"/>
      <c r="F23" s="254"/>
      <c r="G23" s="254"/>
      <c r="H23" s="263" t="s">
        <v>316</v>
      </c>
      <c r="I23" s="263"/>
      <c r="J23" s="336">
        <v>62124765.792302936</v>
      </c>
      <c r="K23" s="243"/>
      <c r="Q23" s="243"/>
      <c r="R23" s="243"/>
      <c r="S23" s="243"/>
      <c r="T23" s="243"/>
      <c r="U23" s="243"/>
      <c r="V23" s="254"/>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AX23" s="288"/>
      <c r="AY23" s="288"/>
      <c r="AZ23" s="288"/>
      <c r="BA23" s="288"/>
      <c r="BB23" s="288"/>
      <c r="BC23" s="288"/>
      <c r="BD23" s="288"/>
      <c r="BE23" s="288"/>
      <c r="BF23" s="288"/>
      <c r="BG23" s="288"/>
      <c r="BH23" s="288"/>
      <c r="BI23" s="288"/>
      <c r="BJ23" s="288"/>
      <c r="BK23" s="288"/>
      <c r="BL23" s="288"/>
      <c r="BM23" s="288"/>
      <c r="BN23" s="288"/>
      <c r="BO23" s="288"/>
      <c r="BP23" s="288"/>
      <c r="BQ23" s="288"/>
    </row>
    <row r="24" spans="1:69" ht="15">
      <c r="A24" s="355" t="s">
        <v>421</v>
      </c>
      <c r="C24" s="254" t="s">
        <v>422</v>
      </c>
      <c r="D24" s="254"/>
      <c r="E24" s="254"/>
      <c r="F24" s="254"/>
      <c r="G24" s="254"/>
      <c r="H24" s="263" t="s">
        <v>423</v>
      </c>
      <c r="I24" s="263"/>
      <c r="J24" s="336">
        <v>214407810.70043901</v>
      </c>
      <c r="K24" s="243"/>
      <c r="Q24" s="243"/>
      <c r="R24" s="243"/>
      <c r="S24" s="243"/>
      <c r="T24" s="243"/>
      <c r="U24" s="243"/>
      <c r="V24" s="254"/>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288"/>
      <c r="BC24" s="288"/>
      <c r="BD24" s="288"/>
      <c r="BE24" s="288"/>
      <c r="BF24" s="288"/>
      <c r="BG24" s="288"/>
      <c r="BH24" s="288"/>
      <c r="BI24" s="288"/>
      <c r="BJ24" s="288"/>
      <c r="BK24" s="288"/>
      <c r="BL24" s="288"/>
      <c r="BM24" s="288"/>
      <c r="BN24" s="288"/>
      <c r="BO24" s="288"/>
      <c r="BP24" s="288"/>
      <c r="BQ24" s="288"/>
    </row>
    <row r="25" spans="1:69" ht="15">
      <c r="A25" s="355" t="s">
        <v>424</v>
      </c>
      <c r="C25" s="254" t="s">
        <v>425</v>
      </c>
      <c r="D25" s="254"/>
      <c r="E25" s="254"/>
      <c r="F25" s="254"/>
      <c r="G25" s="254"/>
      <c r="H25" s="263" t="s">
        <v>426</v>
      </c>
      <c r="I25" s="263"/>
      <c r="J25" s="336">
        <v>9513884</v>
      </c>
      <c r="K25" s="243"/>
      <c r="Q25" s="243"/>
      <c r="R25" s="243"/>
      <c r="S25" s="243"/>
      <c r="T25" s="243"/>
      <c r="U25" s="243"/>
      <c r="V25" s="254"/>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88"/>
      <c r="BO25" s="288"/>
      <c r="BP25" s="288"/>
      <c r="BQ25" s="288"/>
    </row>
    <row r="26" spans="1:69" ht="15">
      <c r="A26" s="355" t="s">
        <v>427</v>
      </c>
      <c r="C26" s="254" t="s">
        <v>428</v>
      </c>
      <c r="D26" s="254"/>
      <c r="E26" s="254"/>
      <c r="F26" s="254"/>
      <c r="G26" s="254"/>
      <c r="H26" s="263" t="s">
        <v>429</v>
      </c>
      <c r="I26" s="263"/>
      <c r="J26" s="337">
        <v>157950823.56073725</v>
      </c>
      <c r="K26" s="338"/>
      <c r="Q26" s="243"/>
      <c r="R26" s="243"/>
      <c r="S26" s="243"/>
      <c r="T26" s="243"/>
      <c r="U26" s="243"/>
      <c r="V26" s="254"/>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288"/>
    </row>
    <row r="27" spans="1:69" ht="15">
      <c r="A27" s="355" t="s">
        <v>430</v>
      </c>
      <c r="C27" s="254" t="s">
        <v>431</v>
      </c>
      <c r="D27" s="254"/>
      <c r="E27" s="254"/>
      <c r="F27" s="254"/>
      <c r="G27" s="254"/>
      <c r="H27" s="263" t="s">
        <v>432</v>
      </c>
      <c r="I27" s="263"/>
      <c r="J27" s="324">
        <f>J24-(J25+J26)</f>
        <v>46943103.139701754</v>
      </c>
      <c r="K27" s="243"/>
      <c r="Q27" s="243"/>
      <c r="R27" s="243"/>
      <c r="S27" s="243"/>
      <c r="T27" s="243"/>
      <c r="U27" s="243"/>
      <c r="V27" s="254"/>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8"/>
      <c r="BD27" s="288"/>
      <c r="BE27" s="288"/>
      <c r="BF27" s="288"/>
      <c r="BG27" s="288"/>
      <c r="BH27" s="288"/>
      <c r="BI27" s="288"/>
      <c r="BJ27" s="288"/>
      <c r="BK27" s="288"/>
      <c r="BL27" s="288"/>
      <c r="BM27" s="288"/>
      <c r="BN27" s="288"/>
      <c r="BO27" s="288"/>
      <c r="BP27" s="288"/>
      <c r="BQ27" s="288"/>
    </row>
    <row r="28" spans="1:69" ht="15">
      <c r="A28" s="355"/>
      <c r="C28" s="254"/>
      <c r="D28" s="254"/>
      <c r="E28" s="254"/>
      <c r="F28" s="254"/>
      <c r="G28" s="254"/>
      <c r="H28" s="263"/>
      <c r="I28" s="263"/>
      <c r="J28" s="243"/>
      <c r="K28" s="243"/>
      <c r="Q28" s="243"/>
      <c r="R28" s="243"/>
      <c r="S28" s="243"/>
      <c r="T28" s="243"/>
      <c r="U28" s="243"/>
      <c r="V28" s="254"/>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c r="BJ28" s="288"/>
      <c r="BK28" s="288"/>
      <c r="BL28" s="288"/>
      <c r="BM28" s="288"/>
      <c r="BN28" s="288"/>
      <c r="BO28" s="288"/>
      <c r="BP28" s="288"/>
      <c r="BQ28" s="288"/>
    </row>
    <row r="29" spans="1:69" ht="15">
      <c r="A29" s="355">
        <v>4</v>
      </c>
      <c r="C29" s="254" t="s">
        <v>433</v>
      </c>
      <c r="D29" s="254"/>
      <c r="E29" s="254"/>
      <c r="F29" s="254"/>
      <c r="G29" s="254"/>
      <c r="H29" s="263" t="s">
        <v>434</v>
      </c>
      <c r="I29" s="263"/>
      <c r="J29" s="266">
        <f>IF(J27=0,0,J27/J19)</f>
        <v>4.9467907686639244E-2</v>
      </c>
      <c r="K29" s="266"/>
      <c r="L29" s="285">
        <f>J29</f>
        <v>4.9467907686639244E-2</v>
      </c>
      <c r="Q29" s="243"/>
      <c r="R29" s="243"/>
      <c r="S29" s="243"/>
      <c r="T29" s="243"/>
      <c r="U29" s="243"/>
      <c r="V29" s="254"/>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8"/>
      <c r="BD29" s="288"/>
      <c r="BE29" s="288"/>
      <c r="BF29" s="288"/>
      <c r="BG29" s="288"/>
      <c r="BH29" s="288"/>
      <c r="BI29" s="288"/>
      <c r="BJ29" s="288"/>
      <c r="BK29" s="288"/>
      <c r="BL29" s="288"/>
      <c r="BM29" s="288"/>
      <c r="BN29" s="288"/>
      <c r="BO29" s="288"/>
      <c r="BP29" s="288"/>
      <c r="BQ29" s="288"/>
    </row>
    <row r="30" spans="1:69" ht="15">
      <c r="A30" s="355"/>
      <c r="C30" s="254"/>
      <c r="D30" s="254"/>
      <c r="E30" s="254"/>
      <c r="F30" s="254"/>
      <c r="G30" s="254"/>
      <c r="H30" s="263"/>
      <c r="I30" s="263"/>
      <c r="J30" s="243"/>
      <c r="K30" s="243"/>
      <c r="Q30" s="243"/>
      <c r="R30" s="243"/>
      <c r="S30" s="243"/>
      <c r="T30" s="243"/>
      <c r="U30" s="243"/>
      <c r="V30" s="254"/>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88"/>
      <c r="AY30" s="288"/>
      <c r="AZ30" s="288"/>
      <c r="BA30" s="288"/>
      <c r="BB30" s="288"/>
      <c r="BC30" s="288"/>
      <c r="BD30" s="288"/>
      <c r="BE30" s="288"/>
      <c r="BF30" s="288"/>
      <c r="BG30" s="288"/>
      <c r="BH30" s="288"/>
      <c r="BI30" s="288"/>
      <c r="BJ30" s="288"/>
      <c r="BK30" s="288"/>
      <c r="BL30" s="288"/>
      <c r="BM30" s="288"/>
      <c r="BN30" s="288"/>
      <c r="BO30" s="288"/>
      <c r="BP30" s="288"/>
      <c r="BQ30" s="288"/>
    </row>
    <row r="31" spans="1:69" ht="15">
      <c r="A31" s="355"/>
      <c r="C31" s="254"/>
      <c r="D31" s="254"/>
      <c r="E31" s="254"/>
      <c r="F31" s="254"/>
      <c r="G31" s="254"/>
      <c r="H31" s="263"/>
      <c r="I31" s="263"/>
      <c r="J31" s="243"/>
      <c r="K31" s="243"/>
      <c r="Q31" s="243"/>
      <c r="R31" s="243"/>
      <c r="S31" s="243"/>
      <c r="T31" s="243"/>
      <c r="U31" s="243"/>
      <c r="V31" s="254"/>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288"/>
    </row>
    <row r="32" spans="1:69" ht="15">
      <c r="A32" s="355"/>
      <c r="C32" s="254" t="s">
        <v>435</v>
      </c>
      <c r="D32" s="254"/>
      <c r="E32" s="254"/>
      <c r="F32" s="254"/>
      <c r="G32" s="254"/>
      <c r="H32" s="263"/>
      <c r="I32" s="263"/>
      <c r="J32" s="266"/>
      <c r="K32" s="266"/>
      <c r="L32" s="285"/>
      <c r="Q32" s="243"/>
      <c r="R32" s="266"/>
      <c r="S32" s="243"/>
      <c r="T32" s="356"/>
      <c r="U32" s="243"/>
      <c r="V32" s="254"/>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288"/>
    </row>
    <row r="33" spans="1:69" ht="15">
      <c r="A33" s="355" t="s">
        <v>436</v>
      </c>
      <c r="C33" s="254" t="s">
        <v>437</v>
      </c>
      <c r="D33" s="254"/>
      <c r="E33" s="254"/>
      <c r="F33" s="254"/>
      <c r="G33" s="254"/>
      <c r="H33" s="263" t="s">
        <v>438</v>
      </c>
      <c r="I33" s="263"/>
      <c r="J33" s="324">
        <f>J23-J27</f>
        <v>15181662.652601182</v>
      </c>
      <c r="K33" s="266"/>
      <c r="L33" s="285"/>
      <c r="Q33" s="243"/>
      <c r="R33" s="266"/>
      <c r="S33" s="243"/>
      <c r="T33" s="356"/>
      <c r="U33" s="243"/>
      <c r="V33" s="254"/>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row>
    <row r="34" spans="1:69" ht="15">
      <c r="A34" s="355" t="s">
        <v>439</v>
      </c>
      <c r="C34" s="254" t="s">
        <v>440</v>
      </c>
      <c r="D34" s="254"/>
      <c r="E34" s="254"/>
      <c r="F34" s="254"/>
      <c r="G34" s="254"/>
      <c r="H34" s="263" t="s">
        <v>441</v>
      </c>
      <c r="I34" s="263"/>
      <c r="J34" s="266">
        <f>IF(J33=0,0,J33/J18)</f>
        <v>3.8412920149940269E-3</v>
      </c>
      <c r="K34" s="266"/>
      <c r="L34" s="285">
        <f>J34</f>
        <v>3.8412920149940269E-3</v>
      </c>
      <c r="Q34" s="243"/>
      <c r="R34" s="266"/>
      <c r="S34" s="243"/>
      <c r="T34" s="356"/>
      <c r="U34" s="243"/>
      <c r="V34" s="254"/>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288"/>
    </row>
    <row r="35" spans="1:69" ht="15">
      <c r="A35" s="355"/>
      <c r="C35" s="254"/>
      <c r="D35" s="254"/>
      <c r="E35" s="254"/>
      <c r="F35" s="254"/>
      <c r="G35" s="254"/>
      <c r="H35" s="263"/>
      <c r="I35" s="263"/>
      <c r="J35" s="266"/>
      <c r="K35" s="266"/>
      <c r="L35" s="285"/>
      <c r="Q35" s="243"/>
      <c r="R35" s="266"/>
      <c r="S35" s="243"/>
      <c r="T35" s="356"/>
      <c r="U35" s="243"/>
      <c r="V35" s="254"/>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row>
    <row r="36" spans="1:69" ht="15">
      <c r="A36" s="251"/>
      <c r="B36" s="288"/>
      <c r="C36" s="254" t="s">
        <v>319</v>
      </c>
      <c r="D36" s="254"/>
      <c r="E36" s="254"/>
      <c r="F36" s="254"/>
      <c r="G36" s="254"/>
      <c r="H36" s="273"/>
      <c r="I36" s="273"/>
      <c r="J36" s="243"/>
      <c r="K36" s="243"/>
      <c r="L36" s="243"/>
      <c r="N36" s="288"/>
      <c r="O36" s="288"/>
      <c r="Q36" s="243"/>
      <c r="R36" s="266"/>
      <c r="S36" s="243"/>
      <c r="T36" s="356"/>
      <c r="U36" s="243"/>
      <c r="V36" s="254"/>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row>
    <row r="37" spans="1:69" ht="15">
      <c r="A37" s="251" t="s">
        <v>320</v>
      </c>
      <c r="B37" s="288"/>
      <c r="C37" s="254" t="s">
        <v>321</v>
      </c>
      <c r="D37" s="254"/>
      <c r="E37" s="254"/>
      <c r="F37" s="254"/>
      <c r="G37" s="254"/>
      <c r="H37" s="263" t="s">
        <v>322</v>
      </c>
      <c r="I37" s="263"/>
      <c r="J37" s="336">
        <v>4078981.5272018611</v>
      </c>
      <c r="K37" s="243"/>
      <c r="L37" s="288"/>
      <c r="N37" s="288"/>
      <c r="O37" s="288"/>
      <c r="Q37" s="243"/>
      <c r="R37" s="266"/>
      <c r="S37" s="243"/>
      <c r="T37" s="356"/>
      <c r="U37" s="243"/>
      <c r="V37" s="254"/>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88"/>
    </row>
    <row r="38" spans="1:69" ht="15">
      <c r="A38" s="251" t="s">
        <v>323</v>
      </c>
      <c r="B38" s="288"/>
      <c r="C38" s="254" t="s">
        <v>324</v>
      </c>
      <c r="D38" s="254"/>
      <c r="E38" s="254"/>
      <c r="F38" s="254"/>
      <c r="G38" s="254"/>
      <c r="H38" s="263" t="s">
        <v>325</v>
      </c>
      <c r="I38" s="263"/>
      <c r="J38" s="266">
        <f>IF(J37=0,0,J37/J18)</f>
        <v>1.0320713566286525E-3</v>
      </c>
      <c r="K38" s="266"/>
      <c r="L38" s="285">
        <f>J38</f>
        <v>1.0320713566286525E-3</v>
      </c>
      <c r="N38" s="288"/>
      <c r="O38" s="288"/>
      <c r="Q38" s="243"/>
      <c r="R38" s="266"/>
      <c r="S38" s="243"/>
      <c r="T38" s="356"/>
      <c r="U38" s="243"/>
      <c r="V38" s="254"/>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288"/>
      <c r="BA38" s="288"/>
      <c r="BB38" s="288"/>
      <c r="BC38" s="288"/>
      <c r="BD38" s="288"/>
      <c r="BE38" s="288"/>
      <c r="BF38" s="288"/>
      <c r="BG38" s="288"/>
      <c r="BH38" s="288"/>
      <c r="BI38" s="288"/>
      <c r="BJ38" s="288"/>
      <c r="BK38" s="288"/>
      <c r="BL38" s="288"/>
      <c r="BM38" s="288"/>
      <c r="BN38" s="288"/>
      <c r="BO38" s="288"/>
      <c r="BP38" s="288"/>
      <c r="BQ38" s="288"/>
    </row>
    <row r="39" spans="1:69" ht="15">
      <c r="A39" s="355"/>
      <c r="C39" s="254"/>
      <c r="D39" s="254"/>
      <c r="E39" s="254"/>
      <c r="F39" s="254"/>
      <c r="G39" s="254"/>
      <c r="H39" s="263"/>
      <c r="I39" s="263"/>
      <c r="J39" s="266"/>
      <c r="K39" s="266"/>
      <c r="L39" s="285"/>
      <c r="Q39" s="243"/>
      <c r="R39" s="266"/>
      <c r="S39" s="243"/>
      <c r="T39" s="356"/>
      <c r="U39" s="243"/>
      <c r="V39" s="254"/>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K39" s="288"/>
      <c r="BL39" s="288"/>
      <c r="BM39" s="288"/>
      <c r="BN39" s="288"/>
      <c r="BO39" s="288"/>
      <c r="BP39" s="288"/>
      <c r="BQ39" s="288"/>
    </row>
    <row r="40" spans="1:69" ht="15">
      <c r="A40" s="357"/>
      <c r="C40" s="254" t="s">
        <v>326</v>
      </c>
      <c r="D40" s="254"/>
      <c r="E40" s="254"/>
      <c r="F40" s="254"/>
      <c r="G40" s="254"/>
      <c r="H40" s="273"/>
      <c r="I40" s="273"/>
      <c r="J40" s="243"/>
      <c r="K40" s="243"/>
      <c r="L40" s="243"/>
      <c r="Q40" s="243"/>
      <c r="R40" s="243"/>
      <c r="S40" s="243"/>
      <c r="T40" s="243"/>
      <c r="U40" s="243"/>
      <c r="V40" s="254"/>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288"/>
    </row>
    <row r="41" spans="1:69" ht="15">
      <c r="A41" s="357" t="s">
        <v>327</v>
      </c>
      <c r="C41" s="254" t="s">
        <v>328</v>
      </c>
      <c r="D41" s="254"/>
      <c r="E41" s="254"/>
      <c r="F41" s="254"/>
      <c r="G41" s="254"/>
      <c r="H41" s="263" t="s">
        <v>329</v>
      </c>
      <c r="I41" s="263"/>
      <c r="J41" s="336">
        <v>40849467.28888163</v>
      </c>
      <c r="K41" s="243"/>
      <c r="Q41" s="243"/>
      <c r="R41" s="250"/>
      <c r="S41" s="243"/>
      <c r="T41" s="263"/>
      <c r="U41" s="250"/>
      <c r="V41" s="254"/>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88"/>
    </row>
    <row r="42" spans="1:69" ht="15">
      <c r="A42" s="357" t="s">
        <v>330</v>
      </c>
      <c r="C42" s="254" t="s">
        <v>331</v>
      </c>
      <c r="D42" s="254"/>
      <c r="E42" s="254"/>
      <c r="F42" s="254"/>
      <c r="G42" s="254"/>
      <c r="H42" s="263" t="s">
        <v>332</v>
      </c>
      <c r="I42" s="263"/>
      <c r="J42" s="266">
        <f>IF(J41=0,0,J41/J18)</f>
        <v>1.0335806828552825E-2</v>
      </c>
      <c r="K42" s="266"/>
      <c r="L42" s="285">
        <f>J42</f>
        <v>1.0335806828552825E-2</v>
      </c>
      <c r="Q42" s="243"/>
      <c r="R42" s="266"/>
      <c r="S42" s="243"/>
      <c r="T42" s="356"/>
      <c r="U42" s="250"/>
      <c r="V42" s="254"/>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row>
    <row r="43" spans="1:69" ht="15">
      <c r="A43" s="357"/>
      <c r="C43" s="254"/>
      <c r="D43" s="254"/>
      <c r="E43" s="254"/>
      <c r="F43" s="254"/>
      <c r="G43" s="254"/>
      <c r="H43" s="263"/>
      <c r="I43" s="263"/>
      <c r="J43" s="243"/>
      <c r="K43" s="243"/>
      <c r="L43" s="243"/>
      <c r="Q43" s="243"/>
      <c r="U43" s="243"/>
      <c r="V43" s="254"/>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row>
    <row r="44" spans="1:69" ht="15">
      <c r="A44" s="251" t="s">
        <v>333</v>
      </c>
      <c r="B44" s="288"/>
      <c r="C44" s="254" t="s">
        <v>442</v>
      </c>
      <c r="D44" s="254"/>
      <c r="E44" s="254"/>
      <c r="F44" s="254"/>
      <c r="G44" s="254"/>
      <c r="H44" s="263" t="s">
        <v>443</v>
      </c>
      <c r="I44" s="263"/>
      <c r="J44" s="285">
        <f>J34+J38+J42</f>
        <v>1.5209170200175504E-2</v>
      </c>
      <c r="K44" s="285"/>
      <c r="L44" s="285">
        <f>L34+L38+L42</f>
        <v>1.5209170200175504E-2</v>
      </c>
      <c r="Q44" s="243"/>
      <c r="U44" s="243"/>
      <c r="V44" s="254"/>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88"/>
    </row>
    <row r="45" spans="1:69" ht="15">
      <c r="A45" s="357"/>
      <c r="C45" s="254"/>
      <c r="D45" s="254"/>
      <c r="E45" s="254"/>
      <c r="F45" s="254"/>
      <c r="G45" s="254"/>
      <c r="H45" s="263"/>
      <c r="I45" s="263"/>
      <c r="J45" s="243"/>
      <c r="K45" s="243"/>
      <c r="L45" s="243"/>
      <c r="Q45" s="243"/>
      <c r="R45" s="243"/>
      <c r="S45" s="243"/>
      <c r="T45" s="358"/>
      <c r="U45" s="243"/>
      <c r="V45" s="254"/>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8"/>
    </row>
    <row r="46" spans="1:69" ht="15">
      <c r="A46" s="251"/>
      <c r="B46" s="359"/>
      <c r="C46" s="243" t="s">
        <v>336</v>
      </c>
      <c r="D46" s="243"/>
      <c r="E46" s="243"/>
      <c r="F46" s="243"/>
      <c r="G46" s="243"/>
      <c r="H46" s="263"/>
      <c r="I46" s="263"/>
      <c r="J46" s="243"/>
      <c r="K46" s="243"/>
      <c r="L46" s="243"/>
      <c r="Q46" s="283"/>
      <c r="R46" s="359"/>
      <c r="U46" s="250"/>
      <c r="V46" s="243" t="s">
        <v>295</v>
      </c>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88"/>
    </row>
    <row r="47" spans="1:69" ht="15">
      <c r="A47" s="357" t="s">
        <v>337</v>
      </c>
      <c r="B47" s="359"/>
      <c r="C47" s="243" t="s">
        <v>338</v>
      </c>
      <c r="D47" s="243"/>
      <c r="E47" s="243"/>
      <c r="F47" s="243"/>
      <c r="G47" s="243"/>
      <c r="H47" s="263" t="s">
        <v>339</v>
      </c>
      <c r="I47" s="263"/>
      <c r="J47" s="336">
        <v>109724193.77589448</v>
      </c>
      <c r="K47" s="243"/>
      <c r="L47" s="243"/>
      <c r="Q47" s="283"/>
      <c r="R47" s="359"/>
      <c r="U47" s="250"/>
      <c r="V47" s="243"/>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row>
    <row r="48" spans="1:69" ht="15">
      <c r="A48" s="357" t="s">
        <v>340</v>
      </c>
      <c r="B48" s="359"/>
      <c r="C48" s="243" t="s">
        <v>341</v>
      </c>
      <c r="D48" s="243"/>
      <c r="E48" s="243"/>
      <c r="F48" s="243"/>
      <c r="G48" s="243"/>
      <c r="H48" s="263" t="s">
        <v>342</v>
      </c>
      <c r="I48" s="263"/>
      <c r="J48" s="266">
        <f>IF(J47=0,0,J47/J20)</f>
        <v>3.6534939234267344E-2</v>
      </c>
      <c r="K48" s="266"/>
      <c r="L48" s="285">
        <f>J48</f>
        <v>3.6534939234267344E-2</v>
      </c>
      <c r="Q48" s="283"/>
      <c r="R48" s="359"/>
      <c r="S48" s="243"/>
      <c r="T48" s="243"/>
      <c r="U48" s="250"/>
      <c r="V48" s="243"/>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8"/>
      <c r="BM48" s="288"/>
      <c r="BN48" s="288"/>
      <c r="BO48" s="288"/>
      <c r="BP48" s="288"/>
      <c r="BQ48" s="288"/>
    </row>
    <row r="49" spans="1:69" ht="15">
      <c r="A49" s="357"/>
      <c r="C49" s="243"/>
      <c r="D49" s="243"/>
      <c r="E49" s="243"/>
      <c r="F49" s="243"/>
      <c r="G49" s="243"/>
      <c r="H49" s="263"/>
      <c r="I49" s="263"/>
      <c r="J49" s="243"/>
      <c r="K49" s="243"/>
      <c r="L49" s="243"/>
      <c r="Q49" s="243"/>
      <c r="S49" s="238"/>
      <c r="T49" s="243"/>
      <c r="U49" s="238"/>
      <c r="V49" s="254"/>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8"/>
      <c r="BM49" s="288"/>
      <c r="BN49" s="288"/>
      <c r="BO49" s="288"/>
      <c r="BP49" s="288"/>
      <c r="BQ49" s="288"/>
    </row>
    <row r="50" spans="1:69" ht="15">
      <c r="A50" s="357"/>
      <c r="C50" s="254" t="s">
        <v>343</v>
      </c>
      <c r="D50" s="254"/>
      <c r="E50" s="254"/>
      <c r="F50" s="254"/>
      <c r="G50" s="254"/>
      <c r="H50" s="284"/>
      <c r="I50" s="284"/>
      <c r="Q50" s="243"/>
      <c r="S50" s="243"/>
      <c r="T50" s="243"/>
      <c r="U50" s="243"/>
      <c r="V50" s="254"/>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row>
    <row r="51" spans="1:69" ht="15">
      <c r="A51" s="357" t="s">
        <v>344</v>
      </c>
      <c r="C51" s="254" t="s">
        <v>345</v>
      </c>
      <c r="D51" s="254"/>
      <c r="E51" s="254"/>
      <c r="F51" s="254"/>
      <c r="G51" s="254"/>
      <c r="H51" s="263" t="s">
        <v>346</v>
      </c>
      <c r="I51" s="263"/>
      <c r="J51" s="336">
        <v>212254210.03916329</v>
      </c>
      <c r="K51" s="243"/>
      <c r="L51" s="243"/>
      <c r="Q51" s="243"/>
      <c r="S51" s="243"/>
      <c r="T51" s="243"/>
      <c r="U51" s="243"/>
      <c r="V51" s="254"/>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8"/>
      <c r="BM51" s="288"/>
      <c r="BN51" s="288"/>
      <c r="BO51" s="288"/>
      <c r="BP51" s="288"/>
      <c r="BQ51" s="288"/>
    </row>
    <row r="52" spans="1:69" ht="15">
      <c r="A52" s="357" t="s">
        <v>347</v>
      </c>
      <c r="B52" s="359"/>
      <c r="C52" s="243" t="s">
        <v>348</v>
      </c>
      <c r="D52" s="243"/>
      <c r="E52" s="243"/>
      <c r="F52" s="243"/>
      <c r="G52" s="243"/>
      <c r="H52" s="263" t="s">
        <v>349</v>
      </c>
      <c r="I52" s="263"/>
      <c r="J52" s="285">
        <f>IF(J51=0,0,J51/J20)</f>
        <v>7.06744283019001E-2</v>
      </c>
      <c r="K52" s="285"/>
      <c r="L52" s="285">
        <f>J52</f>
        <v>7.06744283019001E-2</v>
      </c>
      <c r="Q52" s="243"/>
      <c r="T52" s="360"/>
      <c r="U52" s="250"/>
      <c r="V52" s="243"/>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row>
    <row r="53" spans="1:69" ht="15">
      <c r="A53" s="357"/>
      <c r="C53" s="254"/>
      <c r="D53" s="254"/>
      <c r="E53" s="254"/>
      <c r="F53" s="254"/>
      <c r="G53" s="254"/>
      <c r="H53" s="263"/>
      <c r="I53" s="263"/>
      <c r="J53" s="243"/>
      <c r="K53" s="243"/>
      <c r="L53" s="243"/>
      <c r="Q53" s="243"/>
      <c r="R53" s="284"/>
      <c r="S53" s="243"/>
      <c r="T53" s="243"/>
      <c r="U53" s="243"/>
      <c r="V53" s="254"/>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row>
    <row r="54" spans="1:69" ht="15">
      <c r="A54" s="251" t="s">
        <v>350</v>
      </c>
      <c r="B54" s="288"/>
      <c r="C54" s="254" t="s">
        <v>351</v>
      </c>
      <c r="D54" s="254"/>
      <c r="E54" s="254"/>
      <c r="F54" s="254"/>
      <c r="G54" s="254"/>
      <c r="H54" s="263" t="s">
        <v>352</v>
      </c>
      <c r="I54" s="263"/>
      <c r="J54" s="243"/>
      <c r="K54" s="243"/>
      <c r="L54" s="285">
        <f>L48+L52</f>
        <v>0.10720936753616744</v>
      </c>
      <c r="Q54" s="243"/>
      <c r="R54" s="284"/>
      <c r="S54" s="243"/>
      <c r="T54" s="243"/>
      <c r="U54" s="243"/>
      <c r="V54" s="254"/>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row>
    <row r="55" spans="1:69" ht="15">
      <c r="Q55" s="287"/>
      <c r="R55" s="287"/>
      <c r="S55" s="243"/>
      <c r="T55" s="243"/>
      <c r="U55" s="243"/>
      <c r="V55" s="254"/>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8"/>
      <c r="BM55" s="288"/>
      <c r="BN55" s="288"/>
      <c r="BO55" s="288"/>
      <c r="BP55" s="288"/>
      <c r="BQ55" s="288"/>
    </row>
    <row r="56" spans="1:69" ht="15">
      <c r="A56" s="352"/>
      <c r="C56" s="288"/>
      <c r="D56" s="288"/>
      <c r="E56" s="288"/>
      <c r="F56" s="288"/>
      <c r="G56" s="288"/>
      <c r="H56" s="288"/>
      <c r="I56" s="288"/>
      <c r="J56" s="243"/>
      <c r="K56" s="243"/>
      <c r="L56" s="288"/>
      <c r="M56" s="288"/>
      <c r="N56" s="288"/>
      <c r="O56" s="288"/>
      <c r="Q56" s="243"/>
      <c r="R56" s="243"/>
      <c r="S56" s="243"/>
      <c r="T56" s="243"/>
      <c r="U56" s="250"/>
      <c r="V56" s="243" t="s">
        <v>295</v>
      </c>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8"/>
      <c r="BM56" s="288"/>
      <c r="BN56" s="288"/>
      <c r="BO56" s="288"/>
      <c r="BP56" s="288"/>
      <c r="BQ56" s="288"/>
    </row>
    <row r="57" spans="1:69" hidden="1">
      <c r="R57" s="349"/>
    </row>
    <row r="58" spans="1:69" hidden="1">
      <c r="R58" s="349"/>
    </row>
    <row r="60" spans="1:69" ht="15">
      <c r="A60" s="352"/>
      <c r="C60" s="288"/>
      <c r="D60" s="288"/>
      <c r="E60" s="288"/>
      <c r="F60" s="288"/>
      <c r="G60" s="288"/>
      <c r="H60" s="288"/>
      <c r="I60" s="288"/>
      <c r="J60" s="243"/>
      <c r="K60" s="243"/>
      <c r="L60" s="288"/>
      <c r="M60" s="288"/>
      <c r="N60" s="288"/>
      <c r="O60" s="288"/>
      <c r="Q60" s="243"/>
      <c r="R60" s="349" t="s">
        <v>414</v>
      </c>
      <c r="S60" s="243"/>
      <c r="T60" s="238"/>
      <c r="U60" s="243"/>
      <c r="V60" s="254"/>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88"/>
      <c r="BA60" s="288"/>
      <c r="BB60" s="288"/>
      <c r="BC60" s="288"/>
      <c r="BD60" s="288"/>
      <c r="BE60" s="288"/>
      <c r="BF60" s="288"/>
      <c r="BG60" s="288"/>
      <c r="BH60" s="288"/>
      <c r="BI60" s="288"/>
      <c r="BJ60" s="288"/>
      <c r="BK60" s="288"/>
      <c r="BL60" s="288"/>
      <c r="BM60" s="288"/>
      <c r="BN60" s="288"/>
      <c r="BO60" s="288"/>
      <c r="BP60" s="288"/>
      <c r="BQ60" s="288"/>
    </row>
    <row r="61" spans="1:69" ht="15">
      <c r="A61" s="352"/>
      <c r="C61" s="254" t="str">
        <f>C5</f>
        <v>Formula Rate calculation</v>
      </c>
      <c r="D61" s="254"/>
      <c r="E61" s="254"/>
      <c r="F61" s="254"/>
      <c r="G61" s="254"/>
      <c r="H61" s="288"/>
      <c r="I61" s="288"/>
      <c r="J61" s="288" t="str">
        <f>J5</f>
        <v xml:space="preserve">     Rate Formula Template</v>
      </c>
      <c r="K61" s="288"/>
      <c r="L61" s="288"/>
      <c r="M61" s="288"/>
      <c r="N61" s="288"/>
      <c r="O61" s="288"/>
      <c r="Q61" s="243"/>
      <c r="R61" s="293" t="str">
        <f>R5</f>
        <v>For  the 12 months ended 12/31/2015</v>
      </c>
      <c r="S61" s="243"/>
      <c r="T61" s="238"/>
      <c r="U61" s="243"/>
      <c r="V61" s="254"/>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8"/>
    </row>
    <row r="62" spans="1:69" ht="15">
      <c r="A62" s="352"/>
      <c r="C62" s="254"/>
      <c r="D62" s="254"/>
      <c r="E62" s="254"/>
      <c r="F62" s="254"/>
      <c r="G62" s="254"/>
      <c r="H62" s="288"/>
      <c r="I62" s="288"/>
      <c r="J62" s="288" t="str">
        <f>J6</f>
        <v xml:space="preserve"> Utilizing Attachment O Data</v>
      </c>
      <c r="K62" s="288"/>
      <c r="L62" s="288"/>
      <c r="M62" s="288"/>
      <c r="N62" s="288"/>
      <c r="O62" s="288"/>
      <c r="P62" s="243"/>
      <c r="Q62" s="243"/>
      <c r="S62" s="243"/>
      <c r="T62" s="238"/>
      <c r="U62" s="243"/>
      <c r="V62" s="254"/>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8"/>
    </row>
    <row r="63" spans="1:69" ht="14.25" customHeight="1">
      <c r="A63" s="352"/>
      <c r="C63" s="288"/>
      <c r="D63" s="288"/>
      <c r="E63" s="288"/>
      <c r="F63" s="288"/>
      <c r="G63" s="288"/>
      <c r="H63" s="288"/>
      <c r="I63" s="288"/>
      <c r="J63" s="288"/>
      <c r="K63" s="288"/>
      <c r="L63" s="288"/>
      <c r="M63" s="288"/>
      <c r="N63" s="288"/>
      <c r="O63" s="288"/>
      <c r="Q63" s="243"/>
      <c r="R63" s="288" t="s">
        <v>353</v>
      </c>
      <c r="S63" s="243"/>
      <c r="T63" s="238"/>
      <c r="U63" s="243"/>
      <c r="V63" s="254"/>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row>
    <row r="64" spans="1:69" ht="15">
      <c r="A64" s="352"/>
      <c r="H64" s="288"/>
      <c r="I64" s="288"/>
      <c r="J64" s="288" t="str">
        <f>J8</f>
        <v>NSP Companies</v>
      </c>
      <c r="K64" s="288"/>
      <c r="L64" s="288"/>
      <c r="M64" s="288"/>
      <c r="N64" s="288"/>
      <c r="O64" s="288"/>
      <c r="P64" s="288"/>
      <c r="Q64" s="243"/>
      <c r="R64" s="243"/>
      <c r="S64" s="243"/>
      <c r="T64" s="238"/>
      <c r="U64" s="243"/>
      <c r="V64" s="254"/>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c r="AS64" s="288"/>
      <c r="AT64" s="288"/>
      <c r="AU64" s="288"/>
      <c r="AV64" s="288"/>
      <c r="AW64" s="288"/>
      <c r="AX64" s="288"/>
      <c r="AY64" s="288"/>
      <c r="AZ64" s="288"/>
      <c r="BA64" s="288"/>
      <c r="BB64" s="288"/>
      <c r="BC64" s="288"/>
      <c r="BD64" s="288"/>
      <c r="BE64" s="288"/>
      <c r="BF64" s="288"/>
      <c r="BG64" s="288"/>
      <c r="BH64" s="288"/>
      <c r="BI64" s="288"/>
      <c r="BJ64" s="288"/>
      <c r="BK64" s="288"/>
      <c r="BL64" s="288"/>
      <c r="BM64" s="288"/>
      <c r="BN64" s="288"/>
      <c r="BO64" s="288"/>
      <c r="BP64" s="288"/>
      <c r="BQ64" s="288"/>
    </row>
    <row r="65" spans="1:69" ht="15">
      <c r="A65" s="352"/>
      <c r="H65" s="254"/>
      <c r="I65" s="254"/>
      <c r="J65" s="254"/>
      <c r="K65" s="254"/>
      <c r="L65" s="254"/>
      <c r="M65" s="254"/>
      <c r="N65" s="254"/>
      <c r="O65" s="254"/>
      <c r="P65" s="254"/>
      <c r="Q65" s="254"/>
      <c r="R65" s="254"/>
      <c r="S65" s="243"/>
      <c r="T65" s="238"/>
      <c r="U65" s="243"/>
      <c r="V65" s="254"/>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row>
    <row r="66" spans="1:69" ht="15">
      <c r="A66" s="352"/>
      <c r="C66" s="288"/>
      <c r="D66" s="288"/>
      <c r="E66" s="288"/>
      <c r="F66" s="288"/>
      <c r="G66" s="288"/>
      <c r="H66" s="254" t="s">
        <v>444</v>
      </c>
      <c r="I66" s="254"/>
      <c r="L66" s="238"/>
      <c r="M66" s="238"/>
      <c r="N66" s="238"/>
      <c r="O66" s="238"/>
      <c r="P66" s="238"/>
      <c r="Q66" s="243"/>
      <c r="R66" s="243"/>
      <c r="S66" s="243"/>
      <c r="T66" s="238"/>
      <c r="U66" s="243"/>
      <c r="V66" s="254"/>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288"/>
    </row>
    <row r="67" spans="1:69" ht="15">
      <c r="A67" s="352"/>
      <c r="C67" s="288"/>
      <c r="D67" s="288"/>
      <c r="E67" s="288"/>
      <c r="F67" s="288"/>
      <c r="G67" s="288"/>
      <c r="H67" s="254"/>
      <c r="I67" s="254"/>
      <c r="L67" s="238"/>
      <c r="M67" s="238"/>
      <c r="N67" s="238"/>
      <c r="O67" s="238"/>
      <c r="P67" s="238"/>
      <c r="Q67" s="243"/>
      <c r="R67" s="243"/>
      <c r="S67" s="243"/>
      <c r="T67" s="238"/>
      <c r="U67" s="243"/>
      <c r="V67" s="254"/>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row>
    <row r="68" spans="1:69" ht="15">
      <c r="A68" s="361"/>
      <c r="C68" s="362" t="s">
        <v>300</v>
      </c>
      <c r="D68" s="362" t="s">
        <v>301</v>
      </c>
      <c r="E68" s="362" t="s">
        <v>302</v>
      </c>
      <c r="F68" s="362" t="s">
        <v>303</v>
      </c>
      <c r="G68" s="362" t="s">
        <v>445</v>
      </c>
      <c r="H68" s="362" t="s">
        <v>446</v>
      </c>
      <c r="I68" s="362" t="s">
        <v>447</v>
      </c>
      <c r="J68" s="362" t="s">
        <v>448</v>
      </c>
      <c r="K68" s="362" t="s">
        <v>449</v>
      </c>
      <c r="L68" s="362" t="s">
        <v>450</v>
      </c>
      <c r="M68" s="362" t="s">
        <v>451</v>
      </c>
      <c r="N68" s="362" t="s">
        <v>452</v>
      </c>
      <c r="O68" s="362" t="s">
        <v>453</v>
      </c>
      <c r="P68" s="362" t="s">
        <v>454</v>
      </c>
      <c r="Q68" s="362" t="s">
        <v>455</v>
      </c>
      <c r="R68" s="362" t="s">
        <v>456</v>
      </c>
      <c r="S68" s="243"/>
      <c r="T68" s="238"/>
      <c r="U68" s="243"/>
      <c r="V68" s="254"/>
      <c r="W68" s="288"/>
      <c r="X68" s="288"/>
      <c r="Y68" s="288"/>
      <c r="Z68" s="288"/>
      <c r="AA68" s="288"/>
      <c r="AB68" s="288"/>
      <c r="AC68" s="288"/>
      <c r="AD68" s="288"/>
      <c r="AE68" s="288"/>
      <c r="AF68" s="288"/>
      <c r="AG68" s="288"/>
      <c r="AH68" s="288"/>
      <c r="AI68" s="288"/>
      <c r="AJ68" s="288"/>
      <c r="AK68" s="288"/>
      <c r="AL68" s="288"/>
      <c r="AM68" s="288"/>
      <c r="AN68" s="288"/>
      <c r="AO68" s="288"/>
      <c r="AP68" s="288"/>
      <c r="AQ68" s="288"/>
      <c r="AR68" s="288"/>
      <c r="AS68" s="288"/>
      <c r="AT68" s="288"/>
      <c r="AU68" s="288"/>
      <c r="AV68" s="288"/>
      <c r="AW68" s="288"/>
      <c r="AX68" s="288"/>
      <c r="AY68" s="288"/>
      <c r="AZ68" s="288"/>
      <c r="BA68" s="288"/>
      <c r="BB68" s="288"/>
      <c r="BC68" s="288"/>
      <c r="BD68" s="288"/>
      <c r="BE68" s="288"/>
      <c r="BF68" s="288"/>
      <c r="BG68" s="288"/>
      <c r="BH68" s="288"/>
      <c r="BI68" s="288"/>
      <c r="BJ68" s="288"/>
      <c r="BK68" s="288"/>
      <c r="BL68" s="288"/>
      <c r="BM68" s="288"/>
      <c r="BN68" s="288"/>
      <c r="BO68" s="288"/>
      <c r="BP68" s="288"/>
      <c r="BQ68" s="288"/>
    </row>
    <row r="69" spans="1:69" ht="65.25" customHeight="1">
      <c r="A69" s="363" t="s">
        <v>355</v>
      </c>
      <c r="B69" s="364"/>
      <c r="C69" s="365" t="s">
        <v>356</v>
      </c>
      <c r="D69" s="365" t="s">
        <v>357</v>
      </c>
      <c r="E69" s="365" t="s">
        <v>457</v>
      </c>
      <c r="F69" s="365" t="s">
        <v>458</v>
      </c>
      <c r="G69" s="365" t="s">
        <v>459</v>
      </c>
      <c r="H69" s="366" t="s">
        <v>460</v>
      </c>
      <c r="I69" s="366" t="s">
        <v>461</v>
      </c>
      <c r="J69" s="367" t="s">
        <v>462</v>
      </c>
      <c r="K69" s="368" t="s">
        <v>359</v>
      </c>
      <c r="L69" s="366" t="s">
        <v>360</v>
      </c>
      <c r="M69" s="366" t="s">
        <v>351</v>
      </c>
      <c r="N69" s="368" t="s">
        <v>361</v>
      </c>
      <c r="O69" s="366" t="s">
        <v>362</v>
      </c>
      <c r="P69" s="307" t="s">
        <v>363</v>
      </c>
      <c r="Q69" s="369" t="s">
        <v>364</v>
      </c>
      <c r="R69" s="307" t="s">
        <v>463</v>
      </c>
      <c r="S69" s="243"/>
      <c r="T69" s="308" t="s">
        <v>485</v>
      </c>
      <c r="U69" s="243"/>
      <c r="V69" s="254"/>
      <c r="W69" s="288"/>
      <c r="X69" s="288"/>
      <c r="Y69" s="288"/>
      <c r="Z69" s="288"/>
      <c r="AA69" s="288"/>
      <c r="AB69" s="288"/>
      <c r="AC69" s="288"/>
      <c r="AD69" s="288"/>
      <c r="AE69" s="288"/>
      <c r="AF69" s="288"/>
      <c r="AG69" s="288"/>
      <c r="AH69" s="288"/>
      <c r="AI69" s="288"/>
      <c r="AJ69" s="288"/>
      <c r="AK69" s="288"/>
      <c r="AL69" s="288"/>
      <c r="AM69" s="288"/>
      <c r="AN69" s="288"/>
      <c r="AO69" s="288"/>
      <c r="AP69" s="288"/>
      <c r="AQ69" s="288"/>
      <c r="AR69" s="288"/>
      <c r="AS69" s="288"/>
      <c r="AT69" s="288"/>
      <c r="AU69" s="288"/>
      <c r="AV69" s="288"/>
      <c r="AW69" s="288"/>
      <c r="AX69" s="288"/>
      <c r="AY69" s="288"/>
      <c r="AZ69" s="288"/>
      <c r="BA69" s="288"/>
      <c r="BB69" s="288"/>
      <c r="BC69" s="288"/>
      <c r="BD69" s="288"/>
      <c r="BE69" s="288"/>
      <c r="BF69" s="288"/>
      <c r="BG69" s="288"/>
      <c r="BH69" s="288"/>
      <c r="BI69" s="288"/>
      <c r="BJ69" s="288"/>
      <c r="BK69" s="288"/>
      <c r="BL69" s="288"/>
      <c r="BM69" s="288"/>
      <c r="BN69" s="288"/>
      <c r="BO69" s="288"/>
      <c r="BP69" s="288"/>
      <c r="BQ69" s="288"/>
    </row>
    <row r="70" spans="1:69" s="373" customFormat="1" ht="46.5" customHeight="1">
      <c r="A70" s="340"/>
      <c r="B70" s="341"/>
      <c r="C70" s="341"/>
      <c r="D70" s="341"/>
      <c r="E70" s="342" t="s">
        <v>366</v>
      </c>
      <c r="F70" s="341"/>
      <c r="G70" s="341" t="s">
        <v>464</v>
      </c>
      <c r="H70" s="342" t="s">
        <v>465</v>
      </c>
      <c r="I70" s="343" t="s">
        <v>466</v>
      </c>
      <c r="J70" s="342" t="s">
        <v>467</v>
      </c>
      <c r="K70" s="344" t="s">
        <v>468</v>
      </c>
      <c r="L70" s="342" t="s">
        <v>469</v>
      </c>
      <c r="M70" s="343" t="s">
        <v>470</v>
      </c>
      <c r="N70" s="345" t="s">
        <v>471</v>
      </c>
      <c r="O70" s="343" t="s">
        <v>372</v>
      </c>
      <c r="P70" s="345" t="s">
        <v>472</v>
      </c>
      <c r="Q70" s="346" t="s">
        <v>374</v>
      </c>
      <c r="R70" s="347" t="s">
        <v>473</v>
      </c>
      <c r="S70" s="370"/>
      <c r="T70" s="371"/>
      <c r="U70" s="370"/>
      <c r="V70" s="372"/>
    </row>
    <row r="71" spans="1:69" s="439" customFormat="1" ht="14.25">
      <c r="A71" s="448" t="s">
        <v>474</v>
      </c>
      <c r="B71" s="447"/>
      <c r="C71" s="447"/>
      <c r="D71" s="447"/>
      <c r="E71" s="447"/>
      <c r="F71" s="447"/>
      <c r="G71" s="447"/>
      <c r="H71" s="447"/>
      <c r="I71" s="447"/>
      <c r="J71" s="447"/>
      <c r="K71" s="449"/>
      <c r="L71" s="447"/>
      <c r="M71" s="447"/>
      <c r="N71" s="449"/>
      <c r="O71" s="447"/>
      <c r="P71" s="449"/>
      <c r="Q71" s="450"/>
      <c r="R71" s="451"/>
      <c r="S71" s="450"/>
      <c r="T71" s="447"/>
      <c r="U71" s="450"/>
      <c r="V71" s="446"/>
      <c r="W71" s="444"/>
      <c r="X71" s="444"/>
      <c r="Y71" s="444"/>
      <c r="Z71" s="444"/>
      <c r="AA71" s="444"/>
      <c r="AB71" s="444"/>
      <c r="AC71" s="444"/>
      <c r="AD71" s="444"/>
      <c r="AE71" s="444"/>
      <c r="AF71" s="444"/>
      <c r="AG71" s="444"/>
      <c r="AH71" s="444"/>
      <c r="AI71" s="444"/>
      <c r="AJ71" s="444"/>
      <c r="AK71" s="444"/>
      <c r="AL71" s="444"/>
      <c r="AM71" s="444"/>
      <c r="AN71" s="444"/>
      <c r="AO71" s="444"/>
      <c r="AP71" s="444"/>
      <c r="AQ71" s="444"/>
      <c r="AR71" s="444"/>
      <c r="AS71" s="444"/>
      <c r="AT71" s="444"/>
      <c r="AU71" s="444"/>
      <c r="AV71" s="444"/>
      <c r="AW71" s="444"/>
      <c r="AX71" s="444"/>
      <c r="AY71" s="444"/>
      <c r="AZ71" s="444"/>
      <c r="BA71" s="444"/>
      <c r="BB71" s="444"/>
      <c r="BC71" s="444"/>
      <c r="BD71" s="444"/>
      <c r="BE71" s="444"/>
      <c r="BF71" s="444"/>
      <c r="BG71" s="444"/>
      <c r="BH71" s="444"/>
      <c r="BI71" s="444"/>
      <c r="BJ71" s="444"/>
      <c r="BK71" s="444"/>
      <c r="BL71" s="444"/>
      <c r="BM71" s="444"/>
      <c r="BN71" s="444"/>
      <c r="BO71" s="444"/>
      <c r="BP71" s="444"/>
      <c r="BQ71" s="444"/>
    </row>
    <row r="72" spans="1:69" s="439" customFormat="1" ht="14.25">
      <c r="A72" s="438" t="s">
        <v>377</v>
      </c>
      <c r="C72" s="452" t="s">
        <v>520</v>
      </c>
      <c r="D72" s="453">
        <v>1203</v>
      </c>
      <c r="E72" s="441">
        <v>438918060.71278805</v>
      </c>
      <c r="F72" s="441">
        <v>8051242.4106346965</v>
      </c>
      <c r="G72" s="442">
        <f>ROUND($L$29,10)</f>
        <v>4.9467907700000001E-2</v>
      </c>
      <c r="H72" s="454">
        <f>F72*G72</f>
        <v>398278.11643960269</v>
      </c>
      <c r="I72" s="442">
        <f>ROUND($L$44,10)</f>
        <v>1.52091702E-2</v>
      </c>
      <c r="J72" s="455">
        <f>E72*I72</f>
        <v>6675579.4892347269</v>
      </c>
      <c r="K72" s="443">
        <f>H72+J72</f>
        <v>7073857.6056743292</v>
      </c>
      <c r="L72" s="454">
        <f>E72-F72</f>
        <v>430866818.30215335</v>
      </c>
      <c r="M72" s="442">
        <f>ROUND($L$54,10)</f>
        <v>0.1072093675</v>
      </c>
      <c r="N72" s="456">
        <f>L72*M72</f>
        <v>46192959.066911288</v>
      </c>
      <c r="O72" s="441">
        <v>8050385.0018169163</v>
      </c>
      <c r="P72" s="456">
        <f>K72+N72+O72</f>
        <v>61317201.674402528</v>
      </c>
      <c r="Q72" s="441">
        <v>-1388236</v>
      </c>
      <c r="R72" s="456">
        <f>P72+Q72</f>
        <v>59928965.674402528</v>
      </c>
      <c r="S72" s="444"/>
      <c r="T72" s="457">
        <v>58406147.016451836</v>
      </c>
      <c r="U72" s="444"/>
      <c r="V72" s="444"/>
      <c r="W72" s="444"/>
      <c r="X72" s="444"/>
      <c r="Y72" s="444"/>
    </row>
    <row r="73" spans="1:69" ht="14.25">
      <c r="A73" s="374"/>
      <c r="D73" s="375"/>
      <c r="K73" s="376"/>
      <c r="N73" s="376"/>
      <c r="P73" s="376"/>
      <c r="R73" s="376"/>
      <c r="S73" s="327"/>
      <c r="T73" s="371"/>
      <c r="U73" s="327"/>
      <c r="V73" s="327"/>
      <c r="W73" s="327"/>
      <c r="X73" s="327"/>
      <c r="Y73" s="327"/>
    </row>
    <row r="74" spans="1:69" ht="14.25">
      <c r="A74" s="374"/>
      <c r="D74" s="375"/>
      <c r="K74" s="376"/>
      <c r="N74" s="376"/>
      <c r="P74" s="376"/>
      <c r="R74" s="376"/>
      <c r="S74" s="327"/>
      <c r="T74" s="371"/>
      <c r="U74" s="327"/>
      <c r="V74" s="327"/>
      <c r="W74" s="327"/>
      <c r="X74" s="327"/>
      <c r="Y74" s="327"/>
    </row>
    <row r="75" spans="1:69" ht="14.25">
      <c r="A75" s="374"/>
      <c r="D75" s="375"/>
      <c r="K75" s="376"/>
      <c r="N75" s="376"/>
      <c r="P75" s="376"/>
      <c r="R75" s="376"/>
      <c r="S75" s="327"/>
      <c r="T75" s="371"/>
      <c r="U75" s="327"/>
      <c r="V75" s="327"/>
      <c r="W75" s="327"/>
      <c r="X75" s="327"/>
      <c r="Y75" s="327"/>
    </row>
    <row r="76" spans="1:69" ht="14.25">
      <c r="A76" s="374"/>
      <c r="D76" s="375"/>
      <c r="K76" s="376"/>
      <c r="N76" s="376"/>
      <c r="P76" s="376"/>
      <c r="R76" s="376"/>
      <c r="S76" s="327"/>
      <c r="T76" s="371"/>
      <c r="U76" s="327"/>
      <c r="V76" s="327"/>
      <c r="W76" s="327"/>
      <c r="X76" s="327"/>
      <c r="Y76" s="327"/>
    </row>
    <row r="77" spans="1:69" ht="14.25">
      <c r="A77" s="374"/>
      <c r="C77" s="327"/>
      <c r="D77" s="377"/>
      <c r="E77" s="327"/>
      <c r="F77" s="327"/>
      <c r="G77" s="327"/>
      <c r="H77" s="327"/>
      <c r="I77" s="327"/>
      <c r="J77" s="327"/>
      <c r="K77" s="378"/>
      <c r="L77" s="327"/>
      <c r="M77" s="327"/>
      <c r="N77" s="378"/>
      <c r="O77" s="327"/>
      <c r="P77" s="378"/>
      <c r="Q77" s="327"/>
      <c r="R77" s="378"/>
      <c r="S77" s="327"/>
      <c r="T77" s="371"/>
      <c r="U77" s="327"/>
      <c r="V77" s="327"/>
      <c r="W77" s="327"/>
      <c r="X77" s="327"/>
      <c r="Y77" s="327"/>
    </row>
    <row r="78" spans="1:69" ht="14.25">
      <c r="A78" s="374"/>
      <c r="C78" s="327"/>
      <c r="D78" s="377"/>
      <c r="E78" s="327"/>
      <c r="F78" s="327"/>
      <c r="G78" s="327"/>
      <c r="H78" s="327"/>
      <c r="I78" s="327"/>
      <c r="J78" s="327"/>
      <c r="K78" s="378"/>
      <c r="L78" s="327"/>
      <c r="M78" s="327"/>
      <c r="N78" s="378"/>
      <c r="O78" s="327"/>
      <c r="P78" s="378"/>
      <c r="Q78" s="327"/>
      <c r="R78" s="378"/>
      <c r="S78" s="327"/>
      <c r="T78" s="371"/>
      <c r="U78" s="327"/>
      <c r="V78" s="327"/>
      <c r="W78" s="327"/>
      <c r="X78" s="327"/>
      <c r="Y78" s="327"/>
    </row>
    <row r="79" spans="1:69" ht="14.25">
      <c r="A79" s="374"/>
      <c r="C79" s="327"/>
      <c r="D79" s="377"/>
      <c r="E79" s="327"/>
      <c r="F79" s="327"/>
      <c r="G79" s="327"/>
      <c r="H79" s="327"/>
      <c r="I79" s="327"/>
      <c r="J79" s="327"/>
      <c r="K79" s="378"/>
      <c r="L79" s="327"/>
      <c r="M79" s="327"/>
      <c r="N79" s="378"/>
      <c r="O79" s="327"/>
      <c r="P79" s="378"/>
      <c r="Q79" s="327"/>
      <c r="R79" s="378"/>
      <c r="S79" s="327"/>
      <c r="T79" s="371"/>
      <c r="U79" s="327"/>
      <c r="V79" s="327"/>
      <c r="W79" s="327"/>
      <c r="X79" s="327"/>
      <c r="Y79" s="327"/>
    </row>
    <row r="80" spans="1:69" ht="14.25">
      <c r="A80" s="374"/>
      <c r="C80" s="327"/>
      <c r="D80" s="377"/>
      <c r="E80" s="327"/>
      <c r="F80" s="327"/>
      <c r="G80" s="327"/>
      <c r="H80" s="327"/>
      <c r="I80" s="327"/>
      <c r="J80" s="327"/>
      <c r="K80" s="378"/>
      <c r="L80" s="327"/>
      <c r="M80" s="327"/>
      <c r="N80" s="378"/>
      <c r="O80" s="327"/>
      <c r="P80" s="378"/>
      <c r="Q80" s="327"/>
      <c r="R80" s="378"/>
      <c r="S80" s="327"/>
      <c r="T80" s="371"/>
      <c r="U80" s="327"/>
      <c r="V80" s="327"/>
      <c r="W80" s="327"/>
      <c r="X80" s="327"/>
      <c r="Y80" s="327"/>
    </row>
    <row r="81" spans="1:25" ht="14.25">
      <c r="A81" s="374"/>
      <c r="C81" s="327"/>
      <c r="D81" s="377"/>
      <c r="E81" s="327"/>
      <c r="F81" s="327"/>
      <c r="G81" s="327"/>
      <c r="H81" s="327"/>
      <c r="I81" s="327"/>
      <c r="J81" s="327"/>
      <c r="K81" s="378"/>
      <c r="L81" s="327"/>
      <c r="M81" s="327"/>
      <c r="N81" s="378"/>
      <c r="O81" s="327"/>
      <c r="P81" s="378"/>
      <c r="Q81" s="327"/>
      <c r="R81" s="378"/>
      <c r="S81" s="327"/>
      <c r="T81" s="371"/>
      <c r="U81" s="327"/>
      <c r="V81" s="327"/>
      <c r="W81" s="327"/>
      <c r="X81" s="327"/>
      <c r="Y81" s="327"/>
    </row>
    <row r="82" spans="1:25" ht="14.25">
      <c r="A82" s="374"/>
      <c r="C82" s="327"/>
      <c r="D82" s="377"/>
      <c r="E82" s="327"/>
      <c r="F82" s="327"/>
      <c r="G82" s="327"/>
      <c r="H82" s="327"/>
      <c r="I82" s="327"/>
      <c r="J82" s="327"/>
      <c r="K82" s="378"/>
      <c r="L82" s="327"/>
      <c r="M82" s="327"/>
      <c r="N82" s="378"/>
      <c r="O82" s="327"/>
      <c r="P82" s="378"/>
      <c r="Q82" s="327"/>
      <c r="R82" s="378"/>
      <c r="S82" s="327"/>
      <c r="T82" s="371"/>
      <c r="U82" s="327"/>
      <c r="V82" s="327"/>
      <c r="W82" s="327"/>
      <c r="X82" s="327"/>
      <c r="Y82" s="327"/>
    </row>
    <row r="83" spans="1:25" ht="14.25">
      <c r="A83" s="374"/>
      <c r="C83" s="327"/>
      <c r="D83" s="377"/>
      <c r="E83" s="327"/>
      <c r="F83" s="327"/>
      <c r="G83" s="327"/>
      <c r="H83" s="327"/>
      <c r="I83" s="327"/>
      <c r="J83" s="327"/>
      <c r="K83" s="378"/>
      <c r="L83" s="327"/>
      <c r="M83" s="327"/>
      <c r="N83" s="378"/>
      <c r="O83" s="327"/>
      <c r="P83" s="378"/>
      <c r="Q83" s="327"/>
      <c r="R83" s="378"/>
      <c r="S83" s="327"/>
      <c r="T83" s="371"/>
      <c r="U83" s="327"/>
      <c r="V83" s="327"/>
      <c r="W83" s="327"/>
      <c r="X83" s="327"/>
      <c r="Y83" s="327"/>
    </row>
    <row r="84" spans="1:25" ht="14.25">
      <c r="A84" s="374"/>
      <c r="C84" s="327"/>
      <c r="D84" s="377"/>
      <c r="E84" s="327"/>
      <c r="F84" s="327"/>
      <c r="G84" s="327"/>
      <c r="H84" s="327"/>
      <c r="I84" s="327"/>
      <c r="J84" s="327"/>
      <c r="K84" s="378"/>
      <c r="L84" s="327"/>
      <c r="M84" s="327"/>
      <c r="N84" s="378"/>
      <c r="O84" s="327"/>
      <c r="P84" s="378"/>
      <c r="Q84" s="327"/>
      <c r="R84" s="378"/>
      <c r="S84" s="327"/>
      <c r="T84" s="371"/>
      <c r="U84" s="327"/>
      <c r="V84" s="327"/>
      <c r="W84" s="327"/>
      <c r="X84" s="327"/>
      <c r="Y84" s="327"/>
    </row>
    <row r="85" spans="1:25" ht="14.25">
      <c r="A85" s="374"/>
      <c r="C85" s="327"/>
      <c r="D85" s="377"/>
      <c r="E85" s="327"/>
      <c r="F85" s="327"/>
      <c r="G85" s="327"/>
      <c r="H85" s="327"/>
      <c r="I85" s="327"/>
      <c r="J85" s="327"/>
      <c r="K85" s="378"/>
      <c r="L85" s="327"/>
      <c r="M85" s="327"/>
      <c r="N85" s="378"/>
      <c r="O85" s="327"/>
      <c r="P85" s="378"/>
      <c r="Q85" s="327"/>
      <c r="R85" s="378"/>
      <c r="S85" s="327"/>
      <c r="T85" s="371"/>
      <c r="U85" s="327"/>
      <c r="V85" s="327"/>
      <c r="W85" s="327"/>
      <c r="X85" s="327"/>
      <c r="Y85" s="327"/>
    </row>
    <row r="86" spans="1:25" ht="14.25">
      <c r="A86" s="374"/>
      <c r="C86" s="327"/>
      <c r="D86" s="377"/>
      <c r="E86" s="327"/>
      <c r="F86" s="327"/>
      <c r="G86" s="327"/>
      <c r="H86" s="327"/>
      <c r="I86" s="327"/>
      <c r="J86" s="327"/>
      <c r="K86" s="378"/>
      <c r="L86" s="327"/>
      <c r="M86" s="327"/>
      <c r="N86" s="378"/>
      <c r="O86" s="327"/>
      <c r="P86" s="378"/>
      <c r="Q86" s="327"/>
      <c r="R86" s="378"/>
      <c r="S86" s="327"/>
      <c r="T86" s="371"/>
      <c r="U86" s="327"/>
      <c r="V86" s="327"/>
      <c r="W86" s="327"/>
      <c r="X86" s="327"/>
      <c r="Y86" s="327"/>
    </row>
    <row r="87" spans="1:25" ht="14.25">
      <c r="A87" s="374"/>
      <c r="C87" s="327"/>
      <c r="D87" s="377"/>
      <c r="E87" s="327"/>
      <c r="F87" s="327"/>
      <c r="G87" s="327"/>
      <c r="H87" s="327"/>
      <c r="I87" s="327"/>
      <c r="J87" s="327"/>
      <c r="K87" s="378"/>
      <c r="L87" s="327"/>
      <c r="M87" s="327"/>
      <c r="N87" s="378"/>
      <c r="O87" s="327"/>
      <c r="P87" s="378"/>
      <c r="Q87" s="327"/>
      <c r="R87" s="378"/>
      <c r="S87" s="327"/>
      <c r="T87" s="371"/>
      <c r="U87" s="327"/>
      <c r="V87" s="327"/>
      <c r="W87" s="327"/>
      <c r="X87" s="327"/>
      <c r="Y87" s="327"/>
    </row>
    <row r="88" spans="1:25" ht="14.25">
      <c r="A88" s="379"/>
      <c r="B88" s="380"/>
      <c r="C88" s="381"/>
      <c r="D88" s="381"/>
      <c r="E88" s="381"/>
      <c r="F88" s="381"/>
      <c r="G88" s="381"/>
      <c r="H88" s="381"/>
      <c r="I88" s="381"/>
      <c r="J88" s="381"/>
      <c r="K88" s="382"/>
      <c r="L88" s="381"/>
      <c r="M88" s="381"/>
      <c r="N88" s="382"/>
      <c r="O88" s="381"/>
      <c r="P88" s="382"/>
      <c r="Q88" s="381"/>
      <c r="R88" s="382"/>
      <c r="S88" s="327"/>
      <c r="T88" s="371"/>
      <c r="U88" s="327"/>
      <c r="V88" s="327"/>
      <c r="W88" s="327"/>
      <c r="X88" s="327"/>
      <c r="Y88" s="327"/>
    </row>
    <row r="89" spans="1:25" ht="15">
      <c r="A89" s="251" t="s">
        <v>399</v>
      </c>
      <c r="B89" s="359"/>
      <c r="C89" s="254" t="s">
        <v>475</v>
      </c>
      <c r="D89" s="254"/>
      <c r="E89" s="254"/>
      <c r="F89" s="254"/>
      <c r="G89" s="254"/>
      <c r="H89" s="273"/>
      <c r="I89" s="273"/>
      <c r="J89" s="243"/>
      <c r="K89" s="243"/>
      <c r="L89" s="243"/>
      <c r="M89" s="243"/>
      <c r="N89" s="243"/>
      <c r="O89" s="243"/>
      <c r="P89" s="330">
        <f>SUM(P72:P88)</f>
        <v>61317201.674402528</v>
      </c>
      <c r="Q89" s="590">
        <f>SUM(Q72:Q88)</f>
        <v>-1388236</v>
      </c>
      <c r="R89" s="330">
        <f>SUM(R72:R88)</f>
        <v>59928965.674402528</v>
      </c>
      <c r="S89" s="327"/>
      <c r="T89" s="390">
        <f>T72</f>
        <v>58406147.016451836</v>
      </c>
      <c r="U89" s="327"/>
      <c r="V89" s="327"/>
      <c r="W89" s="327"/>
      <c r="X89" s="327"/>
      <c r="Y89" s="327"/>
    </row>
    <row r="90" spans="1:25" ht="14.25">
      <c r="A90" s="327"/>
      <c r="B90" s="327"/>
      <c r="C90" s="327"/>
      <c r="D90" s="327"/>
      <c r="E90" s="327"/>
      <c r="F90" s="327"/>
      <c r="G90" s="327"/>
      <c r="H90" s="327"/>
      <c r="I90" s="327"/>
      <c r="J90" s="327"/>
      <c r="K90" s="327"/>
      <c r="L90" s="327"/>
      <c r="M90" s="327"/>
      <c r="N90" s="327"/>
      <c r="O90" s="327"/>
      <c r="P90" s="327"/>
      <c r="Q90" s="327"/>
      <c r="R90" s="327"/>
      <c r="S90" s="327"/>
      <c r="T90" s="371"/>
      <c r="U90" s="327"/>
      <c r="V90" s="327"/>
      <c r="W90" s="327"/>
      <c r="X90" s="327"/>
      <c r="Y90" s="327"/>
    </row>
    <row r="91" spans="1:25" ht="15">
      <c r="A91" s="329">
        <v>3</v>
      </c>
      <c r="B91" s="327"/>
      <c r="C91" s="288" t="s">
        <v>401</v>
      </c>
      <c r="D91" s="288"/>
      <c r="E91" s="288"/>
      <c r="F91" s="288"/>
      <c r="G91" s="327"/>
      <c r="H91" s="327"/>
      <c r="I91" s="327"/>
      <c r="J91" s="327"/>
      <c r="K91" s="327"/>
      <c r="L91" s="327"/>
      <c r="M91" s="327"/>
      <c r="N91" s="327"/>
      <c r="O91" s="327"/>
      <c r="P91" s="330">
        <f>P89</f>
        <v>61317201.674402528</v>
      </c>
      <c r="Q91" s="331" t="s">
        <v>597</v>
      </c>
      <c r="S91" s="327"/>
      <c r="T91" s="371"/>
      <c r="U91" s="327"/>
      <c r="V91" s="327"/>
      <c r="W91" s="327"/>
      <c r="X91" s="327"/>
      <c r="Y91" s="327"/>
    </row>
    <row r="92" spans="1:25" ht="14.25" hidden="1">
      <c r="A92" s="327"/>
      <c r="B92" s="327"/>
      <c r="C92" s="327"/>
      <c r="D92" s="327"/>
      <c r="E92" s="327"/>
      <c r="F92" s="327"/>
      <c r="G92" s="327"/>
      <c r="H92" s="327"/>
      <c r="I92" s="327"/>
      <c r="J92" s="327"/>
      <c r="K92" s="327"/>
      <c r="L92" s="327"/>
      <c r="M92" s="327"/>
      <c r="N92" s="327"/>
      <c r="O92" s="327"/>
      <c r="P92" s="327"/>
      <c r="Q92" s="327"/>
      <c r="R92" s="327"/>
      <c r="S92" s="327"/>
      <c r="T92" s="371"/>
      <c r="U92" s="327"/>
      <c r="V92" s="327"/>
      <c r="W92" s="327"/>
      <c r="X92" s="327"/>
      <c r="Y92" s="327"/>
    </row>
    <row r="93" spans="1:25" ht="14.25" hidden="1">
      <c r="A93" s="327"/>
      <c r="B93" s="327"/>
      <c r="C93" s="327"/>
      <c r="D93" s="327"/>
      <c r="E93" s="327"/>
      <c r="F93" s="327"/>
      <c r="G93" s="327"/>
      <c r="H93" s="327"/>
      <c r="I93" s="327"/>
      <c r="J93" s="327"/>
      <c r="K93" s="327"/>
      <c r="L93" s="327"/>
      <c r="M93" s="327"/>
      <c r="N93" s="327"/>
      <c r="O93" s="327"/>
      <c r="P93" s="327"/>
      <c r="Q93" s="327"/>
      <c r="R93" s="327"/>
      <c r="S93" s="327"/>
      <c r="T93" s="371"/>
      <c r="U93" s="327"/>
      <c r="V93" s="327"/>
      <c r="W93" s="327"/>
      <c r="X93" s="327"/>
      <c r="Y93" s="327"/>
    </row>
    <row r="94" spans="1:25" ht="15">
      <c r="A94" s="288" t="s">
        <v>402</v>
      </c>
      <c r="B94" s="327"/>
      <c r="C94" s="327"/>
      <c r="D94" s="327"/>
      <c r="E94" s="327"/>
      <c r="F94" s="327"/>
      <c r="G94" s="327"/>
      <c r="H94" s="327"/>
      <c r="I94" s="327"/>
      <c r="J94" s="327"/>
      <c r="K94" s="327"/>
      <c r="L94" s="327"/>
      <c r="M94" s="327"/>
      <c r="N94" s="327"/>
      <c r="O94" s="327"/>
      <c r="P94" s="327"/>
      <c r="Q94" s="327"/>
      <c r="R94" s="327"/>
      <c r="S94" s="327"/>
      <c r="T94" s="588"/>
      <c r="U94" s="327"/>
      <c r="V94" s="327"/>
      <c r="W94" s="327"/>
      <c r="X94" s="327"/>
      <c r="Y94" s="327"/>
    </row>
    <row r="95" spans="1:25" ht="15.75" thickBot="1">
      <c r="A95" s="332" t="s">
        <v>403</v>
      </c>
      <c r="B95" s="327"/>
      <c r="C95" s="327"/>
      <c r="D95" s="327"/>
      <c r="E95" s="327"/>
      <c r="F95" s="327"/>
      <c r="G95" s="327"/>
      <c r="H95" s="327"/>
      <c r="I95" s="327"/>
      <c r="J95" s="327"/>
      <c r="K95" s="327"/>
      <c r="L95" s="327"/>
      <c r="M95" s="327"/>
      <c r="N95" s="327"/>
      <c r="O95" s="327"/>
      <c r="P95" s="327"/>
      <c r="Q95" s="327"/>
      <c r="R95" s="327"/>
      <c r="S95" s="327"/>
      <c r="T95" s="588">
        <f>T89-Q89</f>
        <v>59794383.016451836</v>
      </c>
      <c r="U95" s="327"/>
      <c r="V95" s="327"/>
      <c r="W95" s="327"/>
      <c r="X95" s="327"/>
      <c r="Y95" s="327"/>
    </row>
    <row r="96" spans="1:25" s="373" customFormat="1" ht="17.100000000000001" customHeight="1">
      <c r="A96" s="383" t="s">
        <v>39</v>
      </c>
      <c r="C96" s="686" t="s">
        <v>476</v>
      </c>
      <c r="D96" s="686"/>
      <c r="E96" s="686"/>
      <c r="F96" s="686"/>
      <c r="G96" s="686"/>
      <c r="H96" s="686"/>
      <c r="I96" s="686"/>
      <c r="J96" s="686"/>
      <c r="K96" s="686"/>
      <c r="L96" s="686"/>
      <c r="M96" s="686"/>
      <c r="N96" s="686"/>
      <c r="O96" s="686"/>
      <c r="P96" s="686"/>
      <c r="Q96" s="686"/>
      <c r="R96" s="686"/>
      <c r="T96" s="588"/>
    </row>
    <row r="97" spans="1:25" s="373" customFormat="1" ht="17.100000000000001" customHeight="1">
      <c r="A97" s="383"/>
      <c r="C97" s="385" t="s">
        <v>477</v>
      </c>
      <c r="D97" s="384"/>
      <c r="E97" s="384"/>
      <c r="F97" s="384"/>
      <c r="G97" s="384"/>
      <c r="H97" s="384"/>
      <c r="I97" s="384"/>
      <c r="J97" s="384"/>
      <c r="K97" s="384"/>
      <c r="L97" s="384"/>
      <c r="M97" s="384"/>
      <c r="N97" s="384"/>
      <c r="O97" s="384"/>
      <c r="P97" s="384"/>
      <c r="Q97" s="384"/>
      <c r="R97" s="384"/>
      <c r="T97" s="371"/>
    </row>
    <row r="98" spans="1:25" s="373" customFormat="1" ht="17.100000000000001" customHeight="1">
      <c r="A98" s="383" t="s">
        <v>40</v>
      </c>
      <c r="C98" s="686" t="s">
        <v>478</v>
      </c>
      <c r="D98" s="686"/>
      <c r="E98" s="686"/>
      <c r="F98" s="686"/>
      <c r="G98" s="686"/>
      <c r="H98" s="686"/>
      <c r="I98" s="686"/>
      <c r="J98" s="686"/>
      <c r="K98" s="686"/>
      <c r="L98" s="686"/>
      <c r="M98" s="686"/>
      <c r="N98" s="686"/>
      <c r="O98" s="686"/>
      <c r="P98" s="686"/>
      <c r="Q98" s="686"/>
      <c r="R98" s="686"/>
      <c r="T98" s="371"/>
    </row>
    <row r="99" spans="1:25" s="373" customFormat="1" ht="17.100000000000001" customHeight="1">
      <c r="A99" s="383" t="s">
        <v>41</v>
      </c>
      <c r="C99" s="686" t="s">
        <v>479</v>
      </c>
      <c r="D99" s="686"/>
      <c r="E99" s="686"/>
      <c r="F99" s="686"/>
      <c r="G99" s="686"/>
      <c r="H99" s="686"/>
      <c r="I99" s="686"/>
      <c r="J99" s="686"/>
      <c r="K99" s="686"/>
      <c r="L99" s="686"/>
      <c r="M99" s="686"/>
      <c r="N99" s="686"/>
      <c r="O99" s="686"/>
      <c r="P99" s="686"/>
      <c r="Q99" s="686"/>
      <c r="R99" s="686"/>
      <c r="T99" s="371"/>
    </row>
    <row r="100" spans="1:25" s="373" customFormat="1" ht="17.100000000000001" customHeight="1">
      <c r="A100" s="383"/>
      <c r="C100" s="686" t="s">
        <v>480</v>
      </c>
      <c r="D100" s="686"/>
      <c r="E100" s="686"/>
      <c r="F100" s="686"/>
      <c r="G100" s="686"/>
      <c r="H100" s="686"/>
      <c r="I100" s="686"/>
      <c r="J100" s="686"/>
      <c r="K100" s="686"/>
      <c r="L100" s="686"/>
      <c r="M100" s="686"/>
      <c r="N100" s="686"/>
      <c r="O100" s="686"/>
      <c r="P100" s="686"/>
      <c r="Q100" s="686"/>
      <c r="R100" s="686"/>
      <c r="T100" s="371"/>
    </row>
    <row r="101" spans="1:25" s="373" customFormat="1" ht="17.100000000000001" customHeight="1">
      <c r="A101" s="383" t="s">
        <v>407</v>
      </c>
      <c r="C101" s="686" t="s">
        <v>481</v>
      </c>
      <c r="D101" s="686"/>
      <c r="E101" s="686"/>
      <c r="F101" s="686"/>
      <c r="G101" s="686"/>
      <c r="H101" s="686"/>
      <c r="I101" s="686"/>
      <c r="J101" s="686"/>
      <c r="K101" s="686"/>
      <c r="L101" s="686"/>
      <c r="M101" s="686"/>
      <c r="N101" s="686"/>
      <c r="O101" s="686"/>
      <c r="P101" s="686"/>
      <c r="Q101" s="686"/>
      <c r="R101" s="686"/>
    </row>
    <row r="102" spans="1:25" s="373" customFormat="1" ht="17.100000000000001" customHeight="1">
      <c r="A102" s="386" t="s">
        <v>42</v>
      </c>
      <c r="C102" s="686" t="s">
        <v>409</v>
      </c>
      <c r="D102" s="686"/>
      <c r="E102" s="686"/>
      <c r="F102" s="686"/>
      <c r="G102" s="686"/>
      <c r="H102" s="686"/>
      <c r="I102" s="686"/>
      <c r="J102" s="686"/>
      <c r="K102" s="686"/>
      <c r="L102" s="686"/>
      <c r="M102" s="686"/>
      <c r="N102" s="686"/>
      <c r="O102" s="686"/>
      <c r="P102" s="686"/>
      <c r="Q102" s="686"/>
      <c r="R102" s="686"/>
    </row>
    <row r="103" spans="1:25" s="373" customFormat="1" ht="17.100000000000001" customHeight="1">
      <c r="A103" s="386" t="s">
        <v>55</v>
      </c>
      <c r="C103" s="686" t="s">
        <v>482</v>
      </c>
      <c r="D103" s="686"/>
      <c r="E103" s="686"/>
      <c r="F103" s="686"/>
      <c r="G103" s="686"/>
      <c r="H103" s="686"/>
      <c r="I103" s="686"/>
      <c r="J103" s="686"/>
      <c r="K103" s="686"/>
      <c r="L103" s="686"/>
      <c r="M103" s="686"/>
      <c r="N103" s="686"/>
      <c r="O103" s="686"/>
      <c r="P103" s="686"/>
      <c r="Q103" s="686"/>
      <c r="R103" s="686"/>
    </row>
    <row r="104" spans="1:25" s="373" customFormat="1" ht="17.100000000000001" customHeight="1">
      <c r="A104" s="386" t="s">
        <v>56</v>
      </c>
      <c r="C104" s="686" t="s">
        <v>483</v>
      </c>
      <c r="D104" s="686"/>
      <c r="E104" s="686"/>
      <c r="F104" s="686"/>
      <c r="G104" s="686"/>
      <c r="H104" s="686"/>
      <c r="I104" s="686"/>
      <c r="J104" s="686"/>
      <c r="K104" s="686"/>
      <c r="L104" s="686"/>
      <c r="M104" s="686"/>
      <c r="N104" s="686"/>
      <c r="O104" s="686"/>
      <c r="P104" s="686"/>
      <c r="Q104" s="686"/>
      <c r="R104" s="686"/>
    </row>
    <row r="105" spans="1:25" s="373" customFormat="1" ht="17.100000000000001" customHeight="1">
      <c r="A105" s="386" t="s">
        <v>412</v>
      </c>
      <c r="C105" s="687" t="s">
        <v>484</v>
      </c>
      <c r="D105" s="687"/>
      <c r="E105" s="687"/>
      <c r="F105" s="687"/>
      <c r="G105" s="687"/>
      <c r="H105" s="687"/>
      <c r="I105" s="687"/>
      <c r="J105" s="687"/>
      <c r="K105" s="687"/>
      <c r="L105" s="687"/>
      <c r="M105" s="687"/>
      <c r="N105" s="687"/>
      <c r="O105" s="687"/>
      <c r="P105" s="687"/>
      <c r="Q105" s="687"/>
      <c r="R105" s="687"/>
    </row>
    <row r="106" spans="1:25" ht="17.100000000000001" customHeight="1">
      <c r="A106" s="387"/>
      <c r="B106" s="327"/>
      <c r="C106" s="327"/>
      <c r="D106" s="327"/>
      <c r="E106" s="327"/>
      <c r="F106" s="327"/>
      <c r="G106" s="327"/>
      <c r="H106" s="327"/>
      <c r="I106" s="327"/>
      <c r="J106" s="327"/>
      <c r="K106" s="327"/>
      <c r="L106" s="327"/>
      <c r="M106" s="327"/>
      <c r="N106" s="327"/>
      <c r="O106" s="327"/>
      <c r="P106" s="327"/>
      <c r="Q106" s="327"/>
      <c r="R106" s="327"/>
      <c r="S106" s="327"/>
      <c r="T106" s="327"/>
      <c r="U106" s="327"/>
      <c r="V106" s="327"/>
      <c r="W106" s="327"/>
      <c r="X106" s="327"/>
      <c r="Y106" s="327"/>
    </row>
    <row r="107" spans="1:25" ht="17.100000000000001" customHeight="1">
      <c r="A107" s="388"/>
      <c r="B107" s="288"/>
      <c r="C107" s="251"/>
      <c r="D107" s="251"/>
      <c r="E107" s="251"/>
      <c r="F107" s="251"/>
      <c r="G107" s="251"/>
      <c r="H107" s="273"/>
      <c r="I107" s="273"/>
      <c r="J107" s="243"/>
      <c r="K107" s="243"/>
      <c r="L107" s="288"/>
      <c r="M107" s="288"/>
      <c r="N107" s="266"/>
      <c r="O107" s="288"/>
      <c r="Q107" s="243"/>
      <c r="R107" s="389"/>
      <c r="S107" s="327"/>
      <c r="T107" s="327"/>
      <c r="U107" s="327"/>
      <c r="V107" s="327"/>
      <c r="W107" s="327"/>
      <c r="X107" s="327"/>
      <c r="Y107" s="327"/>
    </row>
    <row r="108" spans="1:25" ht="15">
      <c r="A108" s="388"/>
      <c r="B108" s="288"/>
      <c r="C108" s="251"/>
      <c r="D108" s="251"/>
      <c r="E108" s="251"/>
      <c r="F108" s="251"/>
      <c r="G108" s="251"/>
      <c r="H108" s="273"/>
      <c r="I108" s="273"/>
      <c r="J108" s="243"/>
      <c r="K108" s="243"/>
      <c r="L108" s="288"/>
      <c r="M108" s="288"/>
      <c r="N108" s="266"/>
      <c r="O108" s="288"/>
      <c r="P108" s="330"/>
      <c r="Q108" s="330"/>
      <c r="R108" s="330"/>
      <c r="S108" s="327"/>
      <c r="T108" s="390"/>
      <c r="U108" s="327"/>
      <c r="V108" s="327"/>
      <c r="W108" s="327"/>
      <c r="X108" s="327"/>
      <c r="Y108" s="327"/>
    </row>
    <row r="109" spans="1:25" ht="15">
      <c r="C109" s="327"/>
      <c r="D109" s="327"/>
      <c r="E109" s="327"/>
      <c r="F109" s="327"/>
      <c r="G109" s="327"/>
      <c r="H109" s="327"/>
      <c r="I109" s="327"/>
      <c r="J109" s="327"/>
      <c r="K109" s="327"/>
      <c r="L109" s="327"/>
      <c r="M109" s="327"/>
      <c r="N109" s="327"/>
      <c r="O109" s="327"/>
      <c r="P109" s="330"/>
      <c r="Q109" s="330"/>
      <c r="R109" s="330"/>
      <c r="S109" s="330"/>
      <c r="T109" s="330"/>
      <c r="U109" s="327"/>
      <c r="V109" s="327"/>
      <c r="W109" s="327"/>
      <c r="X109" s="327"/>
      <c r="Y109" s="327"/>
    </row>
    <row r="110" spans="1:25">
      <c r="C110" s="327"/>
      <c r="D110" s="327"/>
      <c r="E110" s="327"/>
      <c r="F110" s="327"/>
      <c r="G110" s="327"/>
      <c r="H110" s="327"/>
      <c r="I110" s="327"/>
      <c r="J110" s="327"/>
      <c r="K110" s="327"/>
      <c r="L110" s="327"/>
      <c r="M110" s="327"/>
      <c r="N110" s="327"/>
      <c r="O110" s="327"/>
      <c r="P110" s="327"/>
      <c r="Q110" s="327"/>
      <c r="R110" s="327"/>
      <c r="S110" s="327"/>
      <c r="T110" s="327"/>
      <c r="U110" s="327"/>
      <c r="V110" s="327"/>
      <c r="W110" s="327"/>
      <c r="X110" s="327"/>
      <c r="Y110" s="327"/>
    </row>
    <row r="111" spans="1:25">
      <c r="C111" s="327"/>
      <c r="D111" s="327"/>
      <c r="E111" s="327"/>
      <c r="F111" s="327"/>
      <c r="G111" s="327"/>
      <c r="H111" s="327"/>
      <c r="I111" s="327"/>
      <c r="J111" s="327"/>
      <c r="K111" s="327"/>
      <c r="L111" s="327"/>
      <c r="M111" s="327"/>
      <c r="N111" s="327"/>
      <c r="O111" s="327"/>
      <c r="P111" s="327"/>
      <c r="Q111" s="327"/>
      <c r="R111" s="327"/>
      <c r="S111" s="327"/>
      <c r="T111" s="327"/>
      <c r="U111" s="327"/>
      <c r="V111" s="327"/>
      <c r="W111" s="327"/>
      <c r="X111" s="327"/>
      <c r="Y111" s="327"/>
    </row>
    <row r="112" spans="1:25">
      <c r="C112" s="327"/>
      <c r="D112" s="327"/>
      <c r="E112" s="327"/>
      <c r="F112" s="327"/>
      <c r="G112" s="327"/>
      <c r="H112" s="327"/>
      <c r="I112" s="327"/>
      <c r="J112" s="327"/>
      <c r="K112" s="327"/>
      <c r="L112" s="327"/>
      <c r="M112" s="327"/>
      <c r="N112" s="327"/>
      <c r="O112" s="327"/>
      <c r="P112" s="327"/>
      <c r="Q112" s="327"/>
      <c r="R112" s="327"/>
      <c r="S112" s="327"/>
      <c r="T112" s="327"/>
      <c r="U112" s="327"/>
      <c r="V112" s="327"/>
      <c r="W112" s="327"/>
      <c r="X112" s="327"/>
      <c r="Y112" s="327"/>
    </row>
    <row r="113" spans="3:25">
      <c r="C113" s="327"/>
      <c r="D113" s="327"/>
      <c r="E113" s="327"/>
      <c r="F113" s="327"/>
      <c r="G113" s="327"/>
      <c r="H113" s="327"/>
      <c r="I113" s="327"/>
      <c r="J113" s="327"/>
      <c r="K113" s="327"/>
      <c r="L113" s="327"/>
      <c r="M113" s="327"/>
      <c r="N113" s="327"/>
      <c r="O113" s="327"/>
      <c r="P113" s="327"/>
      <c r="Q113" s="327"/>
      <c r="R113" s="327"/>
      <c r="S113" s="327"/>
      <c r="T113" s="327"/>
      <c r="U113" s="327"/>
      <c r="V113" s="327"/>
      <c r="W113" s="327"/>
      <c r="X113" s="327"/>
      <c r="Y113" s="327"/>
    </row>
    <row r="114" spans="3:25">
      <c r="C114" s="327"/>
      <c r="D114" s="327"/>
      <c r="E114" s="327"/>
      <c r="F114" s="327"/>
      <c r="G114" s="327"/>
      <c r="H114" s="327"/>
      <c r="I114" s="327"/>
      <c r="J114" s="327"/>
      <c r="K114" s="327"/>
      <c r="L114" s="327"/>
      <c r="M114" s="327"/>
      <c r="N114" s="327"/>
      <c r="O114" s="327"/>
      <c r="P114" s="327"/>
      <c r="Q114" s="327"/>
      <c r="R114" s="327"/>
      <c r="S114" s="327"/>
      <c r="T114" s="327"/>
      <c r="U114" s="327"/>
      <c r="V114" s="327"/>
      <c r="W114" s="327"/>
      <c r="X114" s="327"/>
      <c r="Y114" s="327"/>
    </row>
    <row r="115" spans="3:25">
      <c r="C115" s="327"/>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row>
    <row r="116" spans="3:25">
      <c r="C116" s="327"/>
      <c r="D116" s="327"/>
      <c r="E116" s="327"/>
      <c r="F116" s="327"/>
      <c r="G116" s="327"/>
      <c r="H116" s="327"/>
      <c r="I116" s="327"/>
      <c r="J116" s="327"/>
      <c r="K116" s="327"/>
      <c r="L116" s="327"/>
      <c r="M116" s="327"/>
      <c r="N116" s="327"/>
      <c r="O116" s="327"/>
      <c r="P116" s="327"/>
      <c r="Q116" s="327"/>
      <c r="R116" s="327"/>
      <c r="S116" s="327"/>
      <c r="T116" s="327"/>
      <c r="U116" s="327"/>
      <c r="V116" s="327"/>
      <c r="W116" s="327"/>
      <c r="X116" s="327"/>
      <c r="Y116" s="327"/>
    </row>
    <row r="117" spans="3:25">
      <c r="C117" s="327"/>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row>
    <row r="118" spans="3:25">
      <c r="C118" s="327"/>
      <c r="D118" s="327"/>
      <c r="E118" s="327"/>
      <c r="F118" s="327"/>
      <c r="G118" s="327"/>
      <c r="H118" s="327"/>
      <c r="I118" s="327"/>
      <c r="J118" s="327"/>
      <c r="K118" s="327"/>
      <c r="L118" s="327"/>
      <c r="M118" s="327"/>
      <c r="N118" s="327"/>
      <c r="O118" s="327"/>
      <c r="P118" s="327"/>
      <c r="Q118" s="327"/>
      <c r="R118" s="327"/>
      <c r="S118" s="327"/>
      <c r="T118" s="327"/>
      <c r="U118" s="327"/>
      <c r="V118" s="327"/>
      <c r="W118" s="327"/>
      <c r="X118" s="327"/>
      <c r="Y118" s="327"/>
    </row>
    <row r="119" spans="3:25">
      <c r="C119" s="327"/>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row>
    <row r="120" spans="3:25">
      <c r="C120" s="327"/>
      <c r="D120" s="327"/>
      <c r="E120" s="327"/>
      <c r="F120" s="327"/>
      <c r="G120" s="327"/>
      <c r="H120" s="327"/>
      <c r="I120" s="327"/>
      <c r="J120" s="327"/>
      <c r="K120" s="327"/>
      <c r="L120" s="327"/>
      <c r="M120" s="327"/>
      <c r="N120" s="327"/>
      <c r="O120" s="327"/>
      <c r="P120" s="327"/>
      <c r="Q120" s="327"/>
      <c r="R120" s="327"/>
      <c r="S120" s="327"/>
      <c r="T120" s="327"/>
      <c r="U120" s="327"/>
      <c r="V120" s="327"/>
      <c r="W120" s="327"/>
      <c r="X120" s="327"/>
      <c r="Y120" s="327"/>
    </row>
    <row r="121" spans="3:25">
      <c r="C121" s="327"/>
      <c r="D121" s="327"/>
      <c r="E121" s="327"/>
      <c r="F121" s="327"/>
      <c r="G121" s="327"/>
      <c r="H121" s="327"/>
      <c r="I121" s="327"/>
      <c r="J121" s="327"/>
      <c r="K121" s="327"/>
      <c r="L121" s="327"/>
      <c r="M121" s="327"/>
      <c r="N121" s="327"/>
      <c r="O121" s="327"/>
      <c r="P121" s="327"/>
      <c r="Q121" s="327"/>
      <c r="R121" s="327"/>
      <c r="S121" s="327"/>
      <c r="T121" s="327"/>
      <c r="U121" s="327"/>
      <c r="V121" s="327"/>
      <c r="W121" s="327"/>
      <c r="X121" s="327"/>
      <c r="Y121" s="327"/>
    </row>
    <row r="122" spans="3:25">
      <c r="C122" s="327"/>
      <c r="D122" s="327"/>
      <c r="E122" s="327"/>
      <c r="F122" s="327"/>
      <c r="G122" s="327"/>
      <c r="H122" s="327"/>
      <c r="I122" s="327"/>
      <c r="J122" s="327"/>
      <c r="K122" s="327"/>
      <c r="L122" s="327"/>
      <c r="M122" s="327"/>
      <c r="N122" s="327"/>
      <c r="O122" s="327"/>
      <c r="P122" s="327"/>
      <c r="Q122" s="327"/>
      <c r="R122" s="327"/>
      <c r="S122" s="327"/>
      <c r="T122" s="327"/>
      <c r="U122" s="327"/>
      <c r="V122" s="327"/>
      <c r="W122" s="327"/>
      <c r="X122" s="327"/>
      <c r="Y122" s="327"/>
    </row>
    <row r="123" spans="3:25">
      <c r="C123" s="327"/>
      <c r="D123" s="327"/>
      <c r="E123" s="327"/>
      <c r="F123" s="327"/>
      <c r="G123" s="327"/>
      <c r="H123" s="327"/>
      <c r="I123" s="327"/>
      <c r="J123" s="327"/>
      <c r="K123" s="327"/>
      <c r="L123" s="327"/>
      <c r="M123" s="327"/>
      <c r="N123" s="327"/>
      <c r="O123" s="327"/>
      <c r="P123" s="327"/>
      <c r="Q123" s="327"/>
      <c r="R123" s="327"/>
      <c r="S123" s="327"/>
      <c r="T123" s="327"/>
      <c r="U123" s="327"/>
      <c r="V123" s="327"/>
      <c r="W123" s="327"/>
      <c r="X123" s="327"/>
      <c r="Y123" s="327"/>
    </row>
    <row r="124" spans="3:25">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row>
    <row r="125" spans="3:25">
      <c r="C125" s="327"/>
      <c r="D125" s="327"/>
      <c r="E125" s="327"/>
      <c r="F125" s="327"/>
      <c r="G125" s="327"/>
      <c r="H125" s="327"/>
      <c r="I125" s="327"/>
      <c r="J125" s="327"/>
      <c r="K125" s="327"/>
      <c r="L125" s="327"/>
      <c r="M125" s="327"/>
      <c r="N125" s="327"/>
      <c r="O125" s="327"/>
      <c r="P125" s="327"/>
      <c r="Q125" s="327"/>
      <c r="R125" s="327"/>
      <c r="S125" s="327"/>
      <c r="T125" s="327"/>
      <c r="U125" s="327"/>
      <c r="V125" s="327"/>
      <c r="W125" s="327"/>
      <c r="X125" s="327"/>
      <c r="Y125" s="327"/>
    </row>
    <row r="126" spans="3:25">
      <c r="C126" s="327"/>
      <c r="D126" s="327"/>
      <c r="E126" s="327"/>
      <c r="F126" s="327"/>
      <c r="G126" s="327"/>
      <c r="H126" s="327"/>
      <c r="I126" s="327"/>
      <c r="J126" s="327"/>
      <c r="K126" s="327"/>
      <c r="L126" s="327"/>
      <c r="M126" s="327"/>
      <c r="N126" s="327"/>
      <c r="O126" s="327"/>
      <c r="P126" s="327"/>
      <c r="Q126" s="327"/>
      <c r="R126" s="327"/>
      <c r="S126" s="327"/>
      <c r="T126" s="327"/>
      <c r="U126" s="327"/>
      <c r="V126" s="327"/>
      <c r="W126" s="327"/>
      <c r="X126" s="327"/>
      <c r="Y126" s="327"/>
    </row>
    <row r="127" spans="3:25">
      <c r="C127" s="327"/>
      <c r="D127" s="327"/>
      <c r="E127" s="327"/>
      <c r="F127" s="327"/>
      <c r="G127" s="327"/>
      <c r="H127" s="327"/>
      <c r="I127" s="327"/>
      <c r="J127" s="327"/>
      <c r="K127" s="327"/>
      <c r="L127" s="327"/>
      <c r="M127" s="327"/>
      <c r="N127" s="327"/>
      <c r="O127" s="327"/>
      <c r="P127" s="327"/>
      <c r="Q127" s="327"/>
      <c r="R127" s="327"/>
      <c r="S127" s="327"/>
      <c r="T127" s="327"/>
      <c r="U127" s="327"/>
      <c r="V127" s="327"/>
      <c r="W127" s="327"/>
      <c r="X127" s="327"/>
      <c r="Y127" s="327"/>
    </row>
    <row r="128" spans="3:25">
      <c r="C128" s="327"/>
      <c r="D128" s="327"/>
      <c r="E128" s="327"/>
      <c r="F128" s="327"/>
      <c r="G128" s="327"/>
      <c r="H128" s="327"/>
      <c r="I128" s="327"/>
      <c r="J128" s="327"/>
      <c r="K128" s="327"/>
      <c r="L128" s="327"/>
      <c r="M128" s="327"/>
      <c r="N128" s="327"/>
      <c r="O128" s="327"/>
      <c r="P128" s="327"/>
      <c r="Q128" s="327"/>
      <c r="R128" s="327"/>
      <c r="S128" s="327"/>
      <c r="T128" s="327"/>
      <c r="U128" s="327"/>
      <c r="V128" s="327"/>
      <c r="W128" s="327"/>
      <c r="X128" s="327"/>
      <c r="Y128" s="327"/>
    </row>
    <row r="129" spans="3:25">
      <c r="C129" s="327"/>
      <c r="D129" s="327"/>
      <c r="E129" s="327"/>
      <c r="F129" s="327"/>
      <c r="G129" s="327"/>
      <c r="H129" s="327"/>
      <c r="I129" s="327"/>
      <c r="J129" s="327"/>
      <c r="K129" s="327"/>
      <c r="L129" s="327"/>
      <c r="M129" s="327"/>
      <c r="N129" s="327"/>
      <c r="O129" s="327"/>
      <c r="P129" s="327"/>
      <c r="Q129" s="327"/>
      <c r="R129" s="327"/>
      <c r="S129" s="327"/>
      <c r="T129" s="327"/>
      <c r="U129" s="327"/>
      <c r="V129" s="327"/>
      <c r="W129" s="327"/>
      <c r="X129" s="327"/>
      <c r="Y129" s="327"/>
    </row>
    <row r="130" spans="3:25">
      <c r="C130" s="327"/>
      <c r="D130" s="327"/>
      <c r="E130" s="327"/>
      <c r="F130" s="327"/>
      <c r="G130" s="327"/>
      <c r="H130" s="327"/>
      <c r="I130" s="327"/>
      <c r="J130" s="327"/>
      <c r="K130" s="327"/>
      <c r="L130" s="327"/>
      <c r="M130" s="327"/>
      <c r="N130" s="327"/>
      <c r="O130" s="327"/>
      <c r="P130" s="327"/>
      <c r="Q130" s="327"/>
      <c r="R130" s="327"/>
      <c r="S130" s="327"/>
      <c r="T130" s="327"/>
      <c r="U130" s="327"/>
      <c r="V130" s="327"/>
      <c r="W130" s="327"/>
      <c r="X130" s="327"/>
      <c r="Y130" s="327"/>
    </row>
    <row r="131" spans="3:25">
      <c r="C131" s="327"/>
      <c r="D131" s="327"/>
      <c r="E131" s="327"/>
      <c r="F131" s="327"/>
      <c r="G131" s="327"/>
      <c r="H131" s="327"/>
      <c r="I131" s="327"/>
      <c r="J131" s="327"/>
      <c r="K131" s="327"/>
      <c r="L131" s="327"/>
      <c r="M131" s="327"/>
      <c r="N131" s="327"/>
      <c r="O131" s="327"/>
      <c r="P131" s="327"/>
      <c r="Q131" s="327"/>
      <c r="R131" s="327"/>
      <c r="S131" s="327"/>
      <c r="T131" s="327"/>
      <c r="U131" s="327"/>
      <c r="V131" s="327"/>
      <c r="W131" s="327"/>
      <c r="X131" s="327"/>
      <c r="Y131" s="327"/>
    </row>
    <row r="132" spans="3:25">
      <c r="C132" s="327"/>
      <c r="D132" s="327"/>
      <c r="E132" s="327"/>
      <c r="F132" s="327"/>
      <c r="G132" s="327"/>
      <c r="H132" s="327"/>
      <c r="I132" s="327"/>
      <c r="J132" s="327"/>
      <c r="K132" s="327"/>
      <c r="L132" s="327"/>
      <c r="M132" s="327"/>
      <c r="N132" s="327"/>
      <c r="O132" s="327"/>
      <c r="P132" s="327"/>
      <c r="Q132" s="327"/>
      <c r="R132" s="327"/>
      <c r="S132" s="327"/>
      <c r="T132" s="327"/>
      <c r="U132" s="327"/>
      <c r="V132" s="327"/>
      <c r="W132" s="327"/>
      <c r="X132" s="327"/>
      <c r="Y132" s="327"/>
    </row>
    <row r="133" spans="3:25">
      <c r="C133" s="327"/>
      <c r="D133" s="327"/>
      <c r="E133" s="327"/>
      <c r="F133" s="327"/>
      <c r="G133" s="327"/>
      <c r="H133" s="327"/>
      <c r="I133" s="327"/>
      <c r="J133" s="327"/>
      <c r="K133" s="327"/>
      <c r="L133" s="327"/>
      <c r="M133" s="327"/>
      <c r="N133" s="327"/>
      <c r="O133" s="327"/>
      <c r="P133" s="327"/>
      <c r="Q133" s="327"/>
      <c r="R133" s="327"/>
      <c r="S133" s="327"/>
      <c r="T133" s="327"/>
      <c r="U133" s="327"/>
      <c r="V133" s="327"/>
      <c r="W133" s="327"/>
      <c r="X133" s="327"/>
      <c r="Y133" s="327"/>
    </row>
    <row r="134" spans="3:25">
      <c r="C134" s="327"/>
      <c r="D134" s="327"/>
      <c r="E134" s="327"/>
      <c r="F134" s="327"/>
      <c r="G134" s="327"/>
      <c r="H134" s="327"/>
      <c r="I134" s="327"/>
      <c r="J134" s="327"/>
      <c r="K134" s="327"/>
      <c r="L134" s="327"/>
      <c r="M134" s="327"/>
      <c r="N134" s="327"/>
      <c r="O134" s="327"/>
      <c r="P134" s="327"/>
      <c r="Q134" s="327"/>
      <c r="R134" s="327"/>
      <c r="S134" s="327"/>
      <c r="T134" s="327"/>
      <c r="U134" s="327"/>
      <c r="V134" s="327"/>
      <c r="W134" s="327"/>
      <c r="X134" s="327"/>
      <c r="Y134" s="327"/>
    </row>
    <row r="135" spans="3:25">
      <c r="C135" s="327"/>
      <c r="D135" s="327"/>
      <c r="E135" s="327"/>
      <c r="F135" s="327"/>
      <c r="G135" s="327"/>
      <c r="H135" s="327"/>
      <c r="I135" s="327"/>
      <c r="J135" s="327"/>
      <c r="K135" s="327"/>
      <c r="L135" s="327"/>
      <c r="M135" s="327"/>
      <c r="N135" s="327"/>
      <c r="O135" s="327"/>
      <c r="P135" s="327"/>
      <c r="Q135" s="327"/>
      <c r="R135" s="327"/>
      <c r="S135" s="327"/>
      <c r="T135" s="327"/>
      <c r="U135" s="327"/>
      <c r="V135" s="327"/>
      <c r="W135" s="327"/>
      <c r="X135" s="327"/>
      <c r="Y135" s="327"/>
    </row>
    <row r="136" spans="3:25">
      <c r="C136" s="327"/>
      <c r="D136" s="327"/>
      <c r="E136" s="327"/>
      <c r="F136" s="327"/>
      <c r="G136" s="327"/>
      <c r="H136" s="327"/>
      <c r="I136" s="327"/>
      <c r="J136" s="327"/>
      <c r="K136" s="327"/>
      <c r="L136" s="327"/>
      <c r="M136" s="327"/>
      <c r="N136" s="327"/>
      <c r="O136" s="327"/>
      <c r="P136" s="327"/>
      <c r="Q136" s="327"/>
      <c r="R136" s="327"/>
      <c r="S136" s="327"/>
      <c r="T136" s="327"/>
      <c r="U136" s="327"/>
      <c r="V136" s="327"/>
      <c r="W136" s="327"/>
      <c r="X136" s="327"/>
      <c r="Y136" s="327"/>
    </row>
    <row r="137" spans="3:25">
      <c r="C137" s="327"/>
      <c r="D137" s="327"/>
      <c r="E137" s="327"/>
      <c r="F137" s="327"/>
      <c r="G137" s="327"/>
      <c r="H137" s="327"/>
      <c r="I137" s="327"/>
      <c r="J137" s="327"/>
      <c r="K137" s="327"/>
      <c r="L137" s="327"/>
      <c r="M137" s="327"/>
      <c r="N137" s="327"/>
      <c r="O137" s="327"/>
      <c r="P137" s="327"/>
      <c r="Q137" s="327"/>
      <c r="R137" s="327"/>
      <c r="S137" s="327"/>
      <c r="T137" s="327"/>
      <c r="U137" s="327"/>
      <c r="V137" s="327"/>
      <c r="W137" s="327"/>
      <c r="X137" s="327"/>
      <c r="Y137" s="327"/>
    </row>
    <row r="138" spans="3:25">
      <c r="C138" s="327"/>
      <c r="D138" s="327"/>
      <c r="E138" s="327"/>
      <c r="F138" s="327"/>
      <c r="G138" s="327"/>
      <c r="H138" s="327"/>
      <c r="I138" s="327"/>
      <c r="J138" s="327"/>
      <c r="K138" s="327"/>
      <c r="L138" s="327"/>
      <c r="M138" s="327"/>
      <c r="N138" s="327"/>
      <c r="O138" s="327"/>
      <c r="P138" s="327"/>
      <c r="Q138" s="327"/>
      <c r="R138" s="327"/>
      <c r="S138" s="327"/>
      <c r="T138" s="327"/>
      <c r="U138" s="327"/>
      <c r="V138" s="327"/>
      <c r="W138" s="327"/>
      <c r="X138" s="327"/>
      <c r="Y138" s="327"/>
    </row>
    <row r="139" spans="3:25">
      <c r="C139" s="327"/>
      <c r="D139" s="327"/>
      <c r="E139" s="327"/>
      <c r="F139" s="327"/>
      <c r="G139" s="327"/>
      <c r="H139" s="327"/>
      <c r="I139" s="327"/>
      <c r="J139" s="327"/>
      <c r="K139" s="327"/>
      <c r="L139" s="327"/>
      <c r="M139" s="327"/>
      <c r="N139" s="327"/>
      <c r="O139" s="327"/>
      <c r="P139" s="327"/>
      <c r="Q139" s="327"/>
      <c r="R139" s="327"/>
      <c r="S139" s="327"/>
      <c r="T139" s="327"/>
      <c r="U139" s="327"/>
      <c r="V139" s="327"/>
      <c r="W139" s="327"/>
      <c r="X139" s="327"/>
      <c r="Y139" s="327"/>
    </row>
    <row r="140" spans="3:25">
      <c r="C140" s="327"/>
      <c r="D140" s="327"/>
      <c r="E140" s="327"/>
      <c r="F140" s="327"/>
      <c r="G140" s="327"/>
      <c r="H140" s="327"/>
      <c r="I140" s="327"/>
      <c r="J140" s="327"/>
      <c r="K140" s="327"/>
      <c r="L140" s="327"/>
      <c r="M140" s="327"/>
      <c r="N140" s="327"/>
      <c r="O140" s="327"/>
      <c r="P140" s="327"/>
      <c r="Q140" s="327"/>
      <c r="R140" s="327"/>
      <c r="S140" s="327"/>
      <c r="T140" s="327"/>
      <c r="U140" s="327"/>
      <c r="V140" s="327"/>
      <c r="W140" s="327"/>
      <c r="X140" s="327"/>
      <c r="Y140" s="327"/>
    </row>
    <row r="141" spans="3:25">
      <c r="C141" s="327"/>
      <c r="D141" s="327"/>
      <c r="E141" s="327"/>
      <c r="F141" s="327"/>
      <c r="G141" s="327"/>
      <c r="H141" s="327"/>
      <c r="I141" s="327"/>
      <c r="J141" s="327"/>
      <c r="K141" s="327"/>
      <c r="L141" s="327"/>
      <c r="M141" s="327"/>
      <c r="N141" s="327"/>
      <c r="O141" s="327"/>
      <c r="P141" s="327"/>
      <c r="Q141" s="327"/>
      <c r="R141" s="327"/>
      <c r="S141" s="327"/>
      <c r="T141" s="327"/>
      <c r="U141" s="327"/>
      <c r="V141" s="327"/>
      <c r="W141" s="327"/>
      <c r="X141" s="327"/>
      <c r="Y141" s="327"/>
    </row>
    <row r="142" spans="3:25">
      <c r="C142" s="327"/>
      <c r="D142" s="327"/>
      <c r="E142" s="327"/>
      <c r="F142" s="327"/>
      <c r="G142" s="327"/>
      <c r="H142" s="327"/>
      <c r="I142" s="327"/>
      <c r="J142" s="327"/>
      <c r="K142" s="327"/>
      <c r="L142" s="327"/>
      <c r="M142" s="327"/>
      <c r="N142" s="327"/>
      <c r="O142" s="327"/>
      <c r="P142" s="327"/>
      <c r="Q142" s="327"/>
      <c r="R142" s="327"/>
      <c r="S142" s="327"/>
      <c r="T142" s="327"/>
      <c r="U142" s="327"/>
      <c r="V142" s="327"/>
      <c r="W142" s="327"/>
      <c r="X142" s="327"/>
      <c r="Y142" s="327"/>
    </row>
    <row r="143" spans="3:25">
      <c r="C143" s="327"/>
      <c r="D143" s="327"/>
      <c r="E143" s="327"/>
      <c r="F143" s="327"/>
      <c r="G143" s="327"/>
      <c r="H143" s="327"/>
      <c r="I143" s="327"/>
      <c r="J143" s="327"/>
      <c r="K143" s="327"/>
      <c r="L143" s="327"/>
      <c r="M143" s="327"/>
      <c r="N143" s="327"/>
      <c r="O143" s="327"/>
      <c r="P143" s="327"/>
      <c r="Q143" s="327"/>
      <c r="R143" s="327"/>
      <c r="S143" s="327"/>
      <c r="T143" s="327"/>
      <c r="U143" s="327"/>
      <c r="V143" s="327"/>
      <c r="W143" s="327"/>
      <c r="X143" s="327"/>
      <c r="Y143" s="327"/>
    </row>
    <row r="144" spans="3:25">
      <c r="C144" s="327"/>
      <c r="D144" s="327"/>
      <c r="E144" s="327"/>
      <c r="F144" s="327"/>
      <c r="G144" s="327"/>
      <c r="H144" s="327"/>
      <c r="I144" s="327"/>
      <c r="J144" s="327"/>
      <c r="K144" s="327"/>
      <c r="L144" s="327"/>
      <c r="M144" s="327"/>
      <c r="N144" s="327"/>
      <c r="O144" s="327"/>
      <c r="P144" s="327"/>
      <c r="Q144" s="327"/>
      <c r="R144" s="327"/>
      <c r="S144" s="327"/>
      <c r="T144" s="327"/>
      <c r="U144" s="327"/>
      <c r="V144" s="327"/>
      <c r="W144" s="327"/>
      <c r="X144" s="327"/>
      <c r="Y144" s="327"/>
    </row>
    <row r="145" spans="3:25">
      <c r="C145" s="327"/>
      <c r="D145" s="327"/>
      <c r="E145" s="327"/>
      <c r="F145" s="327"/>
      <c r="G145" s="327"/>
      <c r="H145" s="327"/>
      <c r="I145" s="327"/>
      <c r="J145" s="327"/>
      <c r="K145" s="327"/>
      <c r="L145" s="327"/>
      <c r="M145" s="327"/>
      <c r="N145" s="327"/>
      <c r="O145" s="327"/>
      <c r="P145" s="327"/>
      <c r="Q145" s="327"/>
      <c r="R145" s="327"/>
      <c r="S145" s="327"/>
      <c r="T145" s="327"/>
      <c r="U145" s="327"/>
      <c r="V145" s="327"/>
      <c r="W145" s="327"/>
      <c r="X145" s="327"/>
      <c r="Y145" s="327"/>
    </row>
    <row r="146" spans="3:25">
      <c r="C146" s="327"/>
      <c r="D146" s="327"/>
      <c r="E146" s="327"/>
      <c r="F146" s="327"/>
      <c r="G146" s="327"/>
      <c r="H146" s="327"/>
      <c r="I146" s="327"/>
      <c r="J146" s="327"/>
      <c r="K146" s="327"/>
      <c r="L146" s="327"/>
      <c r="M146" s="327"/>
      <c r="N146" s="327"/>
      <c r="O146" s="327"/>
      <c r="P146" s="327"/>
      <c r="Q146" s="327"/>
      <c r="R146" s="327"/>
      <c r="S146" s="327"/>
      <c r="T146" s="327"/>
      <c r="U146" s="327"/>
      <c r="V146" s="327"/>
      <c r="W146" s="327"/>
      <c r="X146" s="327"/>
      <c r="Y146" s="327"/>
    </row>
    <row r="147" spans="3:25">
      <c r="C147" s="327"/>
      <c r="D147" s="327"/>
      <c r="E147" s="327"/>
      <c r="F147" s="327"/>
      <c r="G147" s="327"/>
      <c r="H147" s="327"/>
      <c r="I147" s="327"/>
      <c r="J147" s="327"/>
      <c r="K147" s="327"/>
      <c r="L147" s="327"/>
      <c r="M147" s="327"/>
      <c r="N147" s="327"/>
      <c r="O147" s="327"/>
      <c r="P147" s="327"/>
      <c r="Q147" s="327"/>
      <c r="R147" s="327"/>
      <c r="S147" s="327"/>
      <c r="T147" s="327"/>
      <c r="U147" s="327"/>
      <c r="V147" s="327"/>
      <c r="W147" s="327"/>
      <c r="X147" s="327"/>
      <c r="Y147" s="327"/>
    </row>
    <row r="148" spans="3:25">
      <c r="C148" s="327"/>
      <c r="D148" s="327"/>
      <c r="E148" s="327"/>
      <c r="F148" s="327"/>
      <c r="G148" s="327"/>
      <c r="H148" s="327"/>
      <c r="I148" s="327"/>
      <c r="J148" s="327"/>
      <c r="K148" s="327"/>
      <c r="L148" s="327"/>
      <c r="M148" s="327"/>
      <c r="N148" s="327"/>
      <c r="O148" s="327"/>
      <c r="P148" s="327"/>
      <c r="Q148" s="327"/>
      <c r="R148" s="327"/>
      <c r="S148" s="327"/>
      <c r="T148" s="327"/>
      <c r="U148" s="327"/>
      <c r="V148" s="327"/>
      <c r="W148" s="327"/>
      <c r="X148" s="327"/>
      <c r="Y148" s="327"/>
    </row>
    <row r="149" spans="3:25">
      <c r="C149" s="327"/>
      <c r="D149" s="327"/>
      <c r="E149" s="327"/>
      <c r="F149" s="327"/>
      <c r="G149" s="327"/>
      <c r="H149" s="327"/>
      <c r="I149" s="327"/>
      <c r="J149" s="327"/>
      <c r="K149" s="327"/>
      <c r="L149" s="327"/>
      <c r="M149" s="327"/>
      <c r="N149" s="327"/>
      <c r="O149" s="327"/>
      <c r="P149" s="327"/>
      <c r="Q149" s="327"/>
      <c r="R149" s="327"/>
      <c r="S149" s="327"/>
      <c r="T149" s="327"/>
      <c r="U149" s="327"/>
      <c r="V149" s="327"/>
      <c r="W149" s="327"/>
      <c r="X149" s="327"/>
      <c r="Y149" s="327"/>
    </row>
    <row r="150" spans="3:25">
      <c r="C150" s="327"/>
      <c r="D150" s="327"/>
      <c r="E150" s="327"/>
      <c r="F150" s="327"/>
      <c r="G150" s="327"/>
      <c r="H150" s="327"/>
      <c r="I150" s="327"/>
      <c r="J150" s="327"/>
      <c r="K150" s="327"/>
      <c r="L150" s="327"/>
      <c r="M150" s="327"/>
      <c r="N150" s="327"/>
      <c r="O150" s="327"/>
      <c r="P150" s="327"/>
      <c r="Q150" s="327"/>
      <c r="R150" s="327"/>
      <c r="S150" s="327"/>
      <c r="T150" s="327"/>
      <c r="U150" s="327"/>
      <c r="V150" s="327"/>
      <c r="W150" s="327"/>
      <c r="X150" s="327"/>
      <c r="Y150" s="327"/>
    </row>
    <row r="151" spans="3:25">
      <c r="C151" s="327"/>
      <c r="D151" s="327"/>
      <c r="E151" s="327"/>
      <c r="F151" s="327"/>
      <c r="G151" s="327"/>
      <c r="H151" s="327"/>
      <c r="I151" s="327"/>
      <c r="J151" s="327"/>
      <c r="K151" s="327"/>
      <c r="L151" s="327"/>
      <c r="M151" s="327"/>
      <c r="N151" s="327"/>
      <c r="O151" s="327"/>
      <c r="P151" s="327"/>
      <c r="Q151" s="327"/>
      <c r="R151" s="327"/>
      <c r="S151" s="327"/>
      <c r="T151" s="327"/>
      <c r="U151" s="327"/>
      <c r="V151" s="327"/>
      <c r="W151" s="327"/>
      <c r="X151" s="327"/>
      <c r="Y151" s="327"/>
    </row>
    <row r="152" spans="3:25">
      <c r="C152" s="327"/>
      <c r="D152" s="327"/>
      <c r="E152" s="327"/>
      <c r="F152" s="327"/>
      <c r="G152" s="327"/>
      <c r="H152" s="327"/>
      <c r="I152" s="327"/>
      <c r="J152" s="327"/>
      <c r="K152" s="327"/>
      <c r="L152" s="327"/>
      <c r="M152" s="327"/>
      <c r="N152" s="327"/>
      <c r="O152" s="327"/>
      <c r="P152" s="327"/>
      <c r="Q152" s="327"/>
      <c r="R152" s="327"/>
      <c r="S152" s="327"/>
      <c r="T152" s="327"/>
      <c r="U152" s="327"/>
      <c r="V152" s="327"/>
      <c r="W152" s="327"/>
      <c r="X152" s="327"/>
      <c r="Y152" s="327"/>
    </row>
    <row r="153" spans="3:25">
      <c r="C153" s="327"/>
      <c r="D153" s="327"/>
      <c r="E153" s="327"/>
      <c r="F153" s="327"/>
      <c r="G153" s="327"/>
      <c r="H153" s="327"/>
      <c r="I153" s="327"/>
      <c r="J153" s="327"/>
      <c r="K153" s="327"/>
      <c r="L153" s="327"/>
      <c r="M153" s="327"/>
      <c r="N153" s="327"/>
      <c r="O153" s="327"/>
      <c r="P153" s="327"/>
      <c r="Q153" s="327"/>
      <c r="R153" s="327"/>
      <c r="S153" s="327"/>
      <c r="T153" s="327"/>
      <c r="U153" s="327"/>
      <c r="V153" s="327"/>
      <c r="W153" s="327"/>
      <c r="X153" s="327"/>
      <c r="Y153" s="327"/>
    </row>
    <row r="154" spans="3:25">
      <c r="C154" s="327"/>
      <c r="D154" s="327"/>
      <c r="E154" s="327"/>
      <c r="F154" s="327"/>
      <c r="G154" s="327"/>
      <c r="H154" s="327"/>
      <c r="I154" s="327"/>
      <c r="J154" s="327"/>
      <c r="K154" s="327"/>
      <c r="L154" s="327"/>
      <c r="M154" s="327"/>
      <c r="N154" s="327"/>
      <c r="O154" s="327"/>
      <c r="P154" s="327"/>
      <c r="Q154" s="327"/>
      <c r="R154" s="327"/>
      <c r="S154" s="327"/>
      <c r="T154" s="327"/>
      <c r="U154" s="327"/>
      <c r="V154" s="327"/>
      <c r="W154" s="327"/>
      <c r="X154" s="327"/>
      <c r="Y154" s="327"/>
    </row>
    <row r="155" spans="3:25">
      <c r="C155" s="327"/>
      <c r="D155" s="327"/>
      <c r="E155" s="327"/>
      <c r="F155" s="327"/>
      <c r="G155" s="327"/>
      <c r="H155" s="327"/>
      <c r="I155" s="327"/>
      <c r="J155" s="327"/>
      <c r="K155" s="327"/>
      <c r="L155" s="327"/>
      <c r="M155" s="327"/>
      <c r="N155" s="327"/>
      <c r="O155" s="327"/>
      <c r="P155" s="327"/>
      <c r="Q155" s="327"/>
      <c r="R155" s="327"/>
      <c r="S155" s="327"/>
      <c r="T155" s="327"/>
      <c r="U155" s="327"/>
      <c r="V155" s="327"/>
      <c r="W155" s="327"/>
      <c r="X155" s="327"/>
      <c r="Y155" s="327"/>
    </row>
    <row r="156" spans="3:25">
      <c r="C156" s="327"/>
      <c r="D156" s="327"/>
      <c r="E156" s="327"/>
      <c r="F156" s="327"/>
      <c r="G156" s="327"/>
      <c r="H156" s="327"/>
      <c r="I156" s="327"/>
      <c r="J156" s="327"/>
      <c r="K156" s="327"/>
      <c r="L156" s="327"/>
      <c r="M156" s="327"/>
      <c r="N156" s="327"/>
      <c r="O156" s="327"/>
      <c r="P156" s="327"/>
      <c r="Q156" s="327"/>
      <c r="R156" s="327"/>
      <c r="S156" s="327"/>
      <c r="T156" s="327"/>
      <c r="U156" s="327"/>
      <c r="V156" s="327"/>
      <c r="W156" s="327"/>
      <c r="X156" s="327"/>
      <c r="Y156" s="327"/>
    </row>
    <row r="157" spans="3:25">
      <c r="C157" s="327"/>
      <c r="D157" s="327"/>
      <c r="E157" s="327"/>
      <c r="F157" s="327"/>
      <c r="G157" s="327"/>
      <c r="H157" s="327"/>
      <c r="I157" s="327"/>
      <c r="J157" s="327"/>
      <c r="K157" s="327"/>
      <c r="L157" s="327"/>
      <c r="M157" s="327"/>
      <c r="N157" s="327"/>
      <c r="O157" s="327"/>
      <c r="P157" s="327"/>
      <c r="Q157" s="327"/>
      <c r="R157" s="327"/>
      <c r="S157" s="327"/>
      <c r="T157" s="327"/>
      <c r="U157" s="327"/>
      <c r="V157" s="327"/>
      <c r="W157" s="327"/>
      <c r="X157" s="327"/>
      <c r="Y157" s="327"/>
    </row>
    <row r="158" spans="3:25">
      <c r="C158" s="327"/>
      <c r="D158" s="327"/>
      <c r="E158" s="327"/>
      <c r="F158" s="327"/>
      <c r="G158" s="327"/>
      <c r="H158" s="327"/>
      <c r="I158" s="327"/>
      <c r="J158" s="327"/>
      <c r="K158" s="327"/>
      <c r="L158" s="327"/>
      <c r="M158" s="327"/>
      <c r="N158" s="327"/>
      <c r="O158" s="327"/>
      <c r="P158" s="327"/>
      <c r="Q158" s="327"/>
      <c r="R158" s="327"/>
      <c r="S158" s="327"/>
      <c r="T158" s="327"/>
      <c r="U158" s="327"/>
      <c r="V158" s="327"/>
      <c r="W158" s="327"/>
      <c r="X158" s="327"/>
      <c r="Y158" s="327"/>
    </row>
    <row r="159" spans="3:25">
      <c r="C159" s="327"/>
      <c r="D159" s="327"/>
      <c r="E159" s="327"/>
      <c r="F159" s="327"/>
      <c r="G159" s="327"/>
      <c r="H159" s="327"/>
      <c r="I159" s="327"/>
      <c r="J159" s="327"/>
      <c r="K159" s="327"/>
      <c r="L159" s="327"/>
      <c r="M159" s="327"/>
      <c r="N159" s="327"/>
      <c r="O159" s="327"/>
      <c r="P159" s="327"/>
      <c r="Q159" s="327"/>
      <c r="R159" s="327"/>
      <c r="S159" s="327"/>
      <c r="T159" s="327"/>
      <c r="U159" s="327"/>
      <c r="V159" s="327"/>
      <c r="W159" s="327"/>
      <c r="X159" s="327"/>
      <c r="Y159" s="327"/>
    </row>
    <row r="160" spans="3:25">
      <c r="C160" s="327"/>
      <c r="D160" s="327"/>
      <c r="E160" s="327"/>
      <c r="F160" s="327"/>
      <c r="G160" s="327"/>
      <c r="H160" s="327"/>
      <c r="I160" s="327"/>
      <c r="J160" s="327"/>
      <c r="K160" s="327"/>
      <c r="L160" s="327"/>
      <c r="M160" s="327"/>
      <c r="N160" s="327"/>
      <c r="O160" s="327"/>
      <c r="P160" s="327"/>
      <c r="Q160" s="327"/>
      <c r="R160" s="327"/>
      <c r="S160" s="327"/>
      <c r="T160" s="327"/>
      <c r="U160" s="327"/>
      <c r="V160" s="327"/>
      <c r="W160" s="327"/>
      <c r="X160" s="327"/>
      <c r="Y160" s="327"/>
    </row>
    <row r="161" spans="3:25">
      <c r="C161" s="327"/>
      <c r="D161" s="327"/>
      <c r="E161" s="327"/>
      <c r="F161" s="327"/>
      <c r="G161" s="327"/>
      <c r="H161" s="327"/>
      <c r="I161" s="327"/>
      <c r="J161" s="327"/>
      <c r="K161" s="327"/>
      <c r="L161" s="327"/>
      <c r="M161" s="327"/>
      <c r="N161" s="327"/>
      <c r="O161" s="327"/>
      <c r="P161" s="327"/>
      <c r="Q161" s="327"/>
      <c r="R161" s="327"/>
      <c r="S161" s="327"/>
      <c r="T161" s="327"/>
      <c r="U161" s="327"/>
      <c r="V161" s="327"/>
      <c r="W161" s="327"/>
      <c r="X161" s="327"/>
      <c r="Y161" s="327"/>
    </row>
    <row r="162" spans="3:25">
      <c r="C162" s="327"/>
      <c r="D162" s="327"/>
      <c r="E162" s="327"/>
      <c r="F162" s="327"/>
      <c r="G162" s="327"/>
      <c r="H162" s="327"/>
      <c r="I162" s="327"/>
      <c r="J162" s="327"/>
      <c r="K162" s="327"/>
      <c r="L162" s="327"/>
      <c r="M162" s="327"/>
      <c r="N162" s="327"/>
      <c r="O162" s="327"/>
      <c r="P162" s="327"/>
      <c r="Q162" s="327"/>
      <c r="R162" s="327"/>
      <c r="S162" s="327"/>
      <c r="T162" s="327"/>
      <c r="U162" s="327"/>
      <c r="V162" s="327"/>
      <c r="W162" s="327"/>
      <c r="X162" s="327"/>
      <c r="Y162" s="327"/>
    </row>
    <row r="163" spans="3:25">
      <c r="C163" s="327"/>
      <c r="D163" s="327"/>
      <c r="E163" s="327"/>
      <c r="F163" s="327"/>
      <c r="G163" s="327"/>
      <c r="H163" s="327"/>
      <c r="I163" s="327"/>
      <c r="J163" s="327"/>
      <c r="K163" s="327"/>
      <c r="L163" s="327"/>
      <c r="M163" s="327"/>
      <c r="N163" s="327"/>
      <c r="O163" s="327"/>
      <c r="P163" s="327"/>
      <c r="Q163" s="327"/>
      <c r="R163" s="327"/>
      <c r="S163" s="327"/>
      <c r="T163" s="327"/>
      <c r="U163" s="327"/>
      <c r="V163" s="327"/>
      <c r="W163" s="327"/>
      <c r="X163" s="327"/>
      <c r="Y163" s="327"/>
    </row>
    <row r="164" spans="3:25">
      <c r="C164" s="327"/>
      <c r="D164" s="327"/>
      <c r="E164" s="327"/>
      <c r="F164" s="327"/>
      <c r="G164" s="327"/>
      <c r="H164" s="327"/>
      <c r="I164" s="327"/>
      <c r="J164" s="327"/>
      <c r="K164" s="327"/>
      <c r="L164" s="327"/>
      <c r="M164" s="327"/>
      <c r="N164" s="327"/>
      <c r="O164" s="327"/>
      <c r="P164" s="327"/>
      <c r="Q164" s="327"/>
      <c r="R164" s="327"/>
      <c r="S164" s="327"/>
      <c r="T164" s="327"/>
      <c r="U164" s="327"/>
      <c r="V164" s="327"/>
      <c r="W164" s="327"/>
      <c r="X164" s="327"/>
      <c r="Y164" s="327"/>
    </row>
    <row r="165" spans="3:25">
      <c r="C165" s="327"/>
      <c r="D165" s="327"/>
      <c r="E165" s="327"/>
      <c r="F165" s="327"/>
      <c r="G165" s="327"/>
      <c r="H165" s="327"/>
      <c r="I165" s="327"/>
      <c r="J165" s="327"/>
      <c r="K165" s="327"/>
      <c r="L165" s="327"/>
      <c r="M165" s="327"/>
      <c r="N165" s="327"/>
      <c r="O165" s="327"/>
      <c r="P165" s="327"/>
      <c r="Q165" s="327"/>
      <c r="R165" s="327"/>
      <c r="S165" s="327"/>
      <c r="T165" s="327"/>
      <c r="U165" s="327"/>
      <c r="V165" s="327"/>
      <c r="W165" s="327"/>
      <c r="X165" s="327"/>
      <c r="Y165" s="327"/>
    </row>
    <row r="166" spans="3:25">
      <c r="C166" s="327"/>
      <c r="D166" s="327"/>
      <c r="E166" s="327"/>
      <c r="F166" s="327"/>
      <c r="G166" s="327"/>
      <c r="H166" s="327"/>
      <c r="I166" s="327"/>
      <c r="J166" s="327"/>
      <c r="K166" s="327"/>
      <c r="L166" s="327"/>
      <c r="M166" s="327"/>
      <c r="N166" s="327"/>
      <c r="O166" s="327"/>
      <c r="P166" s="327"/>
      <c r="Q166" s="327"/>
      <c r="R166" s="327"/>
      <c r="S166" s="327"/>
      <c r="T166" s="327"/>
      <c r="U166" s="327"/>
      <c r="V166" s="327"/>
      <c r="W166" s="327"/>
      <c r="X166" s="327"/>
      <c r="Y166" s="327"/>
    </row>
    <row r="167" spans="3:25">
      <c r="C167" s="327"/>
      <c r="D167" s="327"/>
      <c r="E167" s="327"/>
      <c r="F167" s="327"/>
      <c r="G167" s="327"/>
      <c r="H167" s="327"/>
      <c r="I167" s="327"/>
      <c r="J167" s="327"/>
      <c r="K167" s="327"/>
      <c r="L167" s="327"/>
      <c r="M167" s="327"/>
      <c r="N167" s="327"/>
      <c r="O167" s="327"/>
      <c r="P167" s="327"/>
      <c r="Q167" s="327"/>
      <c r="R167" s="327"/>
      <c r="S167" s="327"/>
      <c r="T167" s="327"/>
      <c r="U167" s="327"/>
      <c r="V167" s="327"/>
      <c r="W167" s="327"/>
      <c r="X167" s="327"/>
      <c r="Y167" s="327"/>
    </row>
    <row r="168" spans="3:25">
      <c r="C168" s="327"/>
      <c r="D168" s="327"/>
      <c r="E168" s="327"/>
      <c r="F168" s="327"/>
      <c r="G168" s="327"/>
      <c r="H168" s="327"/>
      <c r="I168" s="327"/>
      <c r="J168" s="327"/>
      <c r="K168" s="327"/>
      <c r="L168" s="327"/>
      <c r="M168" s="327"/>
      <c r="N168" s="327"/>
      <c r="O168" s="327"/>
      <c r="P168" s="327"/>
      <c r="Q168" s="327"/>
      <c r="R168" s="327"/>
      <c r="S168" s="327"/>
      <c r="T168" s="327"/>
      <c r="U168" s="327"/>
      <c r="V168" s="327"/>
      <c r="W168" s="327"/>
      <c r="X168" s="327"/>
      <c r="Y168" s="327"/>
    </row>
    <row r="169" spans="3:25">
      <c r="C169" s="327"/>
      <c r="D169" s="327"/>
      <c r="E169" s="327"/>
      <c r="F169" s="327"/>
      <c r="G169" s="327"/>
      <c r="H169" s="327"/>
      <c r="I169" s="327"/>
      <c r="J169" s="327"/>
      <c r="K169" s="327"/>
      <c r="L169" s="327"/>
      <c r="M169" s="327"/>
      <c r="N169" s="327"/>
      <c r="O169" s="327"/>
      <c r="P169" s="327"/>
      <c r="Q169" s="327"/>
      <c r="R169" s="327"/>
      <c r="S169" s="327"/>
      <c r="T169" s="327"/>
      <c r="U169" s="327"/>
      <c r="V169" s="327"/>
      <c r="W169" s="327"/>
      <c r="X169" s="327"/>
      <c r="Y169" s="327"/>
    </row>
    <row r="170" spans="3:25">
      <c r="C170" s="327"/>
      <c r="D170" s="327"/>
      <c r="E170" s="327"/>
      <c r="F170" s="327"/>
      <c r="G170" s="327"/>
      <c r="H170" s="327"/>
      <c r="I170" s="327"/>
      <c r="J170" s="327"/>
      <c r="K170" s="327"/>
      <c r="L170" s="327"/>
      <c r="M170" s="327"/>
      <c r="N170" s="327"/>
      <c r="O170" s="327"/>
      <c r="P170" s="327"/>
      <c r="Q170" s="327"/>
      <c r="R170" s="327"/>
      <c r="S170" s="327"/>
      <c r="T170" s="327"/>
      <c r="U170" s="327"/>
      <c r="V170" s="327"/>
      <c r="W170" s="327"/>
      <c r="X170" s="327"/>
      <c r="Y170" s="327"/>
    </row>
    <row r="171" spans="3:25">
      <c r="C171" s="327"/>
      <c r="D171" s="327"/>
      <c r="E171" s="327"/>
      <c r="F171" s="327"/>
      <c r="G171" s="327"/>
      <c r="H171" s="327"/>
      <c r="I171" s="327"/>
      <c r="J171" s="327"/>
      <c r="K171" s="327"/>
      <c r="L171" s="327"/>
      <c r="M171" s="327"/>
      <c r="N171" s="327"/>
      <c r="O171" s="327"/>
      <c r="P171" s="327"/>
      <c r="Q171" s="327"/>
      <c r="R171" s="327"/>
      <c r="S171" s="327"/>
      <c r="T171" s="327"/>
      <c r="U171" s="327"/>
      <c r="V171" s="327"/>
      <c r="W171" s="327"/>
      <c r="X171" s="327"/>
      <c r="Y171" s="327"/>
    </row>
    <row r="172" spans="3:25">
      <c r="C172" s="327"/>
      <c r="D172" s="327"/>
      <c r="E172" s="327"/>
      <c r="F172" s="327"/>
      <c r="G172" s="327"/>
      <c r="H172" s="327"/>
      <c r="I172" s="327"/>
      <c r="J172" s="327"/>
      <c r="K172" s="327"/>
      <c r="L172" s="327"/>
      <c r="M172" s="327"/>
      <c r="N172" s="327"/>
      <c r="O172" s="327"/>
      <c r="P172" s="327"/>
      <c r="Q172" s="327"/>
      <c r="R172" s="327"/>
      <c r="S172" s="327"/>
      <c r="T172" s="327"/>
      <c r="U172" s="327"/>
      <c r="V172" s="327"/>
      <c r="W172" s="327"/>
      <c r="X172" s="327"/>
      <c r="Y172" s="327"/>
    </row>
    <row r="173" spans="3:25">
      <c r="C173" s="327"/>
      <c r="D173" s="327"/>
      <c r="E173" s="327"/>
      <c r="F173" s="327"/>
      <c r="G173" s="327"/>
      <c r="H173" s="327"/>
      <c r="I173" s="327"/>
      <c r="J173" s="327"/>
      <c r="K173" s="327"/>
      <c r="L173" s="327"/>
      <c r="M173" s="327"/>
      <c r="N173" s="327"/>
      <c r="O173" s="327"/>
      <c r="P173" s="327"/>
      <c r="Q173" s="327"/>
      <c r="R173" s="327"/>
      <c r="S173" s="327"/>
      <c r="T173" s="327"/>
      <c r="U173" s="327"/>
      <c r="V173" s="327"/>
      <c r="W173" s="327"/>
      <c r="X173" s="327"/>
      <c r="Y173" s="327"/>
    </row>
    <row r="174" spans="3:25">
      <c r="C174" s="327"/>
      <c r="D174" s="327"/>
      <c r="E174" s="327"/>
      <c r="F174" s="327"/>
      <c r="G174" s="327"/>
      <c r="H174" s="327"/>
      <c r="I174" s="327"/>
      <c r="J174" s="327"/>
      <c r="K174" s="327"/>
      <c r="L174" s="327"/>
      <c r="M174" s="327"/>
      <c r="N174" s="327"/>
      <c r="O174" s="327"/>
      <c r="P174" s="327"/>
      <c r="Q174" s="327"/>
      <c r="R174" s="327"/>
      <c r="S174" s="327"/>
      <c r="T174" s="327"/>
      <c r="U174" s="327"/>
      <c r="V174" s="327"/>
      <c r="W174" s="327"/>
      <c r="X174" s="327"/>
      <c r="Y174" s="327"/>
    </row>
    <row r="175" spans="3:25">
      <c r="C175" s="327"/>
      <c r="D175" s="327"/>
      <c r="E175" s="327"/>
      <c r="F175" s="327"/>
      <c r="G175" s="327"/>
      <c r="H175" s="327"/>
      <c r="I175" s="327"/>
      <c r="J175" s="327"/>
      <c r="K175" s="327"/>
      <c r="L175" s="327"/>
      <c r="M175" s="327"/>
      <c r="N175" s="327"/>
      <c r="O175" s="327"/>
      <c r="P175" s="327"/>
      <c r="Q175" s="327"/>
      <c r="R175" s="327"/>
      <c r="S175" s="327"/>
      <c r="T175" s="327"/>
      <c r="U175" s="327"/>
      <c r="V175" s="327"/>
      <c r="W175" s="327"/>
      <c r="X175" s="327"/>
      <c r="Y175" s="327"/>
    </row>
    <row r="176" spans="3:25">
      <c r="C176" s="327"/>
      <c r="D176" s="327"/>
      <c r="E176" s="327"/>
      <c r="F176" s="327"/>
      <c r="G176" s="327"/>
      <c r="H176" s="327"/>
      <c r="I176" s="327"/>
      <c r="J176" s="327"/>
      <c r="K176" s="327"/>
      <c r="L176" s="327"/>
      <c r="M176" s="327"/>
      <c r="N176" s="327"/>
      <c r="O176" s="327"/>
      <c r="P176" s="327"/>
      <c r="Q176" s="327"/>
      <c r="R176" s="327"/>
      <c r="S176" s="327"/>
      <c r="T176" s="327"/>
      <c r="U176" s="327"/>
      <c r="V176" s="327"/>
      <c r="W176" s="327"/>
      <c r="X176" s="327"/>
      <c r="Y176" s="327"/>
    </row>
    <row r="177" spans="3:25">
      <c r="C177" s="327"/>
      <c r="D177" s="327"/>
      <c r="E177" s="327"/>
      <c r="F177" s="327"/>
      <c r="G177" s="327"/>
      <c r="H177" s="327"/>
      <c r="I177" s="327"/>
      <c r="J177" s="327"/>
      <c r="K177" s="327"/>
      <c r="L177" s="327"/>
      <c r="M177" s="327"/>
      <c r="N177" s="327"/>
      <c r="O177" s="327"/>
      <c r="P177" s="327"/>
      <c r="Q177" s="327"/>
      <c r="R177" s="327"/>
      <c r="S177" s="327"/>
      <c r="T177" s="327"/>
      <c r="U177" s="327"/>
      <c r="V177" s="327"/>
      <c r="W177" s="327"/>
      <c r="X177" s="327"/>
      <c r="Y177" s="327"/>
    </row>
    <row r="178" spans="3:25">
      <c r="C178" s="327"/>
      <c r="D178" s="327"/>
      <c r="E178" s="327"/>
      <c r="F178" s="327"/>
      <c r="G178" s="327"/>
      <c r="H178" s="327"/>
      <c r="I178" s="327"/>
      <c r="J178" s="327"/>
      <c r="K178" s="327"/>
      <c r="L178" s="327"/>
      <c r="M178" s="327"/>
      <c r="N178" s="327"/>
      <c r="O178" s="327"/>
      <c r="P178" s="327"/>
      <c r="Q178" s="327"/>
      <c r="R178" s="327"/>
      <c r="S178" s="327"/>
      <c r="T178" s="327"/>
      <c r="U178" s="327"/>
      <c r="V178" s="327"/>
      <c r="W178" s="327"/>
      <c r="X178" s="327"/>
      <c r="Y178" s="327"/>
    </row>
    <row r="179" spans="3:25">
      <c r="C179" s="327"/>
      <c r="D179" s="327"/>
      <c r="E179" s="327"/>
      <c r="F179" s="327"/>
      <c r="G179" s="327"/>
      <c r="H179" s="327"/>
      <c r="I179" s="327"/>
      <c r="J179" s="327"/>
      <c r="K179" s="327"/>
      <c r="L179" s="327"/>
      <c r="M179" s="327"/>
      <c r="N179" s="327"/>
      <c r="O179" s="327"/>
      <c r="P179" s="327"/>
      <c r="Q179" s="327"/>
      <c r="R179" s="327"/>
      <c r="S179" s="327"/>
      <c r="T179" s="327"/>
      <c r="U179" s="327"/>
      <c r="V179" s="327"/>
      <c r="W179" s="327"/>
      <c r="X179" s="327"/>
      <c r="Y179" s="327"/>
    </row>
    <row r="180" spans="3:25">
      <c r="C180" s="327"/>
      <c r="D180" s="327"/>
      <c r="E180" s="327"/>
      <c r="F180" s="327"/>
      <c r="G180" s="327"/>
      <c r="H180" s="327"/>
      <c r="I180" s="327"/>
      <c r="J180" s="327"/>
      <c r="K180" s="327"/>
      <c r="L180" s="327"/>
      <c r="M180" s="327"/>
      <c r="N180" s="327"/>
      <c r="O180" s="327"/>
      <c r="P180" s="327"/>
      <c r="Q180" s="327"/>
      <c r="R180" s="327"/>
      <c r="S180" s="327"/>
      <c r="T180" s="327"/>
      <c r="U180" s="327"/>
      <c r="V180" s="327"/>
      <c r="W180" s="327"/>
      <c r="X180" s="327"/>
      <c r="Y180" s="327"/>
    </row>
    <row r="181" spans="3:25">
      <c r="C181" s="327"/>
      <c r="D181" s="327"/>
      <c r="E181" s="327"/>
      <c r="F181" s="327"/>
      <c r="G181" s="327"/>
      <c r="H181" s="327"/>
      <c r="I181" s="327"/>
      <c r="J181" s="327"/>
      <c r="K181" s="327"/>
      <c r="L181" s="327"/>
      <c r="M181" s="327"/>
      <c r="N181" s="327"/>
      <c r="O181" s="327"/>
      <c r="P181" s="327"/>
      <c r="Q181" s="327"/>
      <c r="R181" s="327"/>
      <c r="S181" s="327"/>
      <c r="T181" s="327"/>
      <c r="U181" s="327"/>
      <c r="V181" s="327"/>
      <c r="W181" s="327"/>
      <c r="X181" s="327"/>
      <c r="Y181" s="327"/>
    </row>
    <row r="182" spans="3:25">
      <c r="C182" s="327"/>
      <c r="D182" s="327"/>
      <c r="E182" s="327"/>
      <c r="F182" s="327"/>
      <c r="G182" s="327"/>
      <c r="H182" s="327"/>
      <c r="I182" s="327"/>
      <c r="J182" s="327"/>
      <c r="K182" s="327"/>
      <c r="L182" s="327"/>
      <c r="M182" s="327"/>
      <c r="N182" s="327"/>
      <c r="O182" s="327"/>
      <c r="P182" s="327"/>
      <c r="Q182" s="327"/>
      <c r="R182" s="327"/>
      <c r="S182" s="327"/>
      <c r="T182" s="327"/>
      <c r="U182" s="327"/>
      <c r="V182" s="327"/>
      <c r="W182" s="327"/>
      <c r="X182" s="327"/>
      <c r="Y182" s="327"/>
    </row>
    <row r="183" spans="3:25">
      <c r="C183" s="327"/>
      <c r="D183" s="327"/>
      <c r="E183" s="327"/>
      <c r="F183" s="327"/>
      <c r="G183" s="327"/>
      <c r="H183" s="327"/>
      <c r="I183" s="327"/>
      <c r="J183" s="327"/>
      <c r="K183" s="327"/>
      <c r="L183" s="327"/>
      <c r="M183" s="327"/>
      <c r="N183" s="327"/>
      <c r="O183" s="327"/>
      <c r="P183" s="327"/>
      <c r="Q183" s="327"/>
      <c r="R183" s="327"/>
      <c r="S183" s="327"/>
      <c r="T183" s="327"/>
      <c r="U183" s="327"/>
      <c r="V183" s="327"/>
      <c r="W183" s="327"/>
      <c r="X183" s="327"/>
      <c r="Y183" s="327"/>
    </row>
    <row r="184" spans="3:25">
      <c r="C184" s="327"/>
      <c r="D184" s="327"/>
      <c r="E184" s="327"/>
      <c r="F184" s="327"/>
      <c r="G184" s="327"/>
      <c r="H184" s="327"/>
      <c r="I184" s="327"/>
      <c r="J184" s="327"/>
      <c r="K184" s="327"/>
      <c r="L184" s="327"/>
      <c r="M184" s="327"/>
      <c r="N184" s="327"/>
      <c r="O184" s="327"/>
      <c r="P184" s="327"/>
      <c r="Q184" s="327"/>
      <c r="R184" s="327"/>
      <c r="S184" s="327"/>
      <c r="T184" s="327"/>
      <c r="U184" s="327"/>
      <c r="V184" s="327"/>
      <c r="W184" s="327"/>
      <c r="X184" s="327"/>
      <c r="Y184" s="327"/>
    </row>
    <row r="185" spans="3:25">
      <c r="C185" s="327"/>
      <c r="D185" s="327"/>
      <c r="E185" s="327"/>
      <c r="F185" s="327"/>
      <c r="G185" s="327"/>
      <c r="H185" s="327"/>
      <c r="I185" s="327"/>
      <c r="J185" s="327"/>
      <c r="K185" s="327"/>
      <c r="L185" s="327"/>
      <c r="M185" s="327"/>
      <c r="N185" s="327"/>
      <c r="O185" s="327"/>
      <c r="P185" s="327"/>
      <c r="Q185" s="327"/>
      <c r="R185" s="327"/>
      <c r="S185" s="327"/>
      <c r="T185" s="327"/>
      <c r="U185" s="327"/>
      <c r="V185" s="327"/>
      <c r="W185" s="327"/>
      <c r="X185" s="327"/>
      <c r="Y185" s="327"/>
    </row>
    <row r="186" spans="3:25">
      <c r="C186" s="327"/>
      <c r="D186" s="327"/>
      <c r="E186" s="327"/>
      <c r="F186" s="327"/>
      <c r="G186" s="327"/>
      <c r="H186" s="327"/>
      <c r="I186" s="327"/>
      <c r="J186" s="327"/>
      <c r="K186" s="327"/>
      <c r="L186" s="327"/>
      <c r="M186" s="327"/>
      <c r="N186" s="327"/>
      <c r="O186" s="327"/>
      <c r="P186" s="327"/>
      <c r="Q186" s="327"/>
      <c r="R186" s="327"/>
      <c r="S186" s="327"/>
      <c r="T186" s="327"/>
      <c r="U186" s="327"/>
      <c r="V186" s="327"/>
      <c r="W186" s="327"/>
      <c r="X186" s="327"/>
      <c r="Y186" s="327"/>
    </row>
    <row r="187" spans="3:25">
      <c r="C187" s="327"/>
      <c r="D187" s="327"/>
      <c r="E187" s="327"/>
      <c r="F187" s="327"/>
      <c r="G187" s="327"/>
      <c r="H187" s="327"/>
      <c r="I187" s="327"/>
      <c r="J187" s="327"/>
      <c r="K187" s="327"/>
      <c r="L187" s="327"/>
      <c r="M187" s="327"/>
      <c r="N187" s="327"/>
      <c r="O187" s="327"/>
      <c r="P187" s="327"/>
      <c r="Q187" s="327"/>
      <c r="R187" s="327"/>
      <c r="S187" s="327"/>
      <c r="T187" s="327"/>
      <c r="U187" s="327"/>
      <c r="V187" s="327"/>
      <c r="W187" s="327"/>
      <c r="X187" s="327"/>
      <c r="Y187" s="327"/>
    </row>
    <row r="188" spans="3:25">
      <c r="C188" s="327"/>
      <c r="D188" s="327"/>
      <c r="E188" s="327"/>
      <c r="F188" s="327"/>
      <c r="G188" s="327"/>
      <c r="H188" s="327"/>
      <c r="I188" s="327"/>
      <c r="J188" s="327"/>
      <c r="K188" s="327"/>
      <c r="L188" s="327"/>
      <c r="M188" s="327"/>
      <c r="N188" s="327"/>
      <c r="O188" s="327"/>
      <c r="P188" s="327"/>
      <c r="Q188" s="327"/>
      <c r="R188" s="327"/>
      <c r="S188" s="327"/>
      <c r="T188" s="327"/>
      <c r="U188" s="327"/>
      <c r="V188" s="327"/>
      <c r="W188" s="327"/>
      <c r="X188" s="327"/>
      <c r="Y188" s="327"/>
    </row>
    <row r="189" spans="3:25">
      <c r="C189" s="327"/>
      <c r="D189" s="327"/>
      <c r="E189" s="327"/>
      <c r="F189" s="327"/>
      <c r="G189" s="327"/>
      <c r="H189" s="327"/>
      <c r="I189" s="327"/>
      <c r="J189" s="327"/>
      <c r="K189" s="327"/>
      <c r="L189" s="327"/>
      <c r="M189" s="327"/>
      <c r="N189" s="327"/>
      <c r="O189" s="327"/>
      <c r="P189" s="327"/>
      <c r="Q189" s="327"/>
      <c r="R189" s="327"/>
      <c r="S189" s="327"/>
      <c r="T189" s="327"/>
      <c r="U189" s="327"/>
      <c r="V189" s="327"/>
      <c r="W189" s="327"/>
      <c r="X189" s="327"/>
      <c r="Y189" s="327"/>
    </row>
    <row r="190" spans="3:25">
      <c r="C190" s="327"/>
      <c r="D190" s="327"/>
      <c r="E190" s="327"/>
      <c r="F190" s="327"/>
      <c r="G190" s="327"/>
      <c r="H190" s="327"/>
      <c r="I190" s="327"/>
      <c r="J190" s="327"/>
      <c r="K190" s="327"/>
      <c r="L190" s="327"/>
      <c r="M190" s="327"/>
      <c r="N190" s="327"/>
      <c r="O190" s="327"/>
      <c r="P190" s="327"/>
      <c r="Q190" s="327"/>
      <c r="R190" s="327"/>
      <c r="S190" s="327"/>
      <c r="T190" s="327"/>
      <c r="U190" s="327"/>
      <c r="V190" s="327"/>
      <c r="W190" s="327"/>
      <c r="X190" s="327"/>
      <c r="Y190" s="327"/>
    </row>
    <row r="191" spans="3:25">
      <c r="C191" s="327"/>
      <c r="D191" s="327"/>
      <c r="E191" s="327"/>
      <c r="F191" s="327"/>
      <c r="G191" s="327"/>
      <c r="H191" s="327"/>
      <c r="I191" s="327"/>
      <c r="J191" s="327"/>
      <c r="K191" s="327"/>
      <c r="L191" s="327"/>
      <c r="M191" s="327"/>
      <c r="N191" s="327"/>
      <c r="O191" s="327"/>
      <c r="P191" s="327"/>
      <c r="Q191" s="327"/>
      <c r="R191" s="327"/>
      <c r="S191" s="327"/>
      <c r="T191" s="327"/>
      <c r="U191" s="327"/>
      <c r="V191" s="327"/>
      <c r="W191" s="327"/>
      <c r="X191" s="327"/>
      <c r="Y191" s="327"/>
    </row>
    <row r="192" spans="3:25">
      <c r="C192" s="327"/>
      <c r="D192" s="327"/>
      <c r="E192" s="327"/>
      <c r="F192" s="327"/>
      <c r="G192" s="327"/>
      <c r="H192" s="327"/>
      <c r="I192" s="327"/>
      <c r="J192" s="327"/>
      <c r="K192" s="327"/>
      <c r="L192" s="327"/>
      <c r="M192" s="327"/>
      <c r="N192" s="327"/>
      <c r="O192" s="327"/>
      <c r="P192" s="327"/>
      <c r="Q192" s="327"/>
      <c r="R192" s="327"/>
      <c r="S192" s="327"/>
      <c r="T192" s="327"/>
      <c r="U192" s="327"/>
      <c r="V192" s="327"/>
      <c r="W192" s="327"/>
      <c r="X192" s="327"/>
      <c r="Y192" s="327"/>
    </row>
    <row r="193" spans="3:25">
      <c r="C193" s="327"/>
      <c r="D193" s="327"/>
      <c r="E193" s="327"/>
      <c r="F193" s="327"/>
      <c r="G193" s="327"/>
      <c r="H193" s="327"/>
      <c r="I193" s="327"/>
      <c r="J193" s="327"/>
      <c r="K193" s="327"/>
      <c r="L193" s="327"/>
      <c r="M193" s="327"/>
      <c r="N193" s="327"/>
      <c r="O193" s="327"/>
      <c r="P193" s="327"/>
      <c r="Q193" s="327"/>
      <c r="R193" s="327"/>
      <c r="S193" s="327"/>
      <c r="T193" s="327"/>
      <c r="U193" s="327"/>
      <c r="V193" s="327"/>
      <c r="W193" s="327"/>
      <c r="X193" s="327"/>
      <c r="Y193" s="327"/>
    </row>
    <row r="194" spans="3:25">
      <c r="C194" s="327"/>
      <c r="D194" s="327"/>
      <c r="E194" s="327"/>
      <c r="F194" s="327"/>
      <c r="G194" s="327"/>
      <c r="H194" s="327"/>
      <c r="I194" s="327"/>
      <c r="J194" s="327"/>
      <c r="K194" s="327"/>
      <c r="L194" s="327"/>
      <c r="M194" s="327"/>
      <c r="N194" s="327"/>
      <c r="O194" s="327"/>
      <c r="P194" s="327"/>
      <c r="Q194" s="327"/>
      <c r="R194" s="327"/>
      <c r="S194" s="327"/>
      <c r="T194" s="327"/>
      <c r="U194" s="327"/>
      <c r="V194" s="327"/>
      <c r="W194" s="327"/>
      <c r="X194" s="327"/>
      <c r="Y194" s="327"/>
    </row>
    <row r="195" spans="3:25">
      <c r="C195" s="327"/>
      <c r="D195" s="327"/>
      <c r="E195" s="327"/>
      <c r="F195" s="327"/>
      <c r="G195" s="327"/>
      <c r="H195" s="327"/>
      <c r="I195" s="327"/>
      <c r="J195" s="327"/>
      <c r="K195" s="327"/>
      <c r="L195" s="327"/>
      <c r="M195" s="327"/>
      <c r="N195" s="327"/>
      <c r="O195" s="327"/>
      <c r="P195" s="327"/>
      <c r="Q195" s="327"/>
      <c r="R195" s="327"/>
      <c r="S195" s="327"/>
      <c r="T195" s="327"/>
      <c r="U195" s="327"/>
      <c r="V195" s="327"/>
      <c r="W195" s="327"/>
      <c r="X195" s="327"/>
      <c r="Y195" s="327"/>
    </row>
    <row r="196" spans="3:25">
      <c r="C196" s="327"/>
      <c r="D196" s="327"/>
      <c r="E196" s="327"/>
      <c r="F196" s="327"/>
      <c r="G196" s="327"/>
      <c r="H196" s="327"/>
      <c r="I196" s="327"/>
      <c r="J196" s="327"/>
      <c r="K196" s="327"/>
      <c r="L196" s="327"/>
      <c r="M196" s="327"/>
      <c r="N196" s="327"/>
      <c r="O196" s="327"/>
      <c r="P196" s="327"/>
      <c r="Q196" s="327"/>
      <c r="R196" s="327"/>
      <c r="S196" s="327"/>
      <c r="T196" s="327"/>
      <c r="U196" s="327"/>
      <c r="V196" s="327"/>
      <c r="W196" s="327"/>
      <c r="X196" s="327"/>
      <c r="Y196" s="327"/>
    </row>
    <row r="197" spans="3:25">
      <c r="C197" s="327"/>
      <c r="D197" s="327"/>
      <c r="E197" s="327"/>
      <c r="F197" s="327"/>
      <c r="G197" s="327"/>
      <c r="H197" s="327"/>
      <c r="I197" s="327"/>
      <c r="J197" s="327"/>
      <c r="K197" s="327"/>
      <c r="L197" s="327"/>
      <c r="M197" s="327"/>
      <c r="N197" s="327"/>
      <c r="O197" s="327"/>
      <c r="P197" s="327"/>
      <c r="Q197" s="327"/>
      <c r="R197" s="327"/>
      <c r="S197" s="327"/>
      <c r="T197" s="327"/>
      <c r="U197" s="327"/>
      <c r="V197" s="327"/>
      <c r="W197" s="327"/>
      <c r="X197" s="327"/>
      <c r="Y197" s="327"/>
    </row>
    <row r="198" spans="3:25">
      <c r="C198" s="327"/>
      <c r="D198" s="327"/>
      <c r="E198" s="327"/>
      <c r="F198" s="327"/>
      <c r="G198" s="327"/>
      <c r="H198" s="327"/>
      <c r="I198" s="327"/>
      <c r="J198" s="327"/>
      <c r="K198" s="327"/>
      <c r="L198" s="327"/>
      <c r="M198" s="327"/>
      <c r="N198" s="327"/>
      <c r="O198" s="327"/>
      <c r="P198" s="327"/>
      <c r="Q198" s="327"/>
      <c r="R198" s="327"/>
      <c r="S198" s="327"/>
      <c r="T198" s="327"/>
      <c r="U198" s="327"/>
      <c r="V198" s="327"/>
      <c r="W198" s="327"/>
      <c r="X198" s="327"/>
      <c r="Y198" s="327"/>
    </row>
    <row r="199" spans="3:25">
      <c r="C199" s="327"/>
      <c r="D199" s="327"/>
      <c r="E199" s="327"/>
      <c r="F199" s="327"/>
      <c r="G199" s="327"/>
      <c r="H199" s="327"/>
      <c r="I199" s="327"/>
      <c r="J199" s="327"/>
      <c r="K199" s="327"/>
      <c r="L199" s="327"/>
      <c r="M199" s="327"/>
      <c r="N199" s="327"/>
      <c r="O199" s="327"/>
      <c r="P199" s="327"/>
      <c r="Q199" s="327"/>
      <c r="R199" s="327"/>
      <c r="S199" s="327"/>
      <c r="T199" s="327"/>
      <c r="U199" s="327"/>
      <c r="V199" s="327"/>
      <c r="W199" s="327"/>
      <c r="X199" s="327"/>
      <c r="Y199" s="327"/>
    </row>
    <row r="200" spans="3:25">
      <c r="C200" s="327"/>
      <c r="D200" s="327"/>
      <c r="E200" s="327"/>
      <c r="F200" s="327"/>
      <c r="G200" s="327"/>
      <c r="H200" s="327"/>
      <c r="I200" s="327"/>
      <c r="J200" s="327"/>
      <c r="K200" s="327"/>
      <c r="L200" s="327"/>
      <c r="M200" s="327"/>
      <c r="N200" s="327"/>
      <c r="O200" s="327"/>
      <c r="P200" s="327"/>
      <c r="Q200" s="327"/>
      <c r="R200" s="327"/>
      <c r="S200" s="327"/>
      <c r="T200" s="327"/>
      <c r="U200" s="327"/>
      <c r="V200" s="327"/>
      <c r="W200" s="327"/>
      <c r="X200" s="327"/>
      <c r="Y200" s="327"/>
    </row>
    <row r="201" spans="3:25">
      <c r="C201" s="327"/>
      <c r="D201" s="327"/>
      <c r="E201" s="327"/>
      <c r="F201" s="327"/>
      <c r="G201" s="327"/>
      <c r="H201" s="327"/>
      <c r="I201" s="327"/>
      <c r="J201" s="327"/>
      <c r="K201" s="327"/>
      <c r="L201" s="327"/>
      <c r="M201" s="327"/>
      <c r="N201" s="327"/>
      <c r="O201" s="327"/>
      <c r="P201" s="327"/>
      <c r="Q201" s="327"/>
      <c r="R201" s="327"/>
      <c r="S201" s="327"/>
      <c r="T201" s="327"/>
      <c r="U201" s="327"/>
      <c r="V201" s="327"/>
      <c r="W201" s="327"/>
      <c r="X201" s="327"/>
      <c r="Y201" s="327"/>
    </row>
    <row r="202" spans="3:25">
      <c r="C202" s="327"/>
      <c r="D202" s="327"/>
      <c r="E202" s="327"/>
      <c r="F202" s="327"/>
      <c r="G202" s="327"/>
      <c r="H202" s="327"/>
      <c r="I202" s="327"/>
      <c r="J202" s="327"/>
      <c r="K202" s="327"/>
      <c r="L202" s="327"/>
      <c r="M202" s="327"/>
      <c r="N202" s="327"/>
      <c r="O202" s="327"/>
      <c r="P202" s="327"/>
      <c r="Q202" s="327"/>
      <c r="R202" s="327"/>
      <c r="S202" s="327"/>
      <c r="T202" s="327"/>
      <c r="U202" s="327"/>
      <c r="V202" s="327"/>
      <c r="W202" s="327"/>
      <c r="X202" s="327"/>
      <c r="Y202" s="327"/>
    </row>
    <row r="203" spans="3:25">
      <c r="C203" s="327"/>
      <c r="D203" s="327"/>
      <c r="E203" s="327"/>
      <c r="F203" s="327"/>
      <c r="G203" s="327"/>
      <c r="H203" s="327"/>
      <c r="I203" s="327"/>
      <c r="J203" s="327"/>
      <c r="K203" s="327"/>
      <c r="L203" s="327"/>
      <c r="M203" s="327"/>
      <c r="N203" s="327"/>
      <c r="O203" s="327"/>
      <c r="P203" s="327"/>
      <c r="Q203" s="327"/>
      <c r="R203" s="327"/>
      <c r="S203" s="327"/>
      <c r="T203" s="327"/>
      <c r="U203" s="327"/>
      <c r="V203" s="327"/>
      <c r="W203" s="327"/>
      <c r="X203" s="327"/>
      <c r="Y203" s="327"/>
    </row>
    <row r="204" spans="3:25">
      <c r="C204" s="327"/>
      <c r="D204" s="327"/>
      <c r="E204" s="327"/>
      <c r="F204" s="327"/>
      <c r="G204" s="327"/>
      <c r="H204" s="327"/>
      <c r="I204" s="327"/>
      <c r="J204" s="327"/>
      <c r="K204" s="327"/>
      <c r="L204" s="327"/>
      <c r="M204" s="327"/>
      <c r="N204" s="327"/>
      <c r="O204" s="327"/>
      <c r="P204" s="327"/>
      <c r="Q204" s="327"/>
      <c r="R204" s="327"/>
      <c r="S204" s="327"/>
      <c r="T204" s="327"/>
      <c r="U204" s="327"/>
      <c r="V204" s="327"/>
      <c r="W204" s="327"/>
      <c r="X204" s="327"/>
      <c r="Y204" s="327"/>
    </row>
    <row r="205" spans="3:25">
      <c r="C205" s="327"/>
      <c r="D205" s="327"/>
      <c r="E205" s="327"/>
      <c r="F205" s="327"/>
      <c r="G205" s="327"/>
      <c r="H205" s="327"/>
      <c r="I205" s="327"/>
      <c r="J205" s="327"/>
      <c r="K205" s="327"/>
      <c r="L205" s="327"/>
      <c r="M205" s="327"/>
      <c r="N205" s="327"/>
      <c r="O205" s="327"/>
      <c r="P205" s="327"/>
      <c r="Q205" s="327"/>
      <c r="R205" s="327"/>
      <c r="S205" s="327"/>
      <c r="T205" s="327"/>
      <c r="U205" s="327"/>
      <c r="V205" s="327"/>
      <c r="W205" s="327"/>
      <c r="X205" s="327"/>
      <c r="Y205" s="327"/>
    </row>
    <row r="206" spans="3:25">
      <c r="C206" s="327"/>
      <c r="D206" s="327"/>
      <c r="E206" s="327"/>
      <c r="F206" s="327"/>
      <c r="G206" s="327"/>
      <c r="H206" s="327"/>
      <c r="I206" s="327"/>
      <c r="J206" s="327"/>
      <c r="K206" s="327"/>
      <c r="L206" s="327"/>
      <c r="M206" s="327"/>
      <c r="N206" s="327"/>
      <c r="O206" s="327"/>
      <c r="P206" s="327"/>
      <c r="Q206" s="327"/>
      <c r="R206" s="327"/>
      <c r="S206" s="327"/>
      <c r="T206" s="327"/>
      <c r="U206" s="327"/>
      <c r="V206" s="327"/>
      <c r="W206" s="327"/>
      <c r="X206" s="327"/>
      <c r="Y206" s="327"/>
    </row>
    <row r="207" spans="3:25">
      <c r="C207" s="327"/>
      <c r="D207" s="327"/>
      <c r="E207" s="327"/>
      <c r="F207" s="327"/>
      <c r="G207" s="327"/>
      <c r="H207" s="327"/>
      <c r="I207" s="327"/>
      <c r="J207" s="327"/>
      <c r="K207" s="327"/>
      <c r="L207" s="327"/>
      <c r="M207" s="327"/>
      <c r="N207" s="327"/>
      <c r="O207" s="327"/>
      <c r="P207" s="327"/>
      <c r="Q207" s="327"/>
      <c r="R207" s="327"/>
      <c r="S207" s="327"/>
      <c r="T207" s="327"/>
      <c r="U207" s="327"/>
      <c r="V207" s="327"/>
      <c r="W207" s="327"/>
      <c r="X207" s="327"/>
      <c r="Y207" s="327"/>
    </row>
    <row r="208" spans="3:25">
      <c r="C208" s="327"/>
      <c r="D208" s="327"/>
      <c r="E208" s="327"/>
      <c r="F208" s="327"/>
      <c r="G208" s="327"/>
      <c r="H208" s="327"/>
      <c r="I208" s="327"/>
      <c r="J208" s="327"/>
      <c r="K208" s="327"/>
      <c r="L208" s="327"/>
      <c r="M208" s="327"/>
      <c r="N208" s="327"/>
      <c r="O208" s="327"/>
      <c r="P208" s="327"/>
      <c r="Q208" s="327"/>
      <c r="R208" s="327"/>
      <c r="S208" s="327"/>
      <c r="T208" s="327"/>
      <c r="U208" s="327"/>
      <c r="V208" s="327"/>
      <c r="W208" s="327"/>
      <c r="X208" s="327"/>
      <c r="Y208" s="327"/>
    </row>
    <row r="209" spans="3:25">
      <c r="C209" s="327"/>
      <c r="D209" s="327"/>
      <c r="E209" s="327"/>
      <c r="F209" s="327"/>
      <c r="G209" s="327"/>
      <c r="H209" s="327"/>
      <c r="I209" s="327"/>
      <c r="J209" s="327"/>
      <c r="K209" s="327"/>
      <c r="L209" s="327"/>
      <c r="M209" s="327"/>
      <c r="N209" s="327"/>
      <c r="O209" s="327"/>
      <c r="P209" s="327"/>
      <c r="Q209" s="327"/>
      <c r="R209" s="327"/>
      <c r="S209" s="327"/>
      <c r="T209" s="327"/>
      <c r="U209" s="327"/>
      <c r="V209" s="327"/>
      <c r="W209" s="327"/>
      <c r="X209" s="327"/>
      <c r="Y209" s="327"/>
    </row>
    <row r="210" spans="3:25">
      <c r="C210" s="327"/>
      <c r="D210" s="327"/>
      <c r="E210" s="327"/>
      <c r="F210" s="327"/>
      <c r="G210" s="327"/>
      <c r="H210" s="327"/>
      <c r="I210" s="327"/>
      <c r="J210" s="327"/>
      <c r="K210" s="327"/>
      <c r="L210" s="327"/>
      <c r="M210" s="327"/>
      <c r="N210" s="327"/>
      <c r="O210" s="327"/>
      <c r="P210" s="327"/>
      <c r="Q210" s="327"/>
      <c r="R210" s="327"/>
      <c r="S210" s="327"/>
      <c r="T210" s="327"/>
      <c r="U210" s="327"/>
      <c r="V210" s="327"/>
      <c r="W210" s="327"/>
      <c r="X210" s="327"/>
      <c r="Y210" s="327"/>
    </row>
    <row r="211" spans="3:25">
      <c r="C211" s="327"/>
      <c r="D211" s="327"/>
      <c r="E211" s="327"/>
      <c r="F211" s="327"/>
      <c r="G211" s="327"/>
      <c r="H211" s="327"/>
      <c r="I211" s="327"/>
      <c r="J211" s="327"/>
      <c r="K211" s="327"/>
      <c r="L211" s="327"/>
      <c r="M211" s="327"/>
      <c r="N211" s="327"/>
      <c r="O211" s="327"/>
      <c r="P211" s="327"/>
      <c r="Q211" s="327"/>
      <c r="R211" s="327"/>
      <c r="S211" s="327"/>
      <c r="T211" s="327"/>
      <c r="U211" s="327"/>
      <c r="V211" s="327"/>
      <c r="W211" s="327"/>
      <c r="X211" s="327"/>
      <c r="Y211" s="327"/>
    </row>
    <row r="212" spans="3:25">
      <c r="C212" s="327"/>
      <c r="D212" s="327"/>
      <c r="E212" s="327"/>
      <c r="F212" s="327"/>
      <c r="G212" s="327"/>
      <c r="H212" s="327"/>
      <c r="I212" s="327"/>
      <c r="J212" s="327"/>
      <c r="K212" s="327"/>
      <c r="L212" s="327"/>
      <c r="M212" s="327"/>
      <c r="N212" s="327"/>
      <c r="O212" s="327"/>
      <c r="P212" s="327"/>
      <c r="Q212" s="327"/>
      <c r="R212" s="327"/>
      <c r="S212" s="327"/>
      <c r="T212" s="327"/>
      <c r="U212" s="327"/>
      <c r="V212" s="327"/>
      <c r="W212" s="327"/>
      <c r="X212" s="327"/>
      <c r="Y212" s="327"/>
    </row>
    <row r="213" spans="3:25">
      <c r="C213" s="327"/>
      <c r="D213" s="327"/>
      <c r="E213" s="327"/>
      <c r="F213" s="327"/>
      <c r="G213" s="327"/>
      <c r="H213" s="327"/>
      <c r="I213" s="327"/>
      <c r="J213" s="327"/>
      <c r="K213" s="327"/>
      <c r="L213" s="327"/>
      <c r="M213" s="327"/>
      <c r="N213" s="327"/>
      <c r="O213" s="327"/>
      <c r="P213" s="327"/>
      <c r="Q213" s="327"/>
      <c r="R213" s="327"/>
      <c r="S213" s="327"/>
      <c r="T213" s="327"/>
      <c r="U213" s="327"/>
      <c r="V213" s="327"/>
      <c r="W213" s="327"/>
      <c r="X213" s="327"/>
      <c r="Y213" s="327"/>
    </row>
    <row r="214" spans="3:25">
      <c r="C214" s="327"/>
      <c r="D214" s="327"/>
      <c r="E214" s="327"/>
      <c r="F214" s="327"/>
      <c r="G214" s="327"/>
      <c r="H214" s="327"/>
      <c r="I214" s="327"/>
      <c r="J214" s="327"/>
      <c r="K214" s="327"/>
      <c r="L214" s="327"/>
      <c r="M214" s="327"/>
      <c r="N214" s="327"/>
      <c r="O214" s="327"/>
      <c r="P214" s="327"/>
      <c r="Q214" s="327"/>
      <c r="R214" s="327"/>
      <c r="S214" s="327"/>
      <c r="T214" s="327"/>
      <c r="U214" s="327"/>
      <c r="V214" s="327"/>
      <c r="W214" s="327"/>
      <c r="X214" s="327"/>
      <c r="Y214" s="327"/>
    </row>
    <row r="215" spans="3:25">
      <c r="C215" s="327"/>
      <c r="D215" s="327"/>
      <c r="E215" s="327"/>
      <c r="F215" s="327"/>
      <c r="G215" s="327"/>
      <c r="H215" s="327"/>
      <c r="I215" s="327"/>
      <c r="J215" s="327"/>
      <c r="K215" s="327"/>
      <c r="L215" s="327"/>
      <c r="M215" s="327"/>
      <c r="N215" s="327"/>
      <c r="O215" s="327"/>
      <c r="P215" s="327"/>
      <c r="Q215" s="327"/>
      <c r="R215" s="327"/>
      <c r="S215" s="327"/>
      <c r="T215" s="327"/>
      <c r="U215" s="327"/>
      <c r="V215" s="327"/>
      <c r="W215" s="327"/>
      <c r="X215" s="327"/>
      <c r="Y215" s="327"/>
    </row>
    <row r="216" spans="3:25">
      <c r="C216" s="327"/>
      <c r="D216" s="327"/>
      <c r="E216" s="327"/>
      <c r="F216" s="327"/>
      <c r="G216" s="327"/>
      <c r="H216" s="327"/>
      <c r="I216" s="327"/>
      <c r="J216" s="327"/>
      <c r="K216" s="327"/>
      <c r="L216" s="327"/>
      <c r="M216" s="327"/>
      <c r="N216" s="327"/>
      <c r="O216" s="327"/>
      <c r="P216" s="327"/>
      <c r="Q216" s="327"/>
      <c r="R216" s="327"/>
      <c r="S216" s="327"/>
      <c r="T216" s="327"/>
      <c r="U216" s="327"/>
      <c r="V216" s="327"/>
      <c r="W216" s="327"/>
      <c r="X216" s="327"/>
      <c r="Y216" s="327"/>
    </row>
    <row r="217" spans="3:25">
      <c r="C217" s="327"/>
      <c r="D217" s="327"/>
      <c r="E217" s="327"/>
      <c r="F217" s="327"/>
      <c r="G217" s="327"/>
      <c r="H217" s="327"/>
      <c r="I217" s="327"/>
      <c r="J217" s="327"/>
      <c r="K217" s="327"/>
      <c r="L217" s="327"/>
      <c r="M217" s="327"/>
      <c r="N217" s="327"/>
      <c r="O217" s="327"/>
      <c r="P217" s="327"/>
      <c r="Q217" s="327"/>
      <c r="R217" s="327"/>
      <c r="S217" s="327"/>
      <c r="T217" s="327"/>
      <c r="U217" s="327"/>
      <c r="V217" s="327"/>
      <c r="W217" s="327"/>
      <c r="X217" s="327"/>
      <c r="Y217" s="327"/>
    </row>
    <row r="218" spans="3:25">
      <c r="C218" s="327"/>
      <c r="D218" s="327"/>
      <c r="E218" s="327"/>
      <c r="F218" s="327"/>
      <c r="G218" s="327"/>
      <c r="H218" s="327"/>
      <c r="I218" s="327"/>
      <c r="J218" s="327"/>
      <c r="K218" s="327"/>
      <c r="L218" s="327"/>
      <c r="M218" s="327"/>
      <c r="N218" s="327"/>
      <c r="O218" s="327"/>
      <c r="P218" s="327"/>
      <c r="Q218" s="327"/>
      <c r="R218" s="327"/>
      <c r="S218" s="327"/>
      <c r="T218" s="327"/>
      <c r="U218" s="327"/>
      <c r="V218" s="327"/>
      <c r="W218" s="327"/>
      <c r="X218" s="327"/>
      <c r="Y218" s="327"/>
    </row>
    <row r="219" spans="3:25">
      <c r="C219" s="327"/>
      <c r="D219" s="327"/>
      <c r="E219" s="327"/>
      <c r="F219" s="327"/>
      <c r="G219" s="327"/>
      <c r="H219" s="327"/>
      <c r="I219" s="327"/>
      <c r="J219" s="327"/>
      <c r="K219" s="327"/>
      <c r="L219" s="327"/>
      <c r="M219" s="327"/>
      <c r="N219" s="327"/>
      <c r="O219" s="327"/>
      <c r="P219" s="327"/>
      <c r="Q219" s="327"/>
      <c r="R219" s="327"/>
      <c r="S219" s="327"/>
      <c r="T219" s="327"/>
      <c r="U219" s="327"/>
      <c r="V219" s="327"/>
      <c r="W219" s="327"/>
      <c r="X219" s="327"/>
      <c r="Y219" s="327"/>
    </row>
    <row r="220" spans="3:25">
      <c r="C220" s="327"/>
      <c r="D220" s="327"/>
      <c r="E220" s="327"/>
      <c r="F220" s="327"/>
      <c r="G220" s="327"/>
      <c r="H220" s="327"/>
      <c r="I220" s="327"/>
      <c r="J220" s="327"/>
      <c r="K220" s="327"/>
      <c r="L220" s="327"/>
      <c r="M220" s="327"/>
      <c r="N220" s="327"/>
      <c r="O220" s="327"/>
      <c r="P220" s="327"/>
      <c r="Q220" s="327"/>
      <c r="R220" s="327"/>
      <c r="S220" s="327"/>
      <c r="T220" s="327"/>
      <c r="U220" s="327"/>
      <c r="V220" s="327"/>
      <c r="W220" s="327"/>
      <c r="X220" s="327"/>
      <c r="Y220" s="327"/>
    </row>
    <row r="221" spans="3:25">
      <c r="C221" s="327"/>
      <c r="D221" s="327"/>
      <c r="E221" s="327"/>
      <c r="F221" s="327"/>
      <c r="G221" s="327"/>
      <c r="H221" s="327"/>
      <c r="I221" s="327"/>
      <c r="J221" s="327"/>
      <c r="K221" s="327"/>
      <c r="L221" s="327"/>
      <c r="M221" s="327"/>
      <c r="N221" s="327"/>
      <c r="O221" s="327"/>
      <c r="P221" s="327"/>
      <c r="Q221" s="327"/>
      <c r="R221" s="327"/>
      <c r="S221" s="327"/>
      <c r="T221" s="327"/>
      <c r="U221" s="327"/>
      <c r="V221" s="327"/>
      <c r="W221" s="327"/>
      <c r="X221" s="327"/>
      <c r="Y221" s="327"/>
    </row>
    <row r="222" spans="3:25">
      <c r="C222" s="327"/>
      <c r="D222" s="327"/>
      <c r="E222" s="327"/>
      <c r="F222" s="327"/>
      <c r="G222" s="327"/>
      <c r="H222" s="327"/>
      <c r="I222" s="327"/>
      <c r="J222" s="327"/>
      <c r="K222" s="327"/>
      <c r="L222" s="327"/>
      <c r="M222" s="327"/>
      <c r="N222" s="327"/>
      <c r="O222" s="327"/>
      <c r="P222" s="327"/>
      <c r="Q222" s="327"/>
      <c r="R222" s="327"/>
      <c r="S222" s="327"/>
      <c r="T222" s="327"/>
      <c r="U222" s="327"/>
      <c r="V222" s="327"/>
      <c r="W222" s="327"/>
      <c r="X222" s="327"/>
      <c r="Y222" s="327"/>
    </row>
    <row r="223" spans="3:25">
      <c r="C223" s="327"/>
      <c r="D223" s="327"/>
      <c r="E223" s="327"/>
      <c r="F223" s="327"/>
      <c r="G223" s="327"/>
      <c r="H223" s="327"/>
      <c r="I223" s="327"/>
      <c r="J223" s="327"/>
      <c r="K223" s="327"/>
      <c r="L223" s="327"/>
      <c r="M223" s="327"/>
      <c r="N223" s="327"/>
      <c r="O223" s="327"/>
      <c r="P223" s="327"/>
      <c r="Q223" s="327"/>
      <c r="R223" s="327"/>
      <c r="S223" s="327"/>
      <c r="T223" s="327"/>
      <c r="U223" s="327"/>
      <c r="V223" s="327"/>
      <c r="W223" s="327"/>
      <c r="X223" s="327"/>
      <c r="Y223" s="327"/>
    </row>
    <row r="224" spans="3:25">
      <c r="C224" s="327"/>
      <c r="D224" s="327"/>
      <c r="E224" s="327"/>
      <c r="F224" s="327"/>
      <c r="G224" s="327"/>
      <c r="H224" s="327"/>
      <c r="I224" s="327"/>
      <c r="J224" s="327"/>
      <c r="K224" s="327"/>
      <c r="L224" s="327"/>
      <c r="M224" s="327"/>
      <c r="N224" s="327"/>
      <c r="O224" s="327"/>
      <c r="P224" s="327"/>
      <c r="Q224" s="327"/>
      <c r="R224" s="327"/>
      <c r="S224" s="327"/>
      <c r="T224" s="327"/>
      <c r="U224" s="327"/>
      <c r="V224" s="327"/>
      <c r="W224" s="327"/>
      <c r="X224" s="327"/>
      <c r="Y224" s="327"/>
    </row>
    <row r="225" spans="3:25">
      <c r="C225" s="327"/>
      <c r="D225" s="327"/>
      <c r="E225" s="327"/>
      <c r="F225" s="327"/>
      <c r="G225" s="327"/>
      <c r="H225" s="327"/>
      <c r="I225" s="327"/>
      <c r="J225" s="327"/>
      <c r="K225" s="327"/>
      <c r="L225" s="327"/>
      <c r="M225" s="327"/>
      <c r="N225" s="327"/>
      <c r="O225" s="327"/>
      <c r="P225" s="327"/>
      <c r="Q225" s="327"/>
      <c r="R225" s="327"/>
      <c r="S225" s="327"/>
      <c r="T225" s="327"/>
      <c r="U225" s="327"/>
      <c r="V225" s="327"/>
      <c r="W225" s="327"/>
      <c r="X225" s="327"/>
      <c r="Y225" s="327"/>
    </row>
    <row r="226" spans="3:25">
      <c r="C226" s="327"/>
      <c r="D226" s="327"/>
      <c r="E226" s="327"/>
      <c r="F226" s="327"/>
      <c r="G226" s="327"/>
      <c r="H226" s="327"/>
      <c r="I226" s="327"/>
      <c r="J226" s="327"/>
      <c r="K226" s="327"/>
      <c r="L226" s="327"/>
      <c r="M226" s="327"/>
      <c r="N226" s="327"/>
      <c r="O226" s="327"/>
      <c r="P226" s="327"/>
      <c r="Q226" s="327"/>
      <c r="R226" s="327"/>
      <c r="S226" s="327"/>
      <c r="T226" s="327"/>
      <c r="U226" s="327"/>
      <c r="V226" s="327"/>
      <c r="W226" s="327"/>
      <c r="X226" s="327"/>
      <c r="Y226" s="327"/>
    </row>
    <row r="227" spans="3:25">
      <c r="C227" s="327"/>
      <c r="D227" s="327"/>
      <c r="E227" s="327"/>
      <c r="F227" s="327"/>
      <c r="G227" s="327"/>
      <c r="H227" s="327"/>
      <c r="I227" s="327"/>
      <c r="J227" s="327"/>
      <c r="K227" s="327"/>
      <c r="L227" s="327"/>
      <c r="M227" s="327"/>
      <c r="N227" s="327"/>
      <c r="O227" s="327"/>
      <c r="P227" s="327"/>
      <c r="Q227" s="327"/>
      <c r="R227" s="327"/>
      <c r="S227" s="327"/>
      <c r="T227" s="327"/>
      <c r="U227" s="327"/>
      <c r="V227" s="327"/>
      <c r="W227" s="327"/>
      <c r="X227" s="327"/>
      <c r="Y227" s="327"/>
    </row>
    <row r="228" spans="3:25">
      <c r="C228" s="327"/>
      <c r="D228" s="327"/>
      <c r="E228" s="327"/>
      <c r="F228" s="327"/>
      <c r="G228" s="327"/>
      <c r="H228" s="327"/>
      <c r="I228" s="327"/>
      <c r="J228" s="327"/>
      <c r="K228" s="327"/>
      <c r="L228" s="327"/>
      <c r="M228" s="327"/>
      <c r="N228" s="327"/>
      <c r="O228" s="327"/>
      <c r="P228" s="327"/>
      <c r="Q228" s="327"/>
      <c r="R228" s="327"/>
      <c r="S228" s="327"/>
      <c r="T228" s="327"/>
      <c r="U228" s="327"/>
      <c r="V228" s="327"/>
      <c r="W228" s="327"/>
      <c r="X228" s="327"/>
      <c r="Y228" s="327"/>
    </row>
    <row r="229" spans="3:25">
      <c r="C229" s="327"/>
      <c r="D229" s="327"/>
      <c r="E229" s="327"/>
      <c r="F229" s="327"/>
      <c r="G229" s="327"/>
      <c r="H229" s="327"/>
      <c r="I229" s="327"/>
      <c r="J229" s="327"/>
      <c r="K229" s="327"/>
      <c r="L229" s="327"/>
      <c r="M229" s="327"/>
      <c r="N229" s="327"/>
      <c r="O229" s="327"/>
      <c r="P229" s="327"/>
      <c r="Q229" s="327"/>
      <c r="R229" s="327"/>
      <c r="S229" s="327"/>
      <c r="T229" s="327"/>
      <c r="U229" s="327"/>
      <c r="V229" s="327"/>
      <c r="W229" s="327"/>
      <c r="X229" s="327"/>
      <c r="Y229" s="327"/>
    </row>
    <row r="230" spans="3:25">
      <c r="C230" s="327"/>
      <c r="D230" s="327"/>
      <c r="E230" s="327"/>
      <c r="F230" s="327"/>
      <c r="G230" s="327"/>
      <c r="H230" s="327"/>
      <c r="I230" s="327"/>
      <c r="J230" s="327"/>
      <c r="K230" s="327"/>
      <c r="L230" s="327"/>
      <c r="M230" s="327"/>
      <c r="N230" s="327"/>
      <c r="O230" s="327"/>
      <c r="P230" s="327"/>
      <c r="Q230" s="327"/>
      <c r="R230" s="327"/>
      <c r="S230" s="327"/>
      <c r="T230" s="327"/>
      <c r="U230" s="327"/>
      <c r="V230" s="327"/>
      <c r="W230" s="327"/>
      <c r="X230" s="327"/>
      <c r="Y230" s="327"/>
    </row>
    <row r="231" spans="3:25">
      <c r="C231" s="327"/>
      <c r="D231" s="327"/>
      <c r="E231" s="327"/>
      <c r="F231" s="327"/>
      <c r="G231" s="327"/>
      <c r="H231" s="327"/>
      <c r="I231" s="327"/>
      <c r="J231" s="327"/>
      <c r="K231" s="327"/>
      <c r="L231" s="327"/>
      <c r="M231" s="327"/>
      <c r="N231" s="327"/>
      <c r="O231" s="327"/>
      <c r="P231" s="327"/>
      <c r="Q231" s="327"/>
      <c r="R231" s="327"/>
      <c r="S231" s="327"/>
      <c r="T231" s="327"/>
      <c r="U231" s="327"/>
      <c r="V231" s="327"/>
      <c r="W231" s="327"/>
      <c r="X231" s="327"/>
      <c r="Y231" s="327"/>
    </row>
    <row r="232" spans="3:25">
      <c r="C232" s="327"/>
      <c r="D232" s="327"/>
      <c r="E232" s="327"/>
      <c r="F232" s="327"/>
      <c r="G232" s="327"/>
      <c r="H232" s="327"/>
      <c r="I232" s="327"/>
      <c r="J232" s="327"/>
      <c r="K232" s="327"/>
      <c r="L232" s="327"/>
      <c r="M232" s="327"/>
      <c r="N232" s="327"/>
      <c r="O232" s="327"/>
      <c r="P232" s="327"/>
      <c r="Q232" s="327"/>
      <c r="R232" s="327"/>
      <c r="S232" s="327"/>
      <c r="T232" s="327"/>
      <c r="U232" s="327"/>
      <c r="V232" s="327"/>
      <c r="W232" s="327"/>
      <c r="X232" s="327"/>
      <c r="Y232" s="327"/>
    </row>
    <row r="233" spans="3:25">
      <c r="C233" s="327"/>
      <c r="D233" s="327"/>
      <c r="E233" s="327"/>
      <c r="F233" s="327"/>
      <c r="G233" s="327"/>
      <c r="H233" s="327"/>
      <c r="I233" s="327"/>
      <c r="J233" s="327"/>
      <c r="K233" s="327"/>
      <c r="L233" s="327"/>
      <c r="M233" s="327"/>
      <c r="N233" s="327"/>
      <c r="O233" s="327"/>
      <c r="P233" s="327"/>
      <c r="Q233" s="327"/>
      <c r="R233" s="327"/>
      <c r="S233" s="327"/>
      <c r="T233" s="327"/>
      <c r="U233" s="327"/>
      <c r="V233" s="327"/>
      <c r="W233" s="327"/>
      <c r="X233" s="327"/>
      <c r="Y233" s="327"/>
    </row>
    <row r="234" spans="3:25">
      <c r="C234" s="327"/>
      <c r="D234" s="327"/>
      <c r="E234" s="327"/>
      <c r="F234" s="327"/>
      <c r="G234" s="327"/>
      <c r="H234" s="327"/>
      <c r="I234" s="327"/>
      <c r="J234" s="327"/>
      <c r="K234" s="327"/>
      <c r="L234" s="327"/>
      <c r="M234" s="327"/>
      <c r="N234" s="327"/>
      <c r="O234" s="327"/>
      <c r="P234" s="327"/>
      <c r="Q234" s="327"/>
      <c r="R234" s="327"/>
      <c r="S234" s="327"/>
      <c r="T234" s="327"/>
      <c r="U234" s="327"/>
      <c r="V234" s="327"/>
      <c r="W234" s="327"/>
      <c r="X234" s="327"/>
      <c r="Y234" s="327"/>
    </row>
    <row r="235" spans="3:25">
      <c r="C235" s="327"/>
      <c r="D235" s="327"/>
      <c r="E235" s="327"/>
      <c r="F235" s="327"/>
      <c r="G235" s="327"/>
      <c r="H235" s="327"/>
      <c r="I235" s="327"/>
      <c r="J235" s="327"/>
      <c r="K235" s="327"/>
      <c r="L235" s="327"/>
      <c r="M235" s="327"/>
      <c r="N235" s="327"/>
      <c r="O235" s="327"/>
      <c r="P235" s="327"/>
      <c r="Q235" s="327"/>
      <c r="R235" s="327"/>
      <c r="S235" s="327"/>
      <c r="T235" s="327"/>
      <c r="U235" s="327"/>
      <c r="V235" s="327"/>
      <c r="W235" s="327"/>
      <c r="X235" s="327"/>
      <c r="Y235" s="327"/>
    </row>
    <row r="236" spans="3:25">
      <c r="C236" s="327"/>
      <c r="D236" s="327"/>
      <c r="E236" s="327"/>
      <c r="F236" s="327"/>
      <c r="G236" s="327"/>
      <c r="H236" s="327"/>
      <c r="I236" s="327"/>
      <c r="J236" s="327"/>
      <c r="K236" s="327"/>
      <c r="L236" s="327"/>
      <c r="M236" s="327"/>
      <c r="N236" s="327"/>
      <c r="O236" s="327"/>
      <c r="P236" s="327"/>
      <c r="Q236" s="327"/>
      <c r="R236" s="327"/>
      <c r="S236" s="327"/>
      <c r="T236" s="327"/>
      <c r="U236" s="327"/>
      <c r="V236" s="327"/>
      <c r="W236" s="327"/>
      <c r="X236" s="327"/>
      <c r="Y236" s="327"/>
    </row>
    <row r="237" spans="3:25">
      <c r="C237" s="327"/>
      <c r="D237" s="327"/>
      <c r="E237" s="327"/>
      <c r="F237" s="327"/>
      <c r="G237" s="327"/>
      <c r="H237" s="327"/>
      <c r="I237" s="327"/>
      <c r="J237" s="327"/>
      <c r="K237" s="327"/>
      <c r="L237" s="327"/>
      <c r="M237" s="327"/>
      <c r="N237" s="327"/>
      <c r="O237" s="327"/>
      <c r="P237" s="327"/>
      <c r="Q237" s="327"/>
      <c r="R237" s="327"/>
      <c r="S237" s="327"/>
      <c r="T237" s="327"/>
      <c r="U237" s="327"/>
      <c r="V237" s="327"/>
      <c r="W237" s="327"/>
      <c r="X237" s="327"/>
      <c r="Y237" s="327"/>
    </row>
    <row r="238" spans="3:25">
      <c r="C238" s="327"/>
      <c r="D238" s="327"/>
      <c r="E238" s="327"/>
      <c r="F238" s="327"/>
      <c r="G238" s="327"/>
      <c r="H238" s="327"/>
      <c r="I238" s="327"/>
      <c r="J238" s="327"/>
      <c r="K238" s="327"/>
      <c r="L238" s="327"/>
      <c r="M238" s="327"/>
      <c r="N238" s="327"/>
      <c r="O238" s="327"/>
      <c r="P238" s="327"/>
      <c r="Q238" s="327"/>
      <c r="R238" s="327"/>
      <c r="S238" s="327"/>
      <c r="T238" s="327"/>
      <c r="U238" s="327"/>
      <c r="V238" s="327"/>
      <c r="W238" s="327"/>
      <c r="X238" s="327"/>
      <c r="Y238" s="327"/>
    </row>
    <row r="239" spans="3:25">
      <c r="C239" s="327"/>
      <c r="D239" s="327"/>
      <c r="E239" s="327"/>
      <c r="F239" s="327"/>
      <c r="G239" s="327"/>
      <c r="H239" s="327"/>
      <c r="I239" s="327"/>
      <c r="J239" s="327"/>
      <c r="K239" s="327"/>
      <c r="L239" s="327"/>
      <c r="M239" s="327"/>
      <c r="N239" s="327"/>
      <c r="O239" s="327"/>
      <c r="P239" s="327"/>
      <c r="Q239" s="327"/>
      <c r="R239" s="327"/>
      <c r="S239" s="327"/>
      <c r="T239" s="327"/>
      <c r="U239" s="327"/>
      <c r="V239" s="327"/>
      <c r="W239" s="327"/>
      <c r="X239" s="327"/>
      <c r="Y239" s="327"/>
    </row>
    <row r="240" spans="3:25">
      <c r="C240" s="327"/>
      <c r="D240" s="327"/>
      <c r="E240" s="327"/>
      <c r="F240" s="327"/>
      <c r="G240" s="327"/>
      <c r="H240" s="327"/>
      <c r="I240" s="327"/>
      <c r="J240" s="327"/>
      <c r="K240" s="327"/>
      <c r="L240" s="327"/>
      <c r="M240" s="327"/>
      <c r="N240" s="327"/>
      <c r="O240" s="327"/>
      <c r="P240" s="327"/>
      <c r="Q240" s="327"/>
      <c r="R240" s="327"/>
      <c r="S240" s="327"/>
      <c r="T240" s="327"/>
      <c r="U240" s="327"/>
      <c r="V240" s="327"/>
      <c r="W240" s="327"/>
      <c r="X240" s="327"/>
      <c r="Y240" s="327"/>
    </row>
    <row r="241" spans="3:25">
      <c r="C241" s="327"/>
      <c r="D241" s="327"/>
      <c r="E241" s="327"/>
      <c r="F241" s="327"/>
      <c r="G241" s="327"/>
      <c r="H241" s="327"/>
      <c r="I241" s="327"/>
      <c r="J241" s="327"/>
      <c r="K241" s="327"/>
      <c r="L241" s="327"/>
      <c r="M241" s="327"/>
      <c r="N241" s="327"/>
      <c r="O241" s="327"/>
      <c r="P241" s="327"/>
      <c r="Q241" s="327"/>
      <c r="R241" s="327"/>
      <c r="S241" s="327"/>
      <c r="T241" s="327"/>
      <c r="U241" s="327"/>
      <c r="V241" s="327"/>
      <c r="W241" s="327"/>
      <c r="X241" s="327"/>
      <c r="Y241" s="327"/>
    </row>
    <row r="242" spans="3:25">
      <c r="C242" s="327"/>
      <c r="D242" s="327"/>
      <c r="E242" s="327"/>
      <c r="F242" s="327"/>
      <c r="G242" s="327"/>
      <c r="H242" s="327"/>
      <c r="I242" s="327"/>
      <c r="J242" s="327"/>
      <c r="K242" s="327"/>
      <c r="L242" s="327"/>
      <c r="M242" s="327"/>
      <c r="N242" s="327"/>
      <c r="O242" s="327"/>
      <c r="P242" s="327"/>
      <c r="Q242" s="327"/>
      <c r="R242" s="327"/>
      <c r="S242" s="327"/>
      <c r="T242" s="327"/>
      <c r="U242" s="327"/>
      <c r="V242" s="327"/>
      <c r="W242" s="327"/>
      <c r="X242" s="327"/>
      <c r="Y242" s="327"/>
    </row>
    <row r="243" spans="3:25">
      <c r="C243" s="327"/>
      <c r="D243" s="327"/>
      <c r="E243" s="327"/>
      <c r="F243" s="327"/>
      <c r="G243" s="327"/>
      <c r="H243" s="327"/>
      <c r="I243" s="327"/>
      <c r="J243" s="327"/>
      <c r="K243" s="327"/>
      <c r="L243" s="327"/>
      <c r="M243" s="327"/>
      <c r="N243" s="327"/>
      <c r="O243" s="327"/>
      <c r="P243" s="327"/>
      <c r="Q243" s="327"/>
      <c r="R243" s="327"/>
      <c r="S243" s="327"/>
      <c r="T243" s="327"/>
      <c r="U243" s="327"/>
      <c r="V243" s="327"/>
      <c r="W243" s="327"/>
      <c r="X243" s="327"/>
      <c r="Y243" s="327"/>
    </row>
    <row r="244" spans="3:25">
      <c r="C244" s="327"/>
      <c r="D244" s="327"/>
      <c r="E244" s="327"/>
      <c r="F244" s="327"/>
      <c r="G244" s="327"/>
      <c r="H244" s="327"/>
      <c r="I244" s="327"/>
      <c r="J244" s="327"/>
      <c r="K244" s="327"/>
      <c r="L244" s="327"/>
      <c r="M244" s="327"/>
      <c r="N244" s="327"/>
      <c r="O244" s="327"/>
      <c r="P244" s="327"/>
      <c r="Q244" s="327"/>
      <c r="R244" s="327"/>
      <c r="S244" s="327"/>
      <c r="T244" s="327"/>
      <c r="U244" s="327"/>
      <c r="V244" s="327"/>
      <c r="W244" s="327"/>
      <c r="X244" s="327"/>
      <c r="Y244" s="327"/>
    </row>
    <row r="245" spans="3:25">
      <c r="C245" s="327"/>
      <c r="D245" s="327"/>
      <c r="E245" s="327"/>
      <c r="F245" s="327"/>
      <c r="G245" s="327"/>
      <c r="H245" s="327"/>
      <c r="I245" s="327"/>
      <c r="J245" s="327"/>
      <c r="K245" s="327"/>
      <c r="L245" s="327"/>
      <c r="M245" s="327"/>
      <c r="N245" s="327"/>
      <c r="O245" s="327"/>
      <c r="P245" s="327"/>
      <c r="Q245" s="327"/>
      <c r="R245" s="327"/>
      <c r="S245" s="327"/>
      <c r="T245" s="327"/>
      <c r="U245" s="327"/>
      <c r="V245" s="327"/>
      <c r="W245" s="327"/>
      <c r="X245" s="327"/>
      <c r="Y245" s="327"/>
    </row>
    <row r="246" spans="3:25">
      <c r="C246" s="327"/>
      <c r="D246" s="327"/>
      <c r="E246" s="327"/>
      <c r="F246" s="327"/>
      <c r="G246" s="327"/>
      <c r="H246" s="327"/>
      <c r="I246" s="327"/>
      <c r="J246" s="327"/>
      <c r="K246" s="327"/>
      <c r="L246" s="327"/>
      <c r="M246" s="327"/>
      <c r="N246" s="327"/>
      <c r="O246" s="327"/>
      <c r="P246" s="327"/>
      <c r="Q246" s="327"/>
      <c r="R246" s="327"/>
      <c r="S246" s="327"/>
      <c r="T246" s="327"/>
      <c r="U246" s="327"/>
      <c r="V246" s="327"/>
      <c r="W246" s="327"/>
      <c r="X246" s="327"/>
      <c r="Y246" s="327"/>
    </row>
    <row r="247" spans="3:25">
      <c r="C247" s="327"/>
      <c r="D247" s="327"/>
      <c r="E247" s="327"/>
      <c r="F247" s="327"/>
      <c r="G247" s="327"/>
      <c r="H247" s="327"/>
      <c r="I247" s="327"/>
      <c r="J247" s="327"/>
      <c r="K247" s="327"/>
      <c r="L247" s="327"/>
      <c r="M247" s="327"/>
      <c r="N247" s="327"/>
      <c r="O247" s="327"/>
      <c r="P247" s="327"/>
      <c r="Q247" s="327"/>
      <c r="R247" s="327"/>
      <c r="S247" s="327"/>
      <c r="T247" s="327"/>
      <c r="U247" s="327"/>
      <c r="V247" s="327"/>
      <c r="W247" s="327"/>
      <c r="X247" s="327"/>
      <c r="Y247" s="327"/>
    </row>
    <row r="248" spans="3:25">
      <c r="C248" s="327"/>
      <c r="D248" s="327"/>
      <c r="E248" s="327"/>
      <c r="F248" s="327"/>
      <c r="G248" s="327"/>
      <c r="H248" s="327"/>
      <c r="I248" s="327"/>
      <c r="J248" s="327"/>
      <c r="K248" s="327"/>
      <c r="L248" s="327"/>
      <c r="M248" s="327"/>
      <c r="N248" s="327"/>
      <c r="O248" s="327"/>
      <c r="P248" s="327"/>
      <c r="Q248" s="327"/>
      <c r="R248" s="327"/>
      <c r="S248" s="327"/>
      <c r="T248" s="327"/>
      <c r="U248" s="327"/>
      <c r="V248" s="327"/>
      <c r="W248" s="327"/>
      <c r="X248" s="327"/>
      <c r="Y248" s="327"/>
    </row>
    <row r="249" spans="3:25">
      <c r="C249" s="327"/>
      <c r="D249" s="327"/>
      <c r="E249" s="327"/>
      <c r="F249" s="327"/>
      <c r="G249" s="327"/>
      <c r="H249" s="327"/>
      <c r="I249" s="327"/>
      <c r="J249" s="327"/>
      <c r="K249" s="327"/>
      <c r="L249" s="327"/>
      <c r="M249" s="327"/>
      <c r="N249" s="327"/>
      <c r="O249" s="327"/>
      <c r="P249" s="327"/>
      <c r="Q249" s="327"/>
      <c r="R249" s="327"/>
      <c r="S249" s="327"/>
      <c r="T249" s="327"/>
      <c r="U249" s="327"/>
      <c r="V249" s="327"/>
      <c r="W249" s="327"/>
      <c r="X249" s="327"/>
      <c r="Y249" s="327"/>
    </row>
    <row r="250" spans="3:25">
      <c r="C250" s="327"/>
      <c r="D250" s="327"/>
      <c r="E250" s="327"/>
      <c r="F250" s="327"/>
      <c r="G250" s="327"/>
      <c r="H250" s="327"/>
      <c r="I250" s="327"/>
      <c r="J250" s="327"/>
      <c r="K250" s="327"/>
      <c r="L250" s="327"/>
      <c r="M250" s="327"/>
      <c r="N250" s="327"/>
      <c r="O250" s="327"/>
      <c r="P250" s="327"/>
      <c r="Q250" s="327"/>
      <c r="R250" s="327"/>
      <c r="S250" s="327"/>
      <c r="T250" s="327"/>
      <c r="U250" s="327"/>
      <c r="V250" s="327"/>
      <c r="W250" s="327"/>
      <c r="X250" s="327"/>
      <c r="Y250" s="327"/>
    </row>
    <row r="251" spans="3:25">
      <c r="C251" s="327"/>
      <c r="D251" s="327"/>
      <c r="E251" s="327"/>
      <c r="F251" s="327"/>
      <c r="G251" s="327"/>
      <c r="H251" s="327"/>
      <c r="I251" s="327"/>
      <c r="J251" s="327"/>
      <c r="K251" s="327"/>
      <c r="L251" s="327"/>
      <c r="M251" s="327"/>
      <c r="N251" s="327"/>
      <c r="O251" s="327"/>
      <c r="P251" s="327"/>
      <c r="Q251" s="327"/>
      <c r="R251" s="327"/>
      <c r="S251" s="327"/>
      <c r="T251" s="327"/>
      <c r="U251" s="327"/>
      <c r="V251" s="327"/>
      <c r="W251" s="327"/>
      <c r="X251" s="327"/>
      <c r="Y251" s="327"/>
    </row>
    <row r="252" spans="3:25">
      <c r="C252" s="327"/>
      <c r="D252" s="327"/>
      <c r="E252" s="327"/>
      <c r="F252" s="327"/>
      <c r="G252" s="327"/>
      <c r="H252" s="327"/>
      <c r="I252" s="327"/>
      <c r="J252" s="327"/>
      <c r="K252" s="327"/>
      <c r="L252" s="327"/>
      <c r="M252" s="327"/>
      <c r="N252" s="327"/>
      <c r="O252" s="327"/>
      <c r="P252" s="327"/>
      <c r="Q252" s="327"/>
      <c r="R252" s="327"/>
      <c r="S252" s="327"/>
      <c r="T252" s="327"/>
      <c r="U252" s="327"/>
      <c r="V252" s="327"/>
      <c r="W252" s="327"/>
      <c r="X252" s="327"/>
      <c r="Y252" s="327"/>
    </row>
    <row r="253" spans="3:25">
      <c r="C253" s="327"/>
      <c r="D253" s="327"/>
      <c r="E253" s="327"/>
      <c r="F253" s="327"/>
      <c r="G253" s="327"/>
      <c r="H253" s="327"/>
      <c r="I253" s="327"/>
      <c r="J253" s="327"/>
      <c r="K253" s="327"/>
      <c r="L253" s="327"/>
      <c r="M253" s="327"/>
      <c r="N253" s="327"/>
      <c r="O253" s="327"/>
      <c r="P253" s="327"/>
      <c r="Q253" s="327"/>
      <c r="R253" s="327"/>
      <c r="S253" s="327"/>
      <c r="T253" s="327"/>
      <c r="U253" s="327"/>
      <c r="V253" s="327"/>
      <c r="W253" s="327"/>
      <c r="X253" s="327"/>
      <c r="Y253" s="327"/>
    </row>
    <row r="254" spans="3:25">
      <c r="C254" s="327"/>
      <c r="D254" s="327"/>
      <c r="E254" s="327"/>
      <c r="F254" s="327"/>
      <c r="G254" s="327"/>
      <c r="H254" s="327"/>
      <c r="I254" s="327"/>
      <c r="J254" s="327"/>
      <c r="K254" s="327"/>
      <c r="L254" s="327"/>
      <c r="M254" s="327"/>
      <c r="N254" s="327"/>
      <c r="O254" s="327"/>
      <c r="P254" s="327"/>
      <c r="Q254" s="327"/>
      <c r="R254" s="327"/>
      <c r="S254" s="327"/>
      <c r="T254" s="327"/>
      <c r="U254" s="327"/>
      <c r="V254" s="327"/>
      <c r="W254" s="327"/>
      <c r="X254" s="327"/>
      <c r="Y254" s="327"/>
    </row>
    <row r="255" spans="3:25">
      <c r="C255" s="327"/>
      <c r="D255" s="327"/>
      <c r="E255" s="327"/>
      <c r="F255" s="327"/>
      <c r="G255" s="327"/>
      <c r="H255" s="327"/>
      <c r="I255" s="327"/>
      <c r="J255" s="327"/>
      <c r="K255" s="327"/>
      <c r="L255" s="327"/>
      <c r="M255" s="327"/>
      <c r="N255" s="327"/>
      <c r="O255" s="327"/>
      <c r="P255" s="327"/>
      <c r="Q255" s="327"/>
      <c r="R255" s="327"/>
      <c r="S255" s="327"/>
      <c r="T255" s="327"/>
      <c r="U255" s="327"/>
      <c r="V255" s="327"/>
      <c r="W255" s="327"/>
      <c r="X255" s="327"/>
      <c r="Y255" s="327"/>
    </row>
    <row r="256" spans="3:25">
      <c r="C256" s="327"/>
      <c r="D256" s="327"/>
      <c r="E256" s="327"/>
      <c r="F256" s="327"/>
      <c r="G256" s="327"/>
      <c r="H256" s="327"/>
      <c r="I256" s="327"/>
      <c r="J256" s="327"/>
      <c r="K256" s="327"/>
      <c r="L256" s="327"/>
      <c r="M256" s="327"/>
      <c r="N256" s="327"/>
      <c r="O256" s="327"/>
      <c r="P256" s="327"/>
      <c r="Q256" s="327"/>
      <c r="R256" s="327"/>
      <c r="S256" s="327"/>
      <c r="T256" s="327"/>
      <c r="U256" s="327"/>
      <c r="V256" s="327"/>
      <c r="W256" s="327"/>
      <c r="X256" s="327"/>
      <c r="Y256" s="327"/>
    </row>
    <row r="257" spans="3:25">
      <c r="C257" s="327"/>
      <c r="D257" s="327"/>
      <c r="E257" s="327"/>
      <c r="F257" s="327"/>
      <c r="G257" s="327"/>
      <c r="H257" s="327"/>
      <c r="I257" s="327"/>
      <c r="J257" s="327"/>
      <c r="K257" s="327"/>
      <c r="L257" s="327"/>
      <c r="M257" s="327"/>
      <c r="N257" s="327"/>
      <c r="O257" s="327"/>
      <c r="P257" s="327"/>
      <c r="Q257" s="327"/>
      <c r="R257" s="327"/>
      <c r="S257" s="327"/>
      <c r="T257" s="327"/>
      <c r="U257" s="327"/>
      <c r="V257" s="327"/>
      <c r="W257" s="327"/>
      <c r="X257" s="327"/>
      <c r="Y257" s="327"/>
    </row>
    <row r="258" spans="3:25">
      <c r="C258" s="327"/>
      <c r="D258" s="327"/>
      <c r="E258" s="327"/>
      <c r="F258" s="327"/>
      <c r="G258" s="327"/>
      <c r="H258" s="327"/>
      <c r="I258" s="327"/>
      <c r="J258" s="327"/>
      <c r="K258" s="327"/>
      <c r="L258" s="327"/>
      <c r="M258" s="327"/>
      <c r="N258" s="327"/>
      <c r="O258" s="327"/>
      <c r="P258" s="327"/>
      <c r="Q258" s="327"/>
      <c r="R258" s="327"/>
      <c r="S258" s="327"/>
      <c r="T258" s="327"/>
      <c r="U258" s="327"/>
      <c r="V258" s="327"/>
      <c r="W258" s="327"/>
      <c r="X258" s="327"/>
      <c r="Y258" s="327"/>
    </row>
    <row r="259" spans="3:25">
      <c r="C259" s="327"/>
      <c r="D259" s="327"/>
      <c r="E259" s="327"/>
      <c r="F259" s="327"/>
      <c r="G259" s="327"/>
      <c r="H259" s="327"/>
      <c r="I259" s="327"/>
      <c r="J259" s="327"/>
      <c r="K259" s="327"/>
      <c r="L259" s="327"/>
      <c r="M259" s="327"/>
      <c r="N259" s="327"/>
      <c r="O259" s="327"/>
      <c r="P259" s="327"/>
      <c r="Q259" s="327"/>
      <c r="R259" s="327"/>
      <c r="S259" s="327"/>
      <c r="T259" s="327"/>
      <c r="U259" s="327"/>
      <c r="V259" s="327"/>
      <c r="W259" s="327"/>
      <c r="X259" s="327"/>
      <c r="Y259" s="327"/>
    </row>
    <row r="260" spans="3:25">
      <c r="C260" s="327"/>
      <c r="D260" s="327"/>
      <c r="E260" s="327"/>
      <c r="F260" s="327"/>
      <c r="G260" s="327"/>
      <c r="H260" s="327"/>
      <c r="I260" s="327"/>
      <c r="J260" s="327"/>
      <c r="K260" s="327"/>
      <c r="L260" s="327"/>
      <c r="M260" s="327"/>
      <c r="N260" s="327"/>
      <c r="O260" s="327"/>
      <c r="P260" s="327"/>
      <c r="Q260" s="327"/>
      <c r="R260" s="327"/>
      <c r="S260" s="327"/>
      <c r="T260" s="327"/>
      <c r="U260" s="327"/>
      <c r="V260" s="327"/>
      <c r="W260" s="327"/>
      <c r="X260" s="327"/>
      <c r="Y260" s="327"/>
    </row>
    <row r="261" spans="3:25">
      <c r="C261" s="327"/>
      <c r="D261" s="327"/>
      <c r="E261" s="327"/>
      <c r="F261" s="327"/>
      <c r="G261" s="327"/>
      <c r="H261" s="327"/>
      <c r="I261" s="327"/>
      <c r="J261" s="327"/>
      <c r="K261" s="327"/>
      <c r="L261" s="327"/>
      <c r="M261" s="327"/>
      <c r="N261" s="327"/>
      <c r="O261" s="327"/>
      <c r="P261" s="327"/>
      <c r="Q261" s="327"/>
      <c r="R261" s="327"/>
      <c r="S261" s="327"/>
      <c r="T261" s="327"/>
      <c r="U261" s="327"/>
      <c r="V261" s="327"/>
      <c r="W261" s="327"/>
      <c r="X261" s="327"/>
      <c r="Y261" s="327"/>
    </row>
    <row r="262" spans="3:25">
      <c r="C262" s="327"/>
      <c r="D262" s="327"/>
      <c r="E262" s="327"/>
      <c r="F262" s="327"/>
      <c r="G262" s="327"/>
      <c r="H262" s="327"/>
      <c r="I262" s="327"/>
      <c r="J262" s="327"/>
      <c r="K262" s="327"/>
      <c r="L262" s="327"/>
      <c r="M262" s="327"/>
      <c r="N262" s="327"/>
      <c r="O262" s="327"/>
      <c r="P262" s="327"/>
      <c r="Q262" s="327"/>
      <c r="R262" s="327"/>
      <c r="S262" s="327"/>
      <c r="T262" s="327"/>
      <c r="U262" s="327"/>
      <c r="V262" s="327"/>
      <c r="W262" s="327"/>
      <c r="X262" s="327"/>
      <c r="Y262" s="327"/>
    </row>
    <row r="263" spans="3:25">
      <c r="C263" s="327"/>
      <c r="D263" s="327"/>
      <c r="E263" s="327"/>
      <c r="F263" s="327"/>
      <c r="G263" s="327"/>
      <c r="H263" s="327"/>
      <c r="I263" s="327"/>
      <c r="J263" s="327"/>
      <c r="K263" s="327"/>
      <c r="L263" s="327"/>
      <c r="M263" s="327"/>
      <c r="N263" s="327"/>
      <c r="O263" s="327"/>
      <c r="P263" s="327"/>
      <c r="Q263" s="327"/>
      <c r="R263" s="327"/>
      <c r="S263" s="327"/>
      <c r="T263" s="327"/>
      <c r="U263" s="327"/>
      <c r="V263" s="327"/>
      <c r="W263" s="327"/>
      <c r="X263" s="327"/>
      <c r="Y263" s="327"/>
    </row>
    <row r="264" spans="3:25">
      <c r="C264" s="327"/>
      <c r="D264" s="327"/>
      <c r="E264" s="327"/>
      <c r="F264" s="327"/>
      <c r="G264" s="327"/>
      <c r="H264" s="327"/>
      <c r="I264" s="327"/>
      <c r="J264" s="327"/>
      <c r="K264" s="327"/>
      <c r="L264" s="327"/>
      <c r="M264" s="327"/>
      <c r="N264" s="327"/>
      <c r="O264" s="327"/>
      <c r="P264" s="327"/>
      <c r="Q264" s="327"/>
      <c r="R264" s="327"/>
      <c r="S264" s="327"/>
      <c r="T264" s="327"/>
      <c r="U264" s="327"/>
      <c r="V264" s="327"/>
      <c r="W264" s="327"/>
      <c r="X264" s="327"/>
      <c r="Y264" s="327"/>
    </row>
    <row r="265" spans="3:25">
      <c r="C265" s="327"/>
      <c r="D265" s="327"/>
      <c r="E265" s="327"/>
      <c r="F265" s="327"/>
      <c r="G265" s="327"/>
      <c r="H265" s="327"/>
      <c r="I265" s="327"/>
      <c r="J265" s="327"/>
      <c r="K265" s="327"/>
      <c r="L265" s="327"/>
      <c r="M265" s="327"/>
      <c r="N265" s="327"/>
      <c r="O265" s="327"/>
      <c r="P265" s="327"/>
      <c r="Q265" s="327"/>
      <c r="R265" s="327"/>
      <c r="S265" s="327"/>
      <c r="T265" s="327"/>
      <c r="U265" s="327"/>
      <c r="V265" s="327"/>
      <c r="W265" s="327"/>
      <c r="X265" s="327"/>
      <c r="Y265" s="327"/>
    </row>
    <row r="266" spans="3:25">
      <c r="C266" s="327"/>
      <c r="D266" s="327"/>
      <c r="E266" s="327"/>
      <c r="F266" s="327"/>
      <c r="G266" s="327"/>
      <c r="H266" s="327"/>
      <c r="I266" s="327"/>
      <c r="J266" s="327"/>
      <c r="K266" s="327"/>
      <c r="L266" s="327"/>
      <c r="M266" s="327"/>
      <c r="N266" s="327"/>
      <c r="O266" s="327"/>
      <c r="P266" s="327"/>
      <c r="Q266" s="327"/>
      <c r="R266" s="327"/>
      <c r="S266" s="327"/>
      <c r="T266" s="327"/>
      <c r="U266" s="327"/>
      <c r="V266" s="327"/>
      <c r="W266" s="327"/>
      <c r="X266" s="327"/>
      <c r="Y266" s="327"/>
    </row>
    <row r="267" spans="3:25">
      <c r="C267" s="327"/>
      <c r="D267" s="327"/>
      <c r="E267" s="327"/>
      <c r="F267" s="327"/>
      <c r="G267" s="327"/>
      <c r="H267" s="327"/>
      <c r="I267" s="327"/>
      <c r="J267" s="327"/>
      <c r="K267" s="327"/>
      <c r="L267" s="327"/>
      <c r="M267" s="327"/>
      <c r="N267" s="327"/>
      <c r="O267" s="327"/>
      <c r="P267" s="327"/>
      <c r="Q267" s="327"/>
      <c r="R267" s="327"/>
      <c r="S267" s="327"/>
      <c r="T267" s="327"/>
      <c r="U267" s="327"/>
      <c r="V267" s="327"/>
      <c r="W267" s="327"/>
      <c r="X267" s="327"/>
      <c r="Y267" s="327"/>
    </row>
    <row r="268" spans="3:25">
      <c r="C268" s="327"/>
      <c r="D268" s="327"/>
      <c r="E268" s="327"/>
      <c r="F268" s="327"/>
      <c r="G268" s="327"/>
      <c r="H268" s="327"/>
      <c r="I268" s="327"/>
      <c r="J268" s="327"/>
      <c r="K268" s="327"/>
      <c r="L268" s="327"/>
      <c r="M268" s="327"/>
      <c r="N268" s="327"/>
      <c r="O268" s="327"/>
      <c r="P268" s="327"/>
      <c r="Q268" s="327"/>
      <c r="R268" s="327"/>
      <c r="S268" s="327"/>
      <c r="T268" s="327"/>
      <c r="U268" s="327"/>
      <c r="V268" s="327"/>
      <c r="W268" s="327"/>
      <c r="X268" s="327"/>
      <c r="Y268" s="327"/>
    </row>
    <row r="269" spans="3:25">
      <c r="C269" s="327"/>
      <c r="D269" s="327"/>
      <c r="E269" s="327"/>
      <c r="F269" s="327"/>
      <c r="G269" s="327"/>
      <c r="H269" s="327"/>
      <c r="I269" s="327"/>
      <c r="J269" s="327"/>
      <c r="K269" s="327"/>
      <c r="L269" s="327"/>
      <c r="M269" s="327"/>
      <c r="N269" s="327"/>
      <c r="O269" s="327"/>
      <c r="P269" s="327"/>
      <c r="Q269" s="327"/>
      <c r="R269" s="327"/>
      <c r="S269" s="327"/>
      <c r="T269" s="327"/>
      <c r="U269" s="327"/>
      <c r="V269" s="327"/>
      <c r="W269" s="327"/>
      <c r="X269" s="327"/>
      <c r="Y269" s="327"/>
    </row>
    <row r="270" spans="3:25">
      <c r="C270" s="327"/>
      <c r="D270" s="327"/>
      <c r="E270" s="327"/>
      <c r="F270" s="327"/>
      <c r="G270" s="327"/>
      <c r="H270" s="327"/>
      <c r="I270" s="327"/>
      <c r="J270" s="327"/>
      <c r="K270" s="327"/>
      <c r="L270" s="327"/>
      <c r="M270" s="327"/>
      <c r="N270" s="327"/>
      <c r="O270" s="327"/>
      <c r="P270" s="327"/>
      <c r="Q270" s="327"/>
      <c r="R270" s="327"/>
      <c r="S270" s="327"/>
      <c r="T270" s="327"/>
      <c r="U270" s="327"/>
      <c r="V270" s="327"/>
      <c r="W270" s="327"/>
      <c r="X270" s="327"/>
      <c r="Y270" s="327"/>
    </row>
    <row r="271" spans="3:25">
      <c r="C271" s="327"/>
      <c r="D271" s="327"/>
      <c r="E271" s="327"/>
      <c r="F271" s="327"/>
      <c r="G271" s="327"/>
      <c r="H271" s="327"/>
      <c r="I271" s="327"/>
      <c r="J271" s="327"/>
      <c r="K271" s="327"/>
      <c r="L271" s="327"/>
      <c r="M271" s="327"/>
      <c r="N271" s="327"/>
      <c r="O271" s="327"/>
      <c r="P271" s="327"/>
      <c r="Q271" s="327"/>
      <c r="R271" s="327"/>
      <c r="S271" s="327"/>
      <c r="T271" s="327"/>
      <c r="U271" s="327"/>
      <c r="V271" s="327"/>
      <c r="W271" s="327"/>
      <c r="X271" s="327"/>
      <c r="Y271" s="327"/>
    </row>
    <row r="272" spans="3:25">
      <c r="C272" s="327"/>
      <c r="D272" s="327"/>
      <c r="E272" s="327"/>
      <c r="F272" s="327"/>
      <c r="G272" s="327"/>
      <c r="H272" s="327"/>
      <c r="I272" s="327"/>
      <c r="J272" s="327"/>
      <c r="K272" s="327"/>
      <c r="L272" s="327"/>
      <c r="M272" s="327"/>
      <c r="N272" s="327"/>
      <c r="O272" s="327"/>
      <c r="P272" s="327"/>
      <c r="Q272" s="327"/>
      <c r="R272" s="327"/>
      <c r="S272" s="327"/>
      <c r="T272" s="327"/>
      <c r="U272" s="327"/>
      <c r="V272" s="327"/>
      <c r="W272" s="327"/>
      <c r="X272" s="327"/>
      <c r="Y272" s="327"/>
    </row>
    <row r="273" spans="3:25">
      <c r="C273" s="327"/>
      <c r="D273" s="327"/>
      <c r="E273" s="327"/>
      <c r="F273" s="327"/>
      <c r="G273" s="327"/>
      <c r="H273" s="327"/>
      <c r="I273" s="327"/>
      <c r="J273" s="327"/>
      <c r="K273" s="327"/>
      <c r="L273" s="327"/>
      <c r="M273" s="327"/>
      <c r="N273" s="327"/>
      <c r="O273" s="327"/>
      <c r="P273" s="327"/>
      <c r="Q273" s="327"/>
      <c r="R273" s="327"/>
      <c r="S273" s="327"/>
      <c r="T273" s="327"/>
      <c r="U273" s="327"/>
      <c r="V273" s="327"/>
      <c r="W273" s="327"/>
      <c r="X273" s="327"/>
      <c r="Y273" s="327"/>
    </row>
    <row r="274" spans="3:25">
      <c r="C274" s="327"/>
      <c r="D274" s="327"/>
      <c r="E274" s="327"/>
      <c r="F274" s="327"/>
      <c r="G274" s="327"/>
      <c r="H274" s="327"/>
      <c r="I274" s="327"/>
      <c r="J274" s="327"/>
      <c r="K274" s="327"/>
      <c r="L274" s="327"/>
      <c r="M274" s="327"/>
      <c r="N274" s="327"/>
      <c r="O274" s="327"/>
      <c r="P274" s="327"/>
      <c r="Q274" s="327"/>
      <c r="R274" s="327"/>
      <c r="S274" s="327"/>
      <c r="T274" s="327"/>
      <c r="U274" s="327"/>
      <c r="V274" s="327"/>
      <c r="W274" s="327"/>
      <c r="X274" s="327"/>
      <c r="Y274" s="327"/>
    </row>
    <row r="275" spans="3:25">
      <c r="C275" s="327"/>
      <c r="D275" s="327"/>
      <c r="E275" s="327"/>
      <c r="F275" s="327"/>
      <c r="G275" s="327"/>
      <c r="H275" s="327"/>
      <c r="I275" s="327"/>
      <c r="J275" s="327"/>
      <c r="K275" s="327"/>
      <c r="L275" s="327"/>
      <c r="M275" s="327"/>
      <c r="N275" s="327"/>
      <c r="O275" s="327"/>
      <c r="P275" s="327"/>
      <c r="Q275" s="327"/>
      <c r="R275" s="327"/>
      <c r="S275" s="327"/>
      <c r="T275" s="327"/>
      <c r="U275" s="327"/>
      <c r="V275" s="327"/>
      <c r="W275" s="327"/>
      <c r="X275" s="327"/>
      <c r="Y275" s="327"/>
    </row>
    <row r="276" spans="3:25">
      <c r="C276" s="327"/>
      <c r="D276" s="327"/>
      <c r="E276" s="327"/>
      <c r="F276" s="327"/>
      <c r="G276" s="327"/>
      <c r="H276" s="327"/>
      <c r="I276" s="327"/>
      <c r="J276" s="327"/>
      <c r="K276" s="327"/>
      <c r="L276" s="327"/>
      <c r="M276" s="327"/>
      <c r="N276" s="327"/>
      <c r="O276" s="327"/>
      <c r="P276" s="327"/>
      <c r="Q276" s="327"/>
      <c r="R276" s="327"/>
      <c r="S276" s="327"/>
      <c r="T276" s="327"/>
      <c r="U276" s="327"/>
      <c r="V276" s="327"/>
      <c r="W276" s="327"/>
      <c r="X276" s="327"/>
      <c r="Y276" s="327"/>
    </row>
    <row r="277" spans="3:25">
      <c r="C277" s="327"/>
      <c r="D277" s="327"/>
      <c r="E277" s="327"/>
      <c r="F277" s="327"/>
      <c r="G277" s="327"/>
      <c r="H277" s="327"/>
      <c r="I277" s="327"/>
      <c r="J277" s="327"/>
      <c r="K277" s="327"/>
      <c r="L277" s="327"/>
      <c r="M277" s="327"/>
      <c r="N277" s="327"/>
      <c r="O277" s="327"/>
      <c r="P277" s="327"/>
      <c r="Q277" s="327"/>
      <c r="R277" s="327"/>
      <c r="S277" s="327"/>
      <c r="T277" s="327"/>
      <c r="U277" s="327"/>
      <c r="V277" s="327"/>
      <c r="W277" s="327"/>
      <c r="X277" s="327"/>
      <c r="Y277" s="327"/>
    </row>
    <row r="278" spans="3:25">
      <c r="C278" s="327"/>
      <c r="D278" s="327"/>
      <c r="E278" s="327"/>
      <c r="F278" s="327"/>
      <c r="G278" s="327"/>
      <c r="H278" s="327"/>
      <c r="I278" s="327"/>
      <c r="J278" s="327"/>
      <c r="K278" s="327"/>
      <c r="L278" s="327"/>
      <c r="M278" s="327"/>
      <c r="N278" s="327"/>
      <c r="O278" s="327"/>
      <c r="P278" s="327"/>
      <c r="Q278" s="327"/>
      <c r="R278" s="327"/>
      <c r="S278" s="327"/>
      <c r="T278" s="327"/>
      <c r="U278" s="327"/>
      <c r="V278" s="327"/>
      <c r="W278" s="327"/>
      <c r="X278" s="327"/>
      <c r="Y278" s="327"/>
    </row>
    <row r="279" spans="3:25">
      <c r="C279" s="327"/>
      <c r="D279" s="327"/>
      <c r="E279" s="327"/>
      <c r="F279" s="327"/>
      <c r="G279" s="327"/>
      <c r="H279" s="327"/>
      <c r="I279" s="327"/>
      <c r="J279" s="327"/>
      <c r="K279" s="327"/>
      <c r="L279" s="327"/>
      <c r="M279" s="327"/>
      <c r="N279" s="327"/>
      <c r="O279" s="327"/>
      <c r="P279" s="327"/>
      <c r="Q279" s="327"/>
      <c r="R279" s="327"/>
      <c r="S279" s="327"/>
      <c r="T279" s="327"/>
      <c r="U279" s="327"/>
      <c r="V279" s="327"/>
      <c r="W279" s="327"/>
      <c r="X279" s="327"/>
      <c r="Y279" s="327"/>
    </row>
    <row r="280" spans="3:25">
      <c r="C280" s="327"/>
      <c r="D280" s="327"/>
      <c r="E280" s="327"/>
      <c r="F280" s="327"/>
      <c r="G280" s="327"/>
      <c r="H280" s="327"/>
      <c r="I280" s="327"/>
      <c r="J280" s="327"/>
      <c r="K280" s="327"/>
      <c r="L280" s="327"/>
      <c r="M280" s="327"/>
      <c r="N280" s="327"/>
      <c r="O280" s="327"/>
      <c r="P280" s="327"/>
      <c r="Q280" s="327"/>
      <c r="R280" s="327"/>
      <c r="S280" s="327"/>
      <c r="T280" s="327"/>
      <c r="U280" s="327"/>
      <c r="V280" s="327"/>
      <c r="W280" s="327"/>
      <c r="X280" s="327"/>
      <c r="Y280" s="327"/>
    </row>
    <row r="281" spans="3:25">
      <c r="C281" s="327"/>
      <c r="D281" s="327"/>
      <c r="E281" s="327"/>
      <c r="F281" s="327"/>
      <c r="G281" s="327"/>
      <c r="H281" s="327"/>
      <c r="I281" s="327"/>
      <c r="J281" s="327"/>
      <c r="K281" s="327"/>
      <c r="L281" s="327"/>
      <c r="M281" s="327"/>
      <c r="N281" s="327"/>
      <c r="O281" s="327"/>
      <c r="P281" s="327"/>
      <c r="Q281" s="327"/>
      <c r="R281" s="327"/>
      <c r="S281" s="327"/>
      <c r="T281" s="327"/>
      <c r="U281" s="327"/>
      <c r="V281" s="327"/>
      <c r="W281" s="327"/>
      <c r="X281" s="327"/>
      <c r="Y281" s="327"/>
    </row>
    <row r="282" spans="3:25">
      <c r="C282" s="327"/>
      <c r="D282" s="327"/>
      <c r="E282" s="327"/>
      <c r="F282" s="327"/>
      <c r="G282" s="327"/>
      <c r="H282" s="327"/>
      <c r="I282" s="327"/>
      <c r="J282" s="327"/>
      <c r="K282" s="327"/>
      <c r="L282" s="327"/>
      <c r="M282" s="327"/>
      <c r="N282" s="327"/>
      <c r="O282" s="327"/>
      <c r="P282" s="327"/>
      <c r="Q282" s="327"/>
      <c r="R282" s="327"/>
      <c r="S282" s="327"/>
      <c r="T282" s="327"/>
      <c r="U282" s="327"/>
      <c r="V282" s="327"/>
      <c r="W282" s="327"/>
      <c r="X282" s="327"/>
      <c r="Y282" s="327"/>
    </row>
    <row r="283" spans="3:25">
      <c r="C283" s="327"/>
      <c r="D283" s="327"/>
      <c r="E283" s="327"/>
      <c r="F283" s="327"/>
      <c r="G283" s="327"/>
      <c r="H283" s="327"/>
      <c r="I283" s="327"/>
      <c r="J283" s="327"/>
      <c r="K283" s="327"/>
      <c r="L283" s="327"/>
      <c r="M283" s="327"/>
      <c r="N283" s="327"/>
      <c r="O283" s="327"/>
      <c r="P283" s="327"/>
      <c r="Q283" s="327"/>
      <c r="R283" s="327"/>
      <c r="S283" s="327"/>
      <c r="T283" s="327"/>
      <c r="U283" s="327"/>
      <c r="V283" s="327"/>
      <c r="W283" s="327"/>
      <c r="X283" s="327"/>
      <c r="Y283" s="327"/>
    </row>
    <row r="284" spans="3:25">
      <c r="C284" s="327"/>
      <c r="D284" s="327"/>
      <c r="E284" s="327"/>
      <c r="F284" s="327"/>
      <c r="G284" s="327"/>
      <c r="H284" s="327"/>
      <c r="I284" s="327"/>
      <c r="J284" s="327"/>
      <c r="K284" s="327"/>
      <c r="L284" s="327"/>
      <c r="M284" s="327"/>
      <c r="N284" s="327"/>
      <c r="O284" s="327"/>
      <c r="P284" s="327"/>
      <c r="Q284" s="327"/>
      <c r="R284" s="327"/>
      <c r="S284" s="327"/>
      <c r="T284" s="327"/>
      <c r="U284" s="327"/>
      <c r="V284" s="327"/>
      <c r="W284" s="327"/>
      <c r="X284" s="327"/>
      <c r="Y284" s="327"/>
    </row>
    <row r="285" spans="3:25">
      <c r="C285" s="327"/>
      <c r="D285" s="327"/>
      <c r="E285" s="327"/>
      <c r="F285" s="327"/>
      <c r="G285" s="327"/>
      <c r="H285" s="327"/>
      <c r="I285" s="327"/>
      <c r="J285" s="327"/>
      <c r="K285" s="327"/>
      <c r="L285" s="327"/>
      <c r="M285" s="327"/>
      <c r="N285" s="327"/>
      <c r="O285" s="327"/>
      <c r="P285" s="327"/>
      <c r="Q285" s="327"/>
      <c r="R285" s="327"/>
      <c r="S285" s="327"/>
      <c r="T285" s="327"/>
      <c r="U285" s="327"/>
      <c r="V285" s="327"/>
      <c r="W285" s="327"/>
      <c r="X285" s="327"/>
      <c r="Y285" s="327"/>
    </row>
    <row r="286" spans="3:25">
      <c r="C286" s="327"/>
      <c r="D286" s="327"/>
      <c r="E286" s="327"/>
      <c r="F286" s="327"/>
      <c r="G286" s="327"/>
      <c r="H286" s="327"/>
      <c r="I286" s="327"/>
      <c r="J286" s="327"/>
      <c r="K286" s="327"/>
      <c r="L286" s="327"/>
      <c r="M286" s="327"/>
      <c r="N286" s="327"/>
      <c r="O286" s="327"/>
      <c r="P286" s="327"/>
      <c r="Q286" s="327"/>
      <c r="R286" s="327"/>
      <c r="S286" s="327"/>
      <c r="T286" s="327"/>
      <c r="U286" s="327"/>
      <c r="V286" s="327"/>
      <c r="W286" s="327"/>
      <c r="X286" s="327"/>
      <c r="Y286" s="327"/>
    </row>
    <row r="287" spans="3:25">
      <c r="C287" s="327"/>
      <c r="D287" s="327"/>
      <c r="E287" s="327"/>
      <c r="F287" s="327"/>
      <c r="G287" s="327"/>
      <c r="H287" s="327"/>
      <c r="I287" s="327"/>
      <c r="J287" s="327"/>
      <c r="K287" s="327"/>
      <c r="L287" s="327"/>
      <c r="M287" s="327"/>
      <c r="N287" s="327"/>
      <c r="O287" s="327"/>
      <c r="P287" s="327"/>
      <c r="Q287" s="327"/>
      <c r="R287" s="327"/>
      <c r="S287" s="327"/>
      <c r="T287" s="327"/>
      <c r="U287" s="327"/>
      <c r="V287" s="327"/>
      <c r="W287" s="327"/>
      <c r="X287" s="327"/>
      <c r="Y287" s="327"/>
    </row>
    <row r="288" spans="3:25">
      <c r="C288" s="327"/>
      <c r="D288" s="327"/>
      <c r="E288" s="327"/>
      <c r="F288" s="327"/>
      <c r="G288" s="327"/>
      <c r="H288" s="327"/>
      <c r="I288" s="327"/>
      <c r="J288" s="327"/>
      <c r="K288" s="327"/>
      <c r="L288" s="327"/>
      <c r="M288" s="327"/>
      <c r="N288" s="327"/>
      <c r="O288" s="327"/>
      <c r="P288" s="327"/>
      <c r="Q288" s="327"/>
      <c r="R288" s="327"/>
      <c r="S288" s="327"/>
      <c r="T288" s="327"/>
      <c r="U288" s="327"/>
      <c r="V288" s="327"/>
      <c r="W288" s="327"/>
      <c r="X288" s="327"/>
      <c r="Y288" s="327"/>
    </row>
    <row r="289" spans="3:25">
      <c r="C289" s="327"/>
      <c r="D289" s="327"/>
      <c r="E289" s="327"/>
      <c r="F289" s="327"/>
      <c r="G289" s="327"/>
      <c r="H289" s="327"/>
      <c r="I289" s="327"/>
      <c r="J289" s="327"/>
      <c r="K289" s="327"/>
      <c r="L289" s="327"/>
      <c r="M289" s="327"/>
      <c r="N289" s="327"/>
      <c r="O289" s="327"/>
      <c r="P289" s="327"/>
      <c r="Q289" s="327"/>
      <c r="R289" s="327"/>
      <c r="S289" s="327"/>
      <c r="T289" s="327"/>
      <c r="U289" s="327"/>
      <c r="V289" s="327"/>
      <c r="W289" s="327"/>
      <c r="X289" s="327"/>
      <c r="Y289" s="327"/>
    </row>
    <row r="290" spans="3:25">
      <c r="C290" s="327"/>
      <c r="D290" s="327"/>
      <c r="E290" s="327"/>
      <c r="F290" s="327"/>
      <c r="G290" s="327"/>
      <c r="H290" s="327"/>
      <c r="I290" s="327"/>
      <c r="J290" s="327"/>
      <c r="K290" s="327"/>
      <c r="L290" s="327"/>
      <c r="M290" s="327"/>
      <c r="N290" s="327"/>
      <c r="O290" s="327"/>
      <c r="P290" s="327"/>
      <c r="Q290" s="327"/>
      <c r="R290" s="327"/>
      <c r="S290" s="327"/>
      <c r="T290" s="327"/>
      <c r="U290" s="327"/>
      <c r="V290" s="327"/>
      <c r="W290" s="327"/>
      <c r="X290" s="327"/>
      <c r="Y290" s="327"/>
    </row>
    <row r="291" spans="3:25">
      <c r="C291" s="327"/>
      <c r="D291" s="327"/>
      <c r="E291" s="327"/>
      <c r="F291" s="327"/>
      <c r="G291" s="327"/>
      <c r="H291" s="327"/>
      <c r="I291" s="327"/>
      <c r="J291" s="327"/>
      <c r="K291" s="327"/>
      <c r="L291" s="327"/>
      <c r="M291" s="327"/>
      <c r="N291" s="327"/>
      <c r="O291" s="327"/>
      <c r="P291" s="327"/>
      <c r="Q291" s="327"/>
      <c r="R291" s="327"/>
      <c r="S291" s="327"/>
      <c r="T291" s="327"/>
      <c r="U291" s="327"/>
      <c r="V291" s="327"/>
      <c r="W291" s="327"/>
      <c r="X291" s="327"/>
      <c r="Y291" s="327"/>
    </row>
    <row r="292" spans="3:25">
      <c r="C292" s="327"/>
      <c r="D292" s="327"/>
      <c r="E292" s="327"/>
      <c r="F292" s="327"/>
      <c r="G292" s="327"/>
      <c r="H292" s="327"/>
      <c r="I292" s="327"/>
      <c r="J292" s="327"/>
      <c r="K292" s="327"/>
      <c r="L292" s="327"/>
      <c r="M292" s="327"/>
      <c r="N292" s="327"/>
      <c r="O292" s="327"/>
      <c r="P292" s="327"/>
      <c r="Q292" s="327"/>
      <c r="R292" s="327"/>
      <c r="S292" s="327"/>
      <c r="T292" s="327"/>
      <c r="U292" s="327"/>
      <c r="V292" s="327"/>
      <c r="W292" s="327"/>
      <c r="X292" s="327"/>
      <c r="Y292" s="327"/>
    </row>
    <row r="293" spans="3:25">
      <c r="C293" s="327"/>
      <c r="D293" s="327"/>
      <c r="E293" s="327"/>
      <c r="F293" s="327"/>
      <c r="G293" s="327"/>
      <c r="H293" s="327"/>
      <c r="I293" s="327"/>
      <c r="J293" s="327"/>
      <c r="K293" s="327"/>
      <c r="L293" s="327"/>
      <c r="M293" s="327"/>
      <c r="N293" s="327"/>
      <c r="O293" s="327"/>
      <c r="P293" s="327"/>
      <c r="Q293" s="327"/>
      <c r="R293" s="327"/>
      <c r="S293" s="327"/>
      <c r="T293" s="327"/>
      <c r="U293" s="327"/>
      <c r="V293" s="327"/>
      <c r="W293" s="327"/>
      <c r="X293" s="327"/>
      <c r="Y293" s="327"/>
    </row>
    <row r="294" spans="3:25">
      <c r="C294" s="327"/>
      <c r="D294" s="327"/>
      <c r="E294" s="327"/>
      <c r="F294" s="327"/>
      <c r="G294" s="327"/>
      <c r="H294" s="327"/>
      <c r="I294" s="327"/>
      <c r="J294" s="327"/>
      <c r="K294" s="327"/>
      <c r="L294" s="327"/>
      <c r="M294" s="327"/>
      <c r="N294" s="327"/>
      <c r="O294" s="327"/>
      <c r="P294" s="327"/>
      <c r="Q294" s="327"/>
      <c r="R294" s="327"/>
      <c r="S294" s="327"/>
      <c r="T294" s="327"/>
      <c r="U294" s="327"/>
      <c r="V294" s="327"/>
      <c r="W294" s="327"/>
      <c r="X294" s="327"/>
      <c r="Y294" s="327"/>
    </row>
    <row r="295" spans="3:25">
      <c r="C295" s="327"/>
      <c r="D295" s="327"/>
      <c r="E295" s="327"/>
      <c r="F295" s="327"/>
      <c r="G295" s="327"/>
      <c r="H295" s="327"/>
      <c r="I295" s="327"/>
      <c r="J295" s="327"/>
      <c r="K295" s="327"/>
      <c r="L295" s="327"/>
      <c r="M295" s="327"/>
      <c r="N295" s="327"/>
      <c r="O295" s="327"/>
      <c r="P295" s="327"/>
      <c r="Q295" s="327"/>
      <c r="R295" s="327"/>
      <c r="S295" s="327"/>
      <c r="T295" s="327"/>
      <c r="U295" s="327"/>
      <c r="V295" s="327"/>
      <c r="W295" s="327"/>
      <c r="X295" s="327"/>
      <c r="Y295" s="327"/>
    </row>
    <row r="296" spans="3:25">
      <c r="C296" s="327"/>
      <c r="D296" s="327"/>
      <c r="E296" s="327"/>
      <c r="F296" s="327"/>
      <c r="G296" s="327"/>
      <c r="H296" s="327"/>
      <c r="I296" s="327"/>
      <c r="J296" s="327"/>
      <c r="K296" s="327"/>
      <c r="L296" s="327"/>
      <c r="M296" s="327"/>
      <c r="N296" s="327"/>
      <c r="O296" s="327"/>
      <c r="P296" s="327"/>
      <c r="Q296" s="327"/>
      <c r="R296" s="327"/>
      <c r="S296" s="327"/>
      <c r="T296" s="327"/>
      <c r="U296" s="327"/>
      <c r="V296" s="327"/>
      <c r="W296" s="327"/>
      <c r="X296" s="327"/>
      <c r="Y296" s="327"/>
    </row>
    <row r="297" spans="3:25">
      <c r="C297" s="327"/>
      <c r="D297" s="327"/>
      <c r="E297" s="327"/>
      <c r="F297" s="327"/>
      <c r="G297" s="327"/>
      <c r="H297" s="327"/>
      <c r="I297" s="327"/>
      <c r="J297" s="327"/>
      <c r="K297" s="327"/>
      <c r="L297" s="327"/>
      <c r="M297" s="327"/>
      <c r="N297" s="327"/>
      <c r="O297" s="327"/>
      <c r="P297" s="327"/>
      <c r="Q297" s="327"/>
      <c r="R297" s="327"/>
    </row>
    <row r="298" spans="3:25">
      <c r="C298" s="327"/>
      <c r="D298" s="327"/>
      <c r="E298" s="327"/>
      <c r="F298" s="327"/>
      <c r="G298" s="327"/>
      <c r="H298" s="327"/>
      <c r="I298" s="327"/>
      <c r="J298" s="327"/>
      <c r="K298" s="327"/>
      <c r="L298" s="327"/>
      <c r="M298" s="327"/>
      <c r="N298" s="327"/>
      <c r="O298" s="327"/>
      <c r="P298" s="327"/>
      <c r="Q298" s="327"/>
      <c r="R298" s="327"/>
    </row>
    <row r="299" spans="3:25">
      <c r="C299" s="327"/>
      <c r="D299" s="327"/>
      <c r="E299" s="327"/>
      <c r="F299" s="327"/>
      <c r="G299" s="327"/>
      <c r="H299" s="327"/>
      <c r="I299" s="327"/>
      <c r="J299" s="327"/>
      <c r="K299" s="327"/>
      <c r="L299" s="327"/>
      <c r="M299" s="327"/>
      <c r="N299" s="327"/>
      <c r="O299" s="327"/>
      <c r="P299" s="327"/>
      <c r="Q299" s="327"/>
      <c r="R299" s="327"/>
    </row>
    <row r="300" spans="3:25">
      <c r="C300" s="327"/>
      <c r="D300" s="327"/>
      <c r="E300" s="327"/>
      <c r="F300" s="327"/>
      <c r="G300" s="327"/>
      <c r="H300" s="327"/>
      <c r="I300" s="327"/>
      <c r="J300" s="327"/>
      <c r="K300" s="327"/>
      <c r="L300" s="327"/>
      <c r="M300" s="327"/>
      <c r="N300" s="327"/>
      <c r="O300" s="327"/>
      <c r="P300" s="327"/>
      <c r="Q300" s="327"/>
      <c r="R300" s="327"/>
    </row>
    <row r="301" spans="3:25">
      <c r="C301" s="327"/>
      <c r="D301" s="327"/>
      <c r="E301" s="327"/>
      <c r="F301" s="327"/>
      <c r="G301" s="327"/>
      <c r="H301" s="327"/>
      <c r="I301" s="327"/>
      <c r="J301" s="327"/>
      <c r="K301" s="327"/>
      <c r="L301" s="327"/>
      <c r="M301" s="327"/>
      <c r="N301" s="327"/>
      <c r="O301" s="327"/>
      <c r="P301" s="327"/>
      <c r="Q301" s="327"/>
      <c r="R301" s="327"/>
    </row>
    <row r="302" spans="3:25">
      <c r="C302" s="327"/>
      <c r="D302" s="327"/>
      <c r="E302" s="327"/>
      <c r="F302" s="327"/>
      <c r="G302" s="327"/>
      <c r="H302" s="327"/>
      <c r="I302" s="327"/>
      <c r="J302" s="327"/>
      <c r="K302" s="327"/>
      <c r="L302" s="327"/>
      <c r="M302" s="327"/>
      <c r="N302" s="327"/>
      <c r="O302" s="327"/>
      <c r="P302" s="327"/>
      <c r="Q302" s="327"/>
      <c r="R302" s="327"/>
    </row>
    <row r="303" spans="3:25">
      <c r="C303" s="327"/>
      <c r="D303" s="327"/>
      <c r="E303" s="327"/>
      <c r="F303" s="327"/>
      <c r="G303" s="327"/>
      <c r="H303" s="327"/>
      <c r="I303" s="327"/>
      <c r="J303" s="327"/>
      <c r="K303" s="327"/>
      <c r="L303" s="327"/>
      <c r="M303" s="327"/>
      <c r="N303" s="327"/>
      <c r="O303" s="327"/>
      <c r="P303" s="327"/>
      <c r="Q303" s="327"/>
      <c r="R303" s="327"/>
    </row>
    <row r="304" spans="3:25">
      <c r="C304" s="327"/>
      <c r="D304" s="327"/>
      <c r="E304" s="327"/>
      <c r="F304" s="327"/>
      <c r="G304" s="327"/>
      <c r="H304" s="327"/>
      <c r="I304" s="327"/>
      <c r="J304" s="327"/>
      <c r="K304" s="327"/>
      <c r="L304" s="327"/>
      <c r="M304" s="327"/>
      <c r="N304" s="327"/>
      <c r="O304" s="327"/>
      <c r="P304" s="327"/>
      <c r="Q304" s="327"/>
      <c r="R304" s="327"/>
    </row>
  </sheetData>
  <mergeCells count="9">
    <mergeCell ref="C96:R96"/>
    <mergeCell ref="C98:R98"/>
    <mergeCell ref="C99:R99"/>
    <mergeCell ref="C100:R100"/>
    <mergeCell ref="C105:R105"/>
    <mergeCell ref="C101:R101"/>
    <mergeCell ref="C102:R102"/>
    <mergeCell ref="C103:R103"/>
    <mergeCell ref="C104:R104"/>
  </mergeCells>
  <phoneticPr fontId="4" type="noConversion"/>
  <pageMargins left="0.75" right="0.75" top="1" bottom="1" header="0.5" footer="0.5"/>
  <pageSetup scale="41" fitToHeight="2" orientation="landscape" r:id="rId1"/>
  <headerFooter alignWithMargins="0"/>
  <rowBreaks count="1" manualBreakCount="1">
    <brk id="59" max="1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64"/>
  <sheetViews>
    <sheetView showGridLines="0" workbookViewId="0">
      <selection activeCell="F76" sqref="F76"/>
    </sheetView>
  </sheetViews>
  <sheetFormatPr defaultRowHeight="12.75"/>
  <cols>
    <col min="1" max="1" width="18.625" style="391" customWidth="1"/>
    <col min="2" max="2" width="28.75" style="391" customWidth="1"/>
    <col min="3" max="3" width="14.375" style="391" customWidth="1"/>
    <col min="4" max="7" width="9.625" style="391" customWidth="1"/>
    <col min="8" max="9" width="9.625" style="391" hidden="1" customWidth="1"/>
    <col min="10" max="10" width="10.125" style="391" hidden="1" customWidth="1"/>
    <col min="11" max="11" width="8" style="391" hidden="1" customWidth="1"/>
    <col min="12" max="16384" width="9" style="391"/>
  </cols>
  <sheetData>
    <row r="1" spans="1:11" s="460" customFormat="1" ht="18">
      <c r="A1" s="459" t="s">
        <v>565</v>
      </c>
    </row>
    <row r="2" spans="1:11">
      <c r="A2" s="461"/>
    </row>
    <row r="3" spans="1:11">
      <c r="A3" s="462" t="s">
        <v>539</v>
      </c>
      <c r="B3" s="463">
        <v>2015</v>
      </c>
      <c r="C3" s="464"/>
    </row>
    <row r="4" spans="1:11">
      <c r="A4" s="461"/>
      <c r="B4" s="464"/>
      <c r="C4" s="464"/>
    </row>
    <row r="5" spans="1:11" ht="15">
      <c r="A5" s="462" t="s">
        <v>540</v>
      </c>
      <c r="B5" s="507" t="s">
        <v>298</v>
      </c>
      <c r="C5" s="464"/>
      <c r="D5" s="508"/>
      <c r="E5" s="508"/>
      <c r="F5" s="508"/>
      <c r="G5" s="508"/>
    </row>
    <row r="6" spans="1:11" ht="15">
      <c r="A6" s="461"/>
      <c r="B6" s="464"/>
      <c r="C6" s="464"/>
      <c r="D6" s="508"/>
      <c r="E6" s="508"/>
      <c r="F6" s="508"/>
      <c r="G6" s="508"/>
      <c r="K6" s="468" t="s">
        <v>541</v>
      </c>
    </row>
    <row r="7" spans="1:11">
      <c r="A7" s="469"/>
      <c r="B7" s="470" t="s">
        <v>542</v>
      </c>
      <c r="C7" s="471" t="s">
        <v>566</v>
      </c>
      <c r="D7" s="509"/>
      <c r="E7" s="509"/>
      <c r="F7" s="509"/>
      <c r="G7" s="509"/>
      <c r="H7" s="473"/>
      <c r="I7" s="473"/>
      <c r="J7" s="473"/>
      <c r="K7" s="472" t="s">
        <v>543</v>
      </c>
    </row>
    <row r="8" spans="1:11">
      <c r="A8" s="469"/>
      <c r="B8" s="470" t="s">
        <v>13</v>
      </c>
      <c r="C8" s="473" t="s">
        <v>30</v>
      </c>
      <c r="D8" s="509"/>
      <c r="E8" s="509"/>
      <c r="F8" s="509"/>
      <c r="G8" s="509"/>
      <c r="H8" s="473"/>
      <c r="I8" s="473"/>
      <c r="J8" s="473"/>
    </row>
    <row r="9" spans="1:11" ht="15" customHeight="1">
      <c r="A9" s="469"/>
      <c r="B9" s="470" t="s">
        <v>544</v>
      </c>
      <c r="C9" s="473" t="s">
        <v>541</v>
      </c>
      <c r="D9" s="509" t="s">
        <v>541</v>
      </c>
      <c r="E9" s="509" t="s">
        <v>541</v>
      </c>
      <c r="F9" s="509" t="s">
        <v>541</v>
      </c>
      <c r="G9" s="509" t="s">
        <v>541</v>
      </c>
      <c r="H9" s="510" t="s">
        <v>541</v>
      </c>
      <c r="I9" s="510" t="s">
        <v>543</v>
      </c>
      <c r="J9" s="510" t="s">
        <v>543</v>
      </c>
    </row>
    <row r="10" spans="1:11">
      <c r="A10" s="474" t="s">
        <v>545</v>
      </c>
      <c r="B10" s="475" t="str">
        <f xml:space="preserve"> "December " &amp; B3-1</f>
        <v>December 2014</v>
      </c>
      <c r="C10" s="476">
        <v>432730244.71488023</v>
      </c>
      <c r="D10" s="511"/>
      <c r="E10" s="511"/>
      <c r="F10" s="511"/>
      <c r="G10" s="511"/>
      <c r="H10" s="512"/>
      <c r="I10" s="513"/>
      <c r="J10" s="512"/>
    </row>
    <row r="11" spans="1:11">
      <c r="A11" s="478" t="s">
        <v>546</v>
      </c>
      <c r="B11" s="479" t="str">
        <f xml:space="preserve"> "January " &amp; B3</f>
        <v>January 2015</v>
      </c>
      <c r="C11" s="514">
        <v>437748739.12435639</v>
      </c>
      <c r="D11" s="515"/>
      <c r="E11" s="515"/>
      <c r="F11" s="515"/>
      <c r="G11" s="515"/>
      <c r="H11" s="516"/>
      <c r="I11" s="517"/>
      <c r="J11" s="516"/>
    </row>
    <row r="12" spans="1:11">
      <c r="A12" s="478"/>
      <c r="B12" s="482" t="s">
        <v>547</v>
      </c>
      <c r="C12" s="514">
        <v>438833456.52373815</v>
      </c>
      <c r="D12" s="515"/>
      <c r="E12" s="515"/>
      <c r="F12" s="515"/>
      <c r="G12" s="515"/>
      <c r="H12" s="516"/>
      <c r="I12" s="517"/>
      <c r="J12" s="516"/>
    </row>
    <row r="13" spans="1:11">
      <c r="A13" s="478"/>
      <c r="B13" s="482" t="s">
        <v>548</v>
      </c>
      <c r="C13" s="514">
        <v>436244772.13369739</v>
      </c>
      <c r="D13" s="515"/>
      <c r="E13" s="515"/>
      <c r="F13" s="515"/>
      <c r="G13" s="515"/>
      <c r="H13" s="516"/>
      <c r="I13" s="517"/>
      <c r="J13" s="516"/>
    </row>
    <row r="14" spans="1:11">
      <c r="A14" s="478"/>
      <c r="B14" s="482" t="s">
        <v>549</v>
      </c>
      <c r="C14" s="514">
        <v>438070303.95266873</v>
      </c>
      <c r="D14" s="515"/>
      <c r="E14" s="515"/>
      <c r="F14" s="515"/>
      <c r="G14" s="515"/>
      <c r="H14" s="516"/>
      <c r="I14" s="517"/>
      <c r="J14" s="516"/>
    </row>
    <row r="15" spans="1:11">
      <c r="A15" s="478"/>
      <c r="B15" s="482" t="s">
        <v>61</v>
      </c>
      <c r="C15" s="514">
        <v>438613774.29813349</v>
      </c>
      <c r="D15" s="515"/>
      <c r="E15" s="515"/>
      <c r="F15" s="515"/>
      <c r="G15" s="515"/>
      <c r="H15" s="516"/>
      <c r="I15" s="517"/>
      <c r="J15" s="516"/>
    </row>
    <row r="16" spans="1:11">
      <c r="A16" s="478"/>
      <c r="B16" s="482" t="s">
        <v>550</v>
      </c>
      <c r="C16" s="514">
        <v>438820365.11033672</v>
      </c>
      <c r="D16" s="515"/>
      <c r="E16" s="515"/>
      <c r="F16" s="515"/>
      <c r="G16" s="515"/>
      <c r="H16" s="516"/>
      <c r="I16" s="517"/>
      <c r="J16" s="516"/>
    </row>
    <row r="17" spans="1:10">
      <c r="A17" s="478"/>
      <c r="B17" s="482" t="s">
        <v>551</v>
      </c>
      <c r="C17" s="514">
        <v>438391574.08727825</v>
      </c>
      <c r="D17" s="515"/>
      <c r="E17" s="515"/>
      <c r="F17" s="515"/>
      <c r="G17" s="515"/>
      <c r="H17" s="516"/>
      <c r="I17" s="517"/>
      <c r="J17" s="516"/>
    </row>
    <row r="18" spans="1:10">
      <c r="A18" s="478"/>
      <c r="B18" s="482" t="s">
        <v>552</v>
      </c>
      <c r="C18" s="514">
        <v>438297770.51345247</v>
      </c>
      <c r="D18" s="515"/>
      <c r="E18" s="515"/>
      <c r="F18" s="515"/>
      <c r="G18" s="515"/>
      <c r="H18" s="516"/>
      <c r="I18" s="517"/>
      <c r="J18" s="516"/>
    </row>
    <row r="19" spans="1:10">
      <c r="A19" s="478"/>
      <c r="B19" s="482" t="s">
        <v>553</v>
      </c>
      <c r="C19" s="514">
        <v>438313405.17549461</v>
      </c>
      <c r="D19" s="515"/>
      <c r="E19" s="515"/>
      <c r="F19" s="515"/>
      <c r="G19" s="515"/>
      <c r="H19" s="516"/>
      <c r="I19" s="517"/>
      <c r="J19" s="516"/>
    </row>
    <row r="20" spans="1:10">
      <c r="A20" s="478"/>
      <c r="B20" s="482" t="s">
        <v>554</v>
      </c>
      <c r="C20" s="514">
        <v>440777295.74624503</v>
      </c>
      <c r="D20" s="515"/>
      <c r="E20" s="515"/>
      <c r="F20" s="515"/>
      <c r="G20" s="515"/>
      <c r="H20" s="516"/>
      <c r="I20" s="517"/>
      <c r="J20" s="516"/>
    </row>
    <row r="21" spans="1:10">
      <c r="A21" s="478"/>
      <c r="B21" s="482" t="s">
        <v>555</v>
      </c>
      <c r="C21" s="514">
        <v>444786526.53468513</v>
      </c>
      <c r="D21" s="515"/>
      <c r="E21" s="515"/>
      <c r="F21" s="515"/>
      <c r="G21" s="515"/>
      <c r="H21" s="516"/>
      <c r="I21" s="517"/>
      <c r="J21" s="516"/>
    </row>
    <row r="22" spans="1:10">
      <c r="A22" s="483"/>
      <c r="B22" s="484" t="str">
        <f xml:space="preserve"> "December " &amp; B3</f>
        <v>December 2015</v>
      </c>
      <c r="C22" s="518">
        <v>444306561.35127813</v>
      </c>
      <c r="D22" s="515"/>
      <c r="E22" s="515"/>
      <c r="F22" s="515"/>
      <c r="G22" s="515"/>
      <c r="H22" s="516"/>
      <c r="I22" s="517"/>
      <c r="J22" s="516"/>
    </row>
    <row r="23" spans="1:10">
      <c r="A23" s="485"/>
      <c r="B23" s="486" t="s">
        <v>556</v>
      </c>
      <c r="C23" s="487">
        <f>AVERAGE(C10:C22)</f>
        <v>438918060.71278805</v>
      </c>
      <c r="D23" s="519"/>
      <c r="E23" s="519"/>
      <c r="F23" s="519"/>
      <c r="G23" s="519"/>
      <c r="H23" s="520"/>
      <c r="I23" s="521"/>
      <c r="J23" s="520"/>
    </row>
    <row r="24" spans="1:10">
      <c r="A24" s="485"/>
      <c r="B24" s="486"/>
      <c r="C24" s="522"/>
      <c r="D24" s="523"/>
      <c r="E24" s="523"/>
      <c r="F24" s="523"/>
      <c r="G24" s="523"/>
      <c r="H24" s="524"/>
      <c r="I24" s="525"/>
      <c r="J24" s="524"/>
    </row>
    <row r="25" spans="1:10">
      <c r="A25" s="485"/>
      <c r="B25" s="486"/>
      <c r="C25" s="522"/>
      <c r="D25" s="523"/>
      <c r="E25" s="523"/>
      <c r="F25" s="523"/>
      <c r="G25" s="523"/>
      <c r="H25" s="524"/>
      <c r="I25" s="525"/>
      <c r="J25" s="524"/>
    </row>
    <row r="26" spans="1:10">
      <c r="A26" s="474" t="s">
        <v>557</v>
      </c>
      <c r="B26" s="475" t="str">
        <f>B10</f>
        <v>December 2014</v>
      </c>
      <c r="C26" s="476">
        <v>4153999.3231985159</v>
      </c>
      <c r="D26" s="511"/>
      <c r="E26" s="511"/>
      <c r="F26" s="511"/>
      <c r="G26" s="511"/>
      <c r="H26" s="512"/>
      <c r="I26" s="513"/>
      <c r="J26" s="512"/>
    </row>
    <row r="27" spans="1:10">
      <c r="A27" s="478" t="s">
        <v>558</v>
      </c>
      <c r="B27" s="479" t="str">
        <f>B11</f>
        <v>January 2015</v>
      </c>
      <c r="C27" s="514">
        <v>4674404.2218903759</v>
      </c>
      <c r="D27" s="515"/>
      <c r="E27" s="515"/>
      <c r="F27" s="515"/>
      <c r="G27" s="515"/>
      <c r="H27" s="516"/>
      <c r="I27" s="517"/>
      <c r="J27" s="516"/>
    </row>
    <row r="28" spans="1:10">
      <c r="A28" s="478" t="s">
        <v>567</v>
      </c>
      <c r="B28" s="490" t="s">
        <v>547</v>
      </c>
      <c r="C28" s="514">
        <v>5247575.3294247249</v>
      </c>
      <c r="D28" s="515"/>
      <c r="E28" s="515"/>
      <c r="F28" s="515"/>
      <c r="G28" s="515"/>
      <c r="H28" s="516"/>
      <c r="I28" s="517"/>
      <c r="J28" s="516"/>
    </row>
    <row r="29" spans="1:10">
      <c r="A29" s="478"/>
      <c r="B29" s="490" t="s">
        <v>548</v>
      </c>
      <c r="C29" s="514">
        <v>5912771.6311619012</v>
      </c>
      <c r="D29" s="515"/>
      <c r="E29" s="515"/>
      <c r="F29" s="515"/>
      <c r="G29" s="515"/>
      <c r="H29" s="516"/>
      <c r="I29" s="517"/>
      <c r="J29" s="516"/>
    </row>
    <row r="30" spans="1:10">
      <c r="A30" s="478"/>
      <c r="B30" s="490" t="s">
        <v>549</v>
      </c>
      <c r="C30" s="514">
        <v>6605767.8299019337</v>
      </c>
      <c r="D30" s="515"/>
      <c r="E30" s="515"/>
      <c r="F30" s="515"/>
      <c r="G30" s="515"/>
      <c r="H30" s="516"/>
      <c r="I30" s="517"/>
      <c r="J30" s="516"/>
    </row>
    <row r="31" spans="1:10">
      <c r="A31" s="478"/>
      <c r="B31" s="490" t="s">
        <v>61</v>
      </c>
      <c r="C31" s="514">
        <v>7337022.2074602069</v>
      </c>
      <c r="D31" s="515"/>
      <c r="E31" s="515"/>
      <c r="F31" s="515"/>
      <c r="G31" s="515"/>
      <c r="H31" s="516"/>
      <c r="I31" s="517"/>
      <c r="J31" s="516"/>
    </row>
    <row r="32" spans="1:10">
      <c r="A32" s="478"/>
      <c r="B32" s="490" t="s">
        <v>550</v>
      </c>
      <c r="C32" s="514">
        <v>8042967.7974530971</v>
      </c>
      <c r="D32" s="515"/>
      <c r="E32" s="515"/>
      <c r="F32" s="515"/>
      <c r="G32" s="515"/>
      <c r="H32" s="516"/>
      <c r="I32" s="517"/>
      <c r="J32" s="516"/>
    </row>
    <row r="33" spans="1:10">
      <c r="A33" s="478"/>
      <c r="B33" s="490" t="s">
        <v>551</v>
      </c>
      <c r="C33" s="514">
        <v>8735564.367130911</v>
      </c>
      <c r="D33" s="515"/>
      <c r="E33" s="515"/>
      <c r="F33" s="515"/>
      <c r="G33" s="515"/>
      <c r="H33" s="516"/>
      <c r="I33" s="517"/>
      <c r="J33" s="516"/>
    </row>
    <row r="34" spans="1:10">
      <c r="A34" s="478"/>
      <c r="B34" s="490" t="s">
        <v>552</v>
      </c>
      <c r="C34" s="514">
        <v>9413580.6900263093</v>
      </c>
      <c r="D34" s="515"/>
      <c r="E34" s="515"/>
      <c r="F34" s="515"/>
      <c r="G34" s="515"/>
      <c r="H34" s="516"/>
      <c r="I34" s="517"/>
      <c r="J34" s="516"/>
    </row>
    <row r="35" spans="1:10">
      <c r="A35" s="478"/>
      <c r="B35" s="490" t="s">
        <v>553</v>
      </c>
      <c r="C35" s="514">
        <v>10090220.319747631</v>
      </c>
      <c r="D35" s="515"/>
      <c r="E35" s="515"/>
      <c r="F35" s="515"/>
      <c r="G35" s="515"/>
      <c r="H35" s="516"/>
      <c r="I35" s="517"/>
      <c r="J35" s="516"/>
    </row>
    <row r="36" spans="1:10">
      <c r="A36" s="478"/>
      <c r="B36" s="490" t="s">
        <v>554</v>
      </c>
      <c r="C36" s="514">
        <v>10760165.831495453</v>
      </c>
      <c r="D36" s="515"/>
      <c r="E36" s="515"/>
      <c r="F36" s="515"/>
      <c r="G36" s="515"/>
      <c r="H36" s="516"/>
      <c r="I36" s="517"/>
      <c r="J36" s="516"/>
    </row>
    <row r="37" spans="1:10">
      <c r="A37" s="478"/>
      <c r="B37" s="490" t="s">
        <v>555</v>
      </c>
      <c r="C37" s="514">
        <v>11487590.346623391</v>
      </c>
      <c r="D37" s="515"/>
      <c r="E37" s="515"/>
      <c r="F37" s="515"/>
      <c r="G37" s="515"/>
      <c r="H37" s="516"/>
      <c r="I37" s="517"/>
      <c r="J37" s="516"/>
    </row>
    <row r="38" spans="1:10">
      <c r="A38" s="483"/>
      <c r="B38" s="484" t="str">
        <f>+B22</f>
        <v>December 2015</v>
      </c>
      <c r="C38" s="518">
        <v>12204521.442736607</v>
      </c>
      <c r="D38" s="515"/>
      <c r="E38" s="515"/>
      <c r="F38" s="515"/>
      <c r="G38" s="515"/>
      <c r="H38" s="516"/>
      <c r="I38" s="517"/>
      <c r="J38" s="516"/>
    </row>
    <row r="39" spans="1:10">
      <c r="A39" s="485"/>
      <c r="B39" s="486" t="s">
        <v>556</v>
      </c>
      <c r="C39" s="487">
        <f>AVERAGE(C26:C38)</f>
        <v>8051242.4106346965</v>
      </c>
      <c r="D39" s="519"/>
      <c r="E39" s="519"/>
      <c r="F39" s="519"/>
      <c r="G39" s="519"/>
      <c r="H39" s="520"/>
      <c r="I39" s="521"/>
      <c r="J39" s="520"/>
    </row>
    <row r="40" spans="1:10" s="467" customFormat="1">
      <c r="A40" s="491"/>
      <c r="B40" s="492"/>
      <c r="C40" s="522"/>
      <c r="D40" s="523"/>
      <c r="E40" s="523"/>
      <c r="F40" s="523"/>
      <c r="G40" s="523"/>
      <c r="H40" s="522"/>
      <c r="I40" s="522"/>
      <c r="J40" s="522"/>
    </row>
    <row r="41" spans="1:10">
      <c r="A41" s="485"/>
      <c r="B41" s="493"/>
      <c r="C41" s="526"/>
      <c r="D41" s="527"/>
      <c r="E41" s="527"/>
      <c r="F41" s="527"/>
      <c r="G41" s="527"/>
      <c r="H41" s="528"/>
      <c r="I41" s="528"/>
      <c r="J41" s="528"/>
    </row>
    <row r="42" spans="1:10">
      <c r="A42" s="485"/>
      <c r="B42" s="495"/>
      <c r="C42" s="529"/>
      <c r="D42" s="530"/>
      <c r="E42" s="530"/>
      <c r="F42" s="530"/>
      <c r="G42" s="530"/>
      <c r="H42" s="493"/>
      <c r="I42" s="493"/>
      <c r="J42" s="493"/>
    </row>
    <row r="43" spans="1:10">
      <c r="A43" s="474" t="s">
        <v>559</v>
      </c>
      <c r="B43" s="497" t="str">
        <f>B10</f>
        <v>December 2014</v>
      </c>
      <c r="C43" s="476">
        <f t="shared" ref="C43:C55" si="0">+C10-C26</f>
        <v>428576245.39168173</v>
      </c>
      <c r="D43" s="511"/>
      <c r="E43" s="511"/>
      <c r="F43" s="511"/>
      <c r="G43" s="511"/>
      <c r="H43" s="531"/>
      <c r="I43" s="532"/>
      <c r="J43" s="531"/>
    </row>
    <row r="44" spans="1:10">
      <c r="A44" s="478" t="s">
        <v>568</v>
      </c>
      <c r="B44" s="498" t="str">
        <f>B11</f>
        <v>January 2015</v>
      </c>
      <c r="C44" s="514">
        <f t="shared" si="0"/>
        <v>433074334.902466</v>
      </c>
      <c r="D44" s="515"/>
      <c r="E44" s="515"/>
      <c r="F44" s="515"/>
      <c r="G44" s="515"/>
      <c r="H44" s="533"/>
      <c r="I44" s="534"/>
      <c r="J44" s="533"/>
    </row>
    <row r="45" spans="1:10">
      <c r="A45" s="478"/>
      <c r="B45" s="490" t="s">
        <v>547</v>
      </c>
      <c r="C45" s="514">
        <f t="shared" si="0"/>
        <v>433585881.19431341</v>
      </c>
      <c r="D45" s="515"/>
      <c r="E45" s="515"/>
      <c r="F45" s="515"/>
      <c r="G45" s="515"/>
      <c r="H45" s="533"/>
      <c r="I45" s="534"/>
      <c r="J45" s="533"/>
    </row>
    <row r="46" spans="1:10">
      <c r="A46" s="478"/>
      <c r="B46" s="490" t="s">
        <v>548</v>
      </c>
      <c r="C46" s="514">
        <f t="shared" si="0"/>
        <v>430332000.50253546</v>
      </c>
      <c r="D46" s="515"/>
      <c r="E46" s="515"/>
      <c r="F46" s="515"/>
      <c r="G46" s="515"/>
      <c r="H46" s="533"/>
      <c r="I46" s="534"/>
      <c r="J46" s="533"/>
    </row>
    <row r="47" spans="1:10">
      <c r="A47" s="478"/>
      <c r="B47" s="490" t="s">
        <v>549</v>
      </c>
      <c r="C47" s="514">
        <f t="shared" si="0"/>
        <v>431464536.12276679</v>
      </c>
      <c r="D47" s="515"/>
      <c r="E47" s="515"/>
      <c r="F47" s="515"/>
      <c r="G47" s="515"/>
      <c r="H47" s="533"/>
      <c r="I47" s="534"/>
      <c r="J47" s="533"/>
    </row>
    <row r="48" spans="1:10">
      <c r="A48" s="478"/>
      <c r="B48" s="490" t="s">
        <v>61</v>
      </c>
      <c r="C48" s="514">
        <f t="shared" si="0"/>
        <v>431276752.09067327</v>
      </c>
      <c r="D48" s="515"/>
      <c r="E48" s="515"/>
      <c r="F48" s="515"/>
      <c r="G48" s="515"/>
      <c r="H48" s="533"/>
      <c r="I48" s="534"/>
      <c r="J48" s="533"/>
    </row>
    <row r="49" spans="1:10">
      <c r="A49" s="478"/>
      <c r="B49" s="490" t="s">
        <v>550</v>
      </c>
      <c r="C49" s="514">
        <f t="shared" si="0"/>
        <v>430777397.31288362</v>
      </c>
      <c r="D49" s="515"/>
      <c r="E49" s="515"/>
      <c r="F49" s="515"/>
      <c r="G49" s="515"/>
      <c r="H49" s="533"/>
      <c r="I49" s="534"/>
      <c r="J49" s="533"/>
    </row>
    <row r="50" spans="1:10">
      <c r="A50" s="478"/>
      <c r="B50" s="490" t="s">
        <v>551</v>
      </c>
      <c r="C50" s="514">
        <f t="shared" si="0"/>
        <v>429656009.72014731</v>
      </c>
      <c r="D50" s="515"/>
      <c r="E50" s="515"/>
      <c r="F50" s="515"/>
      <c r="G50" s="515"/>
      <c r="H50" s="533"/>
      <c r="I50" s="534"/>
      <c r="J50" s="533"/>
    </row>
    <row r="51" spans="1:10">
      <c r="A51" s="478"/>
      <c r="B51" s="490" t="s">
        <v>552</v>
      </c>
      <c r="C51" s="514">
        <f t="shared" si="0"/>
        <v>428884189.82342619</v>
      </c>
      <c r="D51" s="515"/>
      <c r="E51" s="515"/>
      <c r="F51" s="515"/>
      <c r="G51" s="515"/>
      <c r="H51" s="533"/>
      <c r="I51" s="534"/>
      <c r="J51" s="533"/>
    </row>
    <row r="52" spans="1:10">
      <c r="A52" s="478"/>
      <c r="B52" s="490" t="s">
        <v>553</v>
      </c>
      <c r="C52" s="514">
        <f t="shared" si="0"/>
        <v>428223184.85574698</v>
      </c>
      <c r="D52" s="515"/>
      <c r="E52" s="515"/>
      <c r="F52" s="515"/>
      <c r="G52" s="515"/>
      <c r="H52" s="533"/>
      <c r="I52" s="534"/>
      <c r="J52" s="533"/>
    </row>
    <row r="53" spans="1:10">
      <c r="A53" s="478"/>
      <c r="B53" s="490" t="s">
        <v>554</v>
      </c>
      <c r="C53" s="514">
        <f t="shared" si="0"/>
        <v>430017129.91474956</v>
      </c>
      <c r="D53" s="515"/>
      <c r="E53" s="515"/>
      <c r="F53" s="515"/>
      <c r="G53" s="515"/>
      <c r="H53" s="533"/>
      <c r="I53" s="534"/>
      <c r="J53" s="533"/>
    </row>
    <row r="54" spans="1:10">
      <c r="A54" s="478"/>
      <c r="B54" s="490" t="s">
        <v>555</v>
      </c>
      <c r="C54" s="514">
        <f t="shared" si="0"/>
        <v>433298936.18806171</v>
      </c>
      <c r="D54" s="515"/>
      <c r="E54" s="515"/>
      <c r="F54" s="515"/>
      <c r="G54" s="515"/>
      <c r="H54" s="533"/>
      <c r="I54" s="534"/>
      <c r="J54" s="533"/>
    </row>
    <row r="55" spans="1:10">
      <c r="A55" s="483"/>
      <c r="B55" s="499" t="str">
        <f>+B38</f>
        <v>December 2015</v>
      </c>
      <c r="C55" s="518">
        <f t="shared" si="0"/>
        <v>432102039.9085415</v>
      </c>
      <c r="D55" s="515"/>
      <c r="E55" s="515"/>
      <c r="F55" s="515"/>
      <c r="G55" s="515"/>
      <c r="H55" s="533"/>
      <c r="I55" s="534"/>
      <c r="J55" s="533"/>
    </row>
    <row r="56" spans="1:10">
      <c r="A56" s="485"/>
      <c r="B56" s="486" t="s">
        <v>556</v>
      </c>
      <c r="C56" s="487">
        <f>AVERAGE(C43:C55)</f>
        <v>430866818.30215335</v>
      </c>
      <c r="D56" s="519"/>
      <c r="E56" s="519"/>
      <c r="F56" s="519"/>
      <c r="G56" s="519"/>
      <c r="H56" s="520"/>
      <c r="I56" s="521"/>
      <c r="J56" s="520"/>
    </row>
    <row r="57" spans="1:10">
      <c r="A57" s="485"/>
      <c r="B57" s="493"/>
      <c r="C57" s="522"/>
      <c r="D57" s="523"/>
      <c r="E57" s="523"/>
      <c r="F57" s="523"/>
      <c r="G57" s="523"/>
      <c r="H57" s="535"/>
      <c r="I57" s="535"/>
      <c r="J57" s="535"/>
    </row>
    <row r="58" spans="1:10" ht="15">
      <c r="A58" s="485"/>
      <c r="B58" s="501"/>
      <c r="C58" s="536"/>
      <c r="D58" s="537"/>
      <c r="E58" s="537"/>
      <c r="F58" s="537"/>
      <c r="G58" s="537"/>
      <c r="H58" s="538"/>
      <c r="I58" s="538"/>
      <c r="J58" s="538"/>
    </row>
    <row r="59" spans="1:10">
      <c r="A59" s="502" t="s">
        <v>561</v>
      </c>
      <c r="B59" s="503" t="s">
        <v>362</v>
      </c>
      <c r="C59" s="504">
        <v>8050385.0018169163</v>
      </c>
      <c r="D59" s="519"/>
      <c r="E59" s="519"/>
      <c r="F59" s="519"/>
      <c r="G59" s="519"/>
      <c r="H59" s="539"/>
      <c r="I59" s="540"/>
      <c r="J59" s="541"/>
    </row>
    <row r="60" spans="1:10">
      <c r="A60" s="483" t="s">
        <v>569</v>
      </c>
      <c r="B60" s="505" t="s">
        <v>563</v>
      </c>
      <c r="C60" s="542">
        <v>0</v>
      </c>
      <c r="D60" s="515"/>
      <c r="E60" s="515"/>
      <c r="F60" s="515"/>
      <c r="G60" s="515"/>
      <c r="H60" s="543"/>
      <c r="I60" s="544"/>
      <c r="J60" s="545"/>
    </row>
    <row r="61" spans="1:10">
      <c r="A61" s="461"/>
      <c r="B61" s="486" t="s">
        <v>564</v>
      </c>
      <c r="C61" s="487">
        <f>+C59+C60</f>
        <v>8050385.0018169163</v>
      </c>
      <c r="D61" s="519"/>
      <c r="E61" s="519"/>
      <c r="F61" s="519"/>
      <c r="G61" s="519"/>
      <c r="H61" s="520"/>
      <c r="I61" s="521"/>
      <c r="J61" s="520"/>
    </row>
    <row r="62" spans="1:10" ht="15">
      <c r="D62" s="508"/>
      <c r="E62" s="508"/>
      <c r="F62" s="508"/>
      <c r="G62" s="508"/>
    </row>
    <row r="63" spans="1:10" ht="15">
      <c r="D63" s="508"/>
      <c r="E63" s="508"/>
      <c r="F63" s="508"/>
      <c r="G63" s="508"/>
    </row>
    <row r="64" spans="1:10" ht="15">
      <c r="D64" s="508"/>
      <c r="E64" s="508"/>
      <c r="F64" s="508"/>
      <c r="G64" s="508"/>
    </row>
  </sheetData>
  <dataValidations disablePrompts="1" count="1">
    <dataValidation type="list" allowBlank="1" showInputMessage="1" showErrorMessage="1" sqref="C9:J9">
      <formula1>$K$6:$K$7</formula1>
    </dataValidation>
  </dataValidations>
  <pageMargins left="0.7" right="0.7" top="0.75" bottom="0.75" header="0.3" footer="0.3"/>
  <pageSetup scale="6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18"/>
  <sheetViews>
    <sheetView showGridLines="0" workbookViewId="0">
      <selection activeCell="A2" sqref="A2"/>
    </sheetView>
  </sheetViews>
  <sheetFormatPr defaultRowHeight="15.75"/>
  <cols>
    <col min="1" max="1" width="3.625" customWidth="1"/>
    <col min="2" max="2" width="17.75" bestFit="1" customWidth="1"/>
    <col min="4" max="4" width="12.625" style="75" bestFit="1" customWidth="1"/>
    <col min="5" max="5" width="13.75" bestFit="1" customWidth="1"/>
    <col min="6" max="6" width="5.125" customWidth="1"/>
    <col min="7" max="7" width="62.875" bestFit="1" customWidth="1"/>
  </cols>
  <sheetData>
    <row r="1" spans="1:7">
      <c r="A1" s="562" t="s">
        <v>595</v>
      </c>
    </row>
    <row r="3" spans="1:7">
      <c r="B3" t="s">
        <v>167</v>
      </c>
      <c r="D3" s="75">
        <f>'Att MM True Up'!E21</f>
        <v>55692833.609999999</v>
      </c>
      <c r="G3" t="s">
        <v>598</v>
      </c>
    </row>
    <row r="5" spans="1:7">
      <c r="B5" s="562" t="s">
        <v>593</v>
      </c>
      <c r="D5" s="188">
        <f>'Att MM True Up'!H23-'Att MM True Up'!F23</f>
        <v>1522818.6899999976</v>
      </c>
    </row>
    <row r="7" spans="1:7">
      <c r="B7" s="562" t="s">
        <v>594</v>
      </c>
      <c r="D7" s="75">
        <f>'Att MM True Up'!F23-'Att MM True Up'!G23</f>
        <v>4101549</v>
      </c>
    </row>
    <row r="8" spans="1:7">
      <c r="E8" s="104"/>
    </row>
    <row r="9" spans="1:7">
      <c r="B9" t="s">
        <v>177</v>
      </c>
      <c r="E9" s="188">
        <f>D3+D5+D7</f>
        <v>61317201.299999997</v>
      </c>
    </row>
    <row r="12" spans="1:7">
      <c r="B12" t="s">
        <v>599</v>
      </c>
      <c r="E12" s="75">
        <f>'Att MM True Up'!H23</f>
        <v>61317201.689999998</v>
      </c>
      <c r="G12" t="s">
        <v>600</v>
      </c>
    </row>
    <row r="17" spans="1:1">
      <c r="A17" s="589" t="s">
        <v>591</v>
      </c>
    </row>
    <row r="18" spans="1:1">
      <c r="A18" s="589" t="s">
        <v>592</v>
      </c>
    </row>
  </sheetData>
  <pageMargins left="0.75" right="0.75" top="1" bottom="1" header="0.5" footer="0.5"/>
  <pageSetup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8F"/>
    <pageSetUpPr fitToPage="1"/>
  </sheetPr>
  <dimension ref="B3:G14"/>
  <sheetViews>
    <sheetView showGridLines="0" workbookViewId="0">
      <selection activeCell="E14" sqref="E14"/>
    </sheetView>
  </sheetViews>
  <sheetFormatPr defaultRowHeight="15.75"/>
  <cols>
    <col min="1" max="1" width="3.625" customWidth="1"/>
    <col min="2" max="2" width="17.75" bestFit="1" customWidth="1"/>
    <col min="4" max="4" width="12.625" style="75" bestFit="1" customWidth="1"/>
    <col min="5" max="5" width="13.75" bestFit="1" customWidth="1"/>
    <col min="6" max="6" width="5.125" customWidth="1"/>
    <col min="7" max="7" width="62.875" bestFit="1" customWidth="1"/>
  </cols>
  <sheetData>
    <row r="3" spans="2:7">
      <c r="B3" t="s">
        <v>167</v>
      </c>
      <c r="D3" s="75">
        <f>'Att GG True Up '!I867</f>
        <v>70319917.25999999</v>
      </c>
      <c r="G3" s="562" t="s">
        <v>639</v>
      </c>
    </row>
    <row r="5" spans="2:7">
      <c r="B5" t="s">
        <v>175</v>
      </c>
      <c r="D5" s="188">
        <f>'Att GG True Up '!G867</f>
        <v>-1781768.7635074563</v>
      </c>
    </row>
    <row r="7" spans="2:7">
      <c r="B7" t="s">
        <v>176</v>
      </c>
      <c r="D7" s="75">
        <f>'Att GG True Up '!J867</f>
        <v>764281.7</v>
      </c>
    </row>
    <row r="8" spans="2:7">
      <c r="E8" s="104"/>
    </row>
    <row r="9" spans="2:7">
      <c r="B9" t="s">
        <v>177</v>
      </c>
      <c r="E9" s="188">
        <f>D3-D5-D7</f>
        <v>71337404.323507443</v>
      </c>
    </row>
    <row r="14" spans="2:7">
      <c r="B14" s="562" t="s">
        <v>599</v>
      </c>
      <c r="E14" s="75">
        <f>'Att GG True Up '!F862</f>
        <v>71337404.306775272</v>
      </c>
      <c r="G14" s="562" t="s">
        <v>649</v>
      </c>
    </row>
  </sheetData>
  <phoneticPr fontId="4" type="noConversion"/>
  <pageMargins left="0.75" right="0.75" top="1" bottom="1" header="0.5" footer="0.5"/>
  <pageSetup scale="6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8F"/>
  </sheetPr>
  <dimension ref="A1:I151"/>
  <sheetViews>
    <sheetView showGridLines="0" zoomScaleNormal="100" workbookViewId="0">
      <selection activeCell="F28" sqref="F28"/>
    </sheetView>
  </sheetViews>
  <sheetFormatPr defaultRowHeight="15.75"/>
  <cols>
    <col min="1" max="1" width="31.25" style="2" customWidth="1"/>
    <col min="2" max="2" width="16" style="2" customWidth="1"/>
    <col min="3" max="3" width="12.625" style="2" customWidth="1"/>
    <col min="4" max="4" width="10.125" style="2" bestFit="1" customWidth="1"/>
    <col min="5" max="5" width="22.875" style="2" bestFit="1" customWidth="1"/>
    <col min="6" max="6" width="9" style="2"/>
    <col min="7" max="7" width="13.75" style="91" bestFit="1" customWidth="1"/>
    <col min="8" max="16384" width="9" style="2"/>
  </cols>
  <sheetData>
    <row r="1" spans="1:9">
      <c r="A1" s="39" t="s">
        <v>131</v>
      </c>
      <c r="D1" s="182" t="s">
        <v>200</v>
      </c>
    </row>
    <row r="2" spans="1:9">
      <c r="A2" s="39" t="s">
        <v>133</v>
      </c>
      <c r="B2" s="40"/>
      <c r="E2" s="81"/>
    </row>
    <row r="3" spans="1:9">
      <c r="A3" s="39" t="s">
        <v>636</v>
      </c>
      <c r="B3" s="41"/>
      <c r="E3" s="2" t="s">
        <v>292</v>
      </c>
      <c r="F3" s="172"/>
      <c r="H3" s="172"/>
      <c r="I3" s="172"/>
    </row>
    <row r="4" spans="1:9">
      <c r="A4" s="169" t="s">
        <v>23</v>
      </c>
      <c r="B4" s="577">
        <f t="shared" ref="B4" si="0">+B75</f>
        <v>2850083</v>
      </c>
      <c r="E4" s="2" t="s">
        <v>246</v>
      </c>
      <c r="F4" s="172"/>
      <c r="H4" s="172"/>
      <c r="I4" s="172"/>
    </row>
    <row r="5" spans="1:9">
      <c r="A5" s="169" t="s">
        <v>29</v>
      </c>
      <c r="B5" s="615">
        <v>9677000</v>
      </c>
      <c r="E5" s="2" t="s">
        <v>247</v>
      </c>
      <c r="F5" s="172"/>
      <c r="H5" s="172"/>
      <c r="I5" s="172"/>
    </row>
    <row r="6" spans="1:9">
      <c r="A6" s="169" t="s">
        <v>25</v>
      </c>
      <c r="B6" s="578">
        <f>+B112</f>
        <v>6922407</v>
      </c>
      <c r="E6" s="2" t="s">
        <v>248</v>
      </c>
      <c r="F6" s="172"/>
      <c r="H6" s="172"/>
      <c r="I6" s="172"/>
    </row>
    <row r="7" spans="1:9">
      <c r="A7" s="169" t="s">
        <v>26</v>
      </c>
      <c r="B7" s="615">
        <v>6518000</v>
      </c>
      <c r="E7" s="2" t="s">
        <v>249</v>
      </c>
      <c r="F7" s="172"/>
      <c r="H7" s="172"/>
      <c r="I7" s="172"/>
    </row>
    <row r="8" spans="1:9">
      <c r="A8" s="169" t="s">
        <v>186</v>
      </c>
      <c r="B8" s="615">
        <v>1</v>
      </c>
      <c r="E8" s="2" t="s">
        <v>250</v>
      </c>
      <c r="F8" s="172"/>
      <c r="H8" s="172"/>
      <c r="I8" s="172"/>
    </row>
    <row r="9" spans="1:9">
      <c r="A9" s="169" t="s">
        <v>201</v>
      </c>
      <c r="B9" s="615">
        <v>1</v>
      </c>
      <c r="E9" s="2" t="s">
        <v>251</v>
      </c>
      <c r="F9" s="172"/>
      <c r="H9" s="172"/>
      <c r="I9" s="172"/>
    </row>
    <row r="10" spans="1:9">
      <c r="A10" s="169" t="s">
        <v>187</v>
      </c>
      <c r="B10" s="577">
        <f>B47</f>
        <v>6174646</v>
      </c>
      <c r="E10" s="2" t="s">
        <v>252</v>
      </c>
      <c r="F10" s="172"/>
      <c r="H10" s="172"/>
      <c r="I10" s="172"/>
    </row>
    <row r="11" spans="1:9">
      <c r="A11" s="169" t="s">
        <v>24</v>
      </c>
      <c r="B11" s="615">
        <v>267083</v>
      </c>
      <c r="E11" s="2" t="s">
        <v>253</v>
      </c>
      <c r="F11" s="172"/>
      <c r="H11" s="172"/>
      <c r="I11" s="172"/>
    </row>
    <row r="12" spans="1:9">
      <c r="A12" s="169" t="s">
        <v>27</v>
      </c>
      <c r="B12" s="615">
        <v>315000</v>
      </c>
      <c r="E12" s="2" t="s">
        <v>254</v>
      </c>
      <c r="F12" s="172"/>
      <c r="H12" s="172"/>
      <c r="I12" s="172"/>
    </row>
    <row r="13" spans="1:9">
      <c r="A13" s="169" t="s">
        <v>33</v>
      </c>
      <c r="B13" s="573">
        <f t="shared" ref="B13" si="1">+B67</f>
        <v>1015363</v>
      </c>
      <c r="E13" s="2" t="s">
        <v>255</v>
      </c>
      <c r="F13" s="172"/>
      <c r="H13" s="172"/>
      <c r="I13" s="172"/>
    </row>
    <row r="14" spans="1:9">
      <c r="A14" s="169" t="s">
        <v>17</v>
      </c>
      <c r="B14" s="615">
        <v>568945</v>
      </c>
      <c r="E14" s="2" t="s">
        <v>202</v>
      </c>
      <c r="F14" s="172"/>
      <c r="H14" s="172"/>
      <c r="I14" s="172"/>
    </row>
    <row r="15" spans="1:9">
      <c r="A15" s="169" t="s">
        <v>22</v>
      </c>
      <c r="B15" s="573">
        <f t="shared" ref="B15" si="2">+B60</f>
        <v>8194500</v>
      </c>
      <c r="E15" s="2" t="s">
        <v>203</v>
      </c>
      <c r="F15" s="172"/>
      <c r="H15" s="172"/>
      <c r="I15" s="172"/>
    </row>
    <row r="16" spans="1:9">
      <c r="A16" s="169" t="s">
        <v>19</v>
      </c>
      <c r="B16" s="615">
        <v>2322500</v>
      </c>
      <c r="E16" s="2" t="s">
        <v>204</v>
      </c>
      <c r="F16" s="172"/>
      <c r="H16" s="172"/>
      <c r="I16" s="172"/>
    </row>
    <row r="17" spans="1:9">
      <c r="A17" s="169" t="s">
        <v>71</v>
      </c>
      <c r="B17" s="579">
        <f>B120</f>
        <v>6588833</v>
      </c>
      <c r="E17" s="2" t="s">
        <v>205</v>
      </c>
      <c r="F17" s="172"/>
      <c r="H17" s="172"/>
      <c r="I17" s="172"/>
    </row>
    <row r="18" spans="1:9">
      <c r="A18" s="169" t="s">
        <v>72</v>
      </c>
      <c r="B18" s="579">
        <f>+B57</f>
        <v>7071214</v>
      </c>
      <c r="E18" s="2" t="s">
        <v>206</v>
      </c>
      <c r="F18" s="172"/>
      <c r="H18" s="172"/>
      <c r="I18" s="172"/>
    </row>
    <row r="19" spans="1:9">
      <c r="A19" s="169" t="s">
        <v>31</v>
      </c>
      <c r="B19" s="573">
        <f>B78</f>
        <v>1629144</v>
      </c>
      <c r="E19" s="2" t="s">
        <v>207</v>
      </c>
      <c r="F19" s="172"/>
      <c r="H19" s="172"/>
      <c r="I19" s="172"/>
    </row>
    <row r="20" spans="1:9">
      <c r="A20" s="169" t="s">
        <v>35</v>
      </c>
      <c r="B20" s="615">
        <v>511134</v>
      </c>
      <c r="E20" s="2" t="s">
        <v>208</v>
      </c>
      <c r="F20" s="172"/>
      <c r="H20" s="172"/>
      <c r="I20" s="172"/>
    </row>
    <row r="21" spans="1:9">
      <c r="A21" s="169" t="s">
        <v>30</v>
      </c>
      <c r="B21" s="573">
        <f t="shared" ref="B21" si="3">+B95</f>
        <v>7578836</v>
      </c>
      <c r="E21" s="2" t="s">
        <v>209</v>
      </c>
      <c r="F21" s="172"/>
      <c r="H21" s="172"/>
      <c r="I21" s="172"/>
    </row>
    <row r="22" spans="1:9">
      <c r="A22" s="169" t="s">
        <v>20</v>
      </c>
      <c r="B22" s="615">
        <v>2819667</v>
      </c>
      <c r="E22" s="2" t="s">
        <v>210</v>
      </c>
      <c r="F22" s="172"/>
      <c r="H22" s="172"/>
      <c r="I22" s="172"/>
    </row>
    <row r="23" spans="1:9">
      <c r="A23" s="169" t="s">
        <v>34</v>
      </c>
      <c r="B23" s="573">
        <f t="shared" ref="B23" si="4">+B84</f>
        <v>1283335</v>
      </c>
      <c r="E23" s="2" t="s">
        <v>211</v>
      </c>
      <c r="F23" s="172"/>
      <c r="H23" s="172"/>
      <c r="I23" s="172"/>
    </row>
    <row r="24" spans="1:9">
      <c r="A24" s="169" t="s">
        <v>28</v>
      </c>
      <c r="B24" s="615">
        <v>462000</v>
      </c>
      <c r="E24" s="2" t="s">
        <v>212</v>
      </c>
      <c r="F24" s="172"/>
      <c r="H24" s="172"/>
      <c r="I24" s="172"/>
    </row>
    <row r="25" spans="1:9">
      <c r="A25" s="169" t="s">
        <v>32</v>
      </c>
      <c r="B25" s="579">
        <f>+B116</f>
        <v>252256</v>
      </c>
      <c r="E25" s="2" t="s">
        <v>213</v>
      </c>
      <c r="F25" s="172"/>
      <c r="H25" s="172"/>
      <c r="I25" s="172"/>
    </row>
    <row r="26" spans="1:9">
      <c r="A26" s="169" t="s">
        <v>188</v>
      </c>
      <c r="B26" s="615">
        <v>987683</v>
      </c>
      <c r="E26" s="2" t="s">
        <v>214</v>
      </c>
      <c r="F26" s="172"/>
      <c r="H26" s="172"/>
      <c r="I26" s="172"/>
    </row>
    <row r="27" spans="1:9">
      <c r="A27" s="169" t="s">
        <v>112</v>
      </c>
      <c r="B27" s="578">
        <f>+B105</f>
        <v>4036359</v>
      </c>
      <c r="E27" s="2" t="s">
        <v>215</v>
      </c>
      <c r="F27" s="172"/>
      <c r="H27" s="172"/>
      <c r="I27" s="172"/>
    </row>
    <row r="28" spans="1:9">
      <c r="A28" s="169" t="s">
        <v>113</v>
      </c>
      <c r="B28" s="615">
        <v>121537</v>
      </c>
      <c r="E28" s="2" t="s">
        <v>216</v>
      </c>
      <c r="F28" s="172"/>
      <c r="H28" s="172"/>
      <c r="I28" s="172"/>
    </row>
    <row r="29" spans="1:9">
      <c r="A29" s="169" t="s">
        <v>121</v>
      </c>
      <c r="B29" s="579">
        <f>+B108</f>
        <v>819836</v>
      </c>
      <c r="E29" s="2" t="s">
        <v>217</v>
      </c>
      <c r="F29" s="172"/>
      <c r="H29" s="172"/>
      <c r="I29" s="172"/>
    </row>
    <row r="30" spans="1:9">
      <c r="A30" s="169" t="s">
        <v>122</v>
      </c>
      <c r="B30" s="615">
        <v>1403083</v>
      </c>
      <c r="E30" s="2" t="s">
        <v>218</v>
      </c>
      <c r="F30" s="172"/>
      <c r="H30" s="172"/>
      <c r="I30" s="172"/>
    </row>
    <row r="31" spans="1:9">
      <c r="A31" s="580" t="s">
        <v>271</v>
      </c>
      <c r="B31" s="579">
        <f>B126</f>
        <v>5580833</v>
      </c>
      <c r="E31" s="562" t="s">
        <v>620</v>
      </c>
      <c r="F31" s="172"/>
      <c r="H31" s="172"/>
      <c r="I31" s="172"/>
    </row>
    <row r="32" spans="1:9">
      <c r="A32" s="580" t="s">
        <v>273</v>
      </c>
      <c r="B32" s="579">
        <f>B131</f>
        <v>11630500</v>
      </c>
      <c r="E32" s="562" t="s">
        <v>621</v>
      </c>
      <c r="F32" s="172"/>
      <c r="H32" s="172"/>
      <c r="I32" s="172"/>
    </row>
    <row r="33" spans="1:9">
      <c r="A33" s="580" t="s">
        <v>277</v>
      </c>
      <c r="B33" s="579">
        <f>B134</f>
        <v>3049076</v>
      </c>
      <c r="E33" s="562" t="s">
        <v>622</v>
      </c>
      <c r="F33" s="172"/>
      <c r="H33" s="172"/>
      <c r="I33" s="172"/>
    </row>
    <row r="34" spans="1:9">
      <c r="A34" s="580" t="s">
        <v>279</v>
      </c>
      <c r="B34" s="579">
        <f>B140</f>
        <v>3556667</v>
      </c>
      <c r="E34" s="562" t="s">
        <v>623</v>
      </c>
      <c r="F34" s="172"/>
      <c r="H34" s="172"/>
      <c r="I34" s="172"/>
    </row>
    <row r="35" spans="1:9">
      <c r="A35" s="580" t="s">
        <v>274</v>
      </c>
      <c r="B35" s="579">
        <f>B143</f>
        <v>1662666</v>
      </c>
      <c r="E35" s="562" t="s">
        <v>624</v>
      </c>
      <c r="F35" s="172"/>
      <c r="H35" s="172"/>
      <c r="I35" s="172"/>
    </row>
    <row r="36" spans="1:9">
      <c r="A36" s="580" t="s">
        <v>278</v>
      </c>
      <c r="B36" s="615">
        <v>725500</v>
      </c>
      <c r="E36" s="562" t="s">
        <v>625</v>
      </c>
      <c r="F36" s="172"/>
      <c r="H36" s="172"/>
      <c r="I36" s="172"/>
    </row>
    <row r="37" spans="1:9" s="172" customFormat="1">
      <c r="A37" s="580" t="s">
        <v>284</v>
      </c>
      <c r="B37" s="615">
        <v>382667</v>
      </c>
      <c r="E37" s="562" t="s">
        <v>626</v>
      </c>
      <c r="G37" s="91"/>
    </row>
    <row r="38" spans="1:9">
      <c r="B38" s="168"/>
      <c r="F38" s="172"/>
      <c r="H38" s="172"/>
      <c r="I38" s="172"/>
    </row>
    <row r="39" spans="1:9" ht="16.5" thickBot="1">
      <c r="A39" s="166" t="s">
        <v>73</v>
      </c>
      <c r="B39" s="170">
        <f>SUM(B4:B38)-B18-B8-B9</f>
        <v>99907139</v>
      </c>
      <c r="F39" s="172"/>
      <c r="H39" s="172"/>
      <c r="I39" s="172"/>
    </row>
    <row r="40" spans="1:9" ht="16.5" thickTop="1">
      <c r="A40" s="171"/>
      <c r="B40" s="171"/>
      <c r="F40" s="172"/>
      <c r="H40" s="172"/>
      <c r="I40" s="172"/>
    </row>
    <row r="41" spans="1:9" s="172" customFormat="1">
      <c r="A41" s="171"/>
      <c r="B41" s="171"/>
      <c r="G41" s="91"/>
    </row>
    <row r="42" spans="1:9" s="172" customFormat="1">
      <c r="A42" s="171"/>
      <c r="B42" s="171"/>
      <c r="G42" s="91"/>
    </row>
    <row r="43" spans="1:9">
      <c r="A43" s="171"/>
      <c r="B43" s="171"/>
      <c r="F43" s="172"/>
      <c r="H43" s="172"/>
      <c r="I43" s="172"/>
    </row>
    <row r="44" spans="1:9">
      <c r="A44" s="209" t="s">
        <v>70</v>
      </c>
      <c r="B44" s="615">
        <v>5212000</v>
      </c>
      <c r="C44" s="196"/>
      <c r="F44" s="172"/>
      <c r="H44" s="172"/>
      <c r="I44" s="172"/>
    </row>
    <row r="45" spans="1:9">
      <c r="A45" s="210" t="s">
        <v>74</v>
      </c>
      <c r="B45" s="615">
        <v>491583</v>
      </c>
      <c r="C45" s="197"/>
      <c r="F45" s="172"/>
      <c r="H45" s="172"/>
      <c r="I45" s="172"/>
    </row>
    <row r="46" spans="1:9">
      <c r="A46" s="210" t="s">
        <v>75</v>
      </c>
      <c r="B46" s="616">
        <v>471063</v>
      </c>
      <c r="C46" s="197"/>
      <c r="F46" s="172"/>
      <c r="H46" s="172"/>
      <c r="I46" s="172"/>
    </row>
    <row r="47" spans="1:9">
      <c r="A47" s="44" t="s">
        <v>76</v>
      </c>
      <c r="B47" s="571">
        <f t="shared" ref="B47" si="5">SUM(B44:B46)</f>
        <v>6174646</v>
      </c>
      <c r="C47" s="197"/>
      <c r="F47" s="172"/>
      <c r="H47" s="172"/>
      <c r="I47" s="172"/>
    </row>
    <row r="48" spans="1:9">
      <c r="A48" s="45" t="s">
        <v>21</v>
      </c>
      <c r="B48" s="615">
        <v>0</v>
      </c>
      <c r="C48" s="197"/>
      <c r="F48" s="172"/>
      <c r="H48" s="172"/>
      <c r="I48" s="172"/>
    </row>
    <row r="49" spans="1:9">
      <c r="A49" s="46" t="s">
        <v>77</v>
      </c>
      <c r="B49" s="617"/>
      <c r="C49" s="197"/>
      <c r="F49" s="172"/>
      <c r="H49" s="172"/>
      <c r="I49" s="172"/>
    </row>
    <row r="50" spans="1:9">
      <c r="A50" s="47" t="s">
        <v>78</v>
      </c>
      <c r="B50" s="571">
        <f>B120</f>
        <v>6588833</v>
      </c>
      <c r="C50" s="197"/>
      <c r="F50" s="172"/>
      <c r="H50" s="172"/>
      <c r="I50" s="172"/>
    </row>
    <row r="51" spans="1:9">
      <c r="A51" s="48" t="s">
        <v>79</v>
      </c>
      <c r="B51" s="618">
        <v>0</v>
      </c>
      <c r="C51" s="197"/>
      <c r="F51" s="172"/>
      <c r="H51" s="172"/>
      <c r="I51" s="172"/>
    </row>
    <row r="52" spans="1:9">
      <c r="A52" s="48" t="s">
        <v>80</v>
      </c>
      <c r="B52" s="618">
        <v>0</v>
      </c>
      <c r="C52" s="197"/>
      <c r="F52" s="172"/>
      <c r="H52" s="172"/>
      <c r="I52" s="172"/>
    </row>
    <row r="53" spans="1:9">
      <c r="A53" s="48" t="s">
        <v>81</v>
      </c>
      <c r="B53" s="618">
        <v>0</v>
      </c>
      <c r="C53" s="197"/>
      <c r="F53" s="172"/>
      <c r="H53" s="172"/>
      <c r="I53" s="172"/>
    </row>
    <row r="54" spans="1:9">
      <c r="A54" s="48" t="s">
        <v>82</v>
      </c>
      <c r="B54" s="618">
        <v>0</v>
      </c>
      <c r="C54" s="197"/>
      <c r="F54" s="172"/>
      <c r="H54" s="172"/>
      <c r="I54" s="172"/>
    </row>
    <row r="55" spans="1:9">
      <c r="A55" s="48" t="s">
        <v>83</v>
      </c>
      <c r="B55" s="618">
        <v>0</v>
      </c>
      <c r="C55" s="197"/>
      <c r="F55" s="172"/>
      <c r="H55" s="172"/>
      <c r="I55" s="172"/>
    </row>
    <row r="56" spans="1:9">
      <c r="A56" s="48" t="s">
        <v>84</v>
      </c>
      <c r="B56" s="618">
        <v>0</v>
      </c>
      <c r="C56" s="199"/>
      <c r="F56" s="172"/>
      <c r="H56" s="172"/>
      <c r="I56" s="172"/>
    </row>
    <row r="57" spans="1:9">
      <c r="A57" s="49" t="s">
        <v>85</v>
      </c>
      <c r="B57" s="574">
        <f>B123</f>
        <v>7071214</v>
      </c>
      <c r="C57" s="199"/>
      <c r="F57" s="172"/>
      <c r="H57" s="172"/>
      <c r="I57" s="172"/>
    </row>
    <row r="58" spans="1:9">
      <c r="A58" s="211" t="s">
        <v>86</v>
      </c>
      <c r="B58" s="615">
        <v>8194500</v>
      </c>
      <c r="C58" s="199"/>
      <c r="F58" s="172"/>
      <c r="H58" s="172"/>
      <c r="I58" s="172"/>
    </row>
    <row r="59" spans="1:9">
      <c r="A59" s="46" t="s">
        <v>79</v>
      </c>
      <c r="B59" s="619">
        <v>0</v>
      </c>
      <c r="C59" s="199"/>
      <c r="F59" s="172"/>
      <c r="H59" s="172"/>
      <c r="I59" s="172"/>
    </row>
    <row r="60" spans="1:9">
      <c r="A60" s="49" t="s">
        <v>22</v>
      </c>
      <c r="B60" s="574">
        <f t="shared" ref="B60" si="6">SUM(B58:B59)</f>
        <v>8194500</v>
      </c>
      <c r="C60" s="199"/>
      <c r="F60" s="172"/>
      <c r="H60" s="172"/>
      <c r="I60" s="172"/>
    </row>
    <row r="61" spans="1:9">
      <c r="A61" s="211" t="s">
        <v>87</v>
      </c>
      <c r="B61" s="615">
        <v>822746</v>
      </c>
      <c r="C61" s="199"/>
    </row>
    <row r="62" spans="1:9">
      <c r="A62" s="212" t="s">
        <v>32</v>
      </c>
      <c r="B62" s="615">
        <v>42300</v>
      </c>
      <c r="C62" s="199"/>
    </row>
    <row r="63" spans="1:9">
      <c r="A63" s="46" t="s">
        <v>88</v>
      </c>
      <c r="B63" s="615">
        <v>0</v>
      </c>
      <c r="C63" s="199"/>
    </row>
    <row r="64" spans="1:9" s="172" customFormat="1">
      <c r="A64" s="620" t="s">
        <v>643</v>
      </c>
      <c r="B64" s="615">
        <v>39400</v>
      </c>
      <c r="C64" s="199"/>
      <c r="G64" s="91"/>
    </row>
    <row r="65" spans="1:5">
      <c r="A65" s="212" t="s">
        <v>189</v>
      </c>
      <c r="B65" s="615">
        <v>46417</v>
      </c>
      <c r="C65" s="199"/>
    </row>
    <row r="66" spans="1:5">
      <c r="A66" s="213" t="s">
        <v>89</v>
      </c>
      <c r="B66" s="616">
        <v>64500</v>
      </c>
      <c r="C66" s="199"/>
    </row>
    <row r="67" spans="1:5">
      <c r="A67" s="49" t="s">
        <v>33</v>
      </c>
      <c r="B67" s="574">
        <f>SUM(B61:B66)</f>
        <v>1015363</v>
      </c>
      <c r="C67" s="199"/>
      <c r="E67" s="172"/>
    </row>
    <row r="68" spans="1:5">
      <c r="A68" s="213" t="s">
        <v>90</v>
      </c>
      <c r="B68" s="615">
        <f>2850083-B69-B70-B71-B72-B73-B74</f>
        <v>2688862</v>
      </c>
      <c r="C68" s="199"/>
      <c r="E68" s="172"/>
    </row>
    <row r="69" spans="1:5">
      <c r="A69" s="212" t="s">
        <v>32</v>
      </c>
      <c r="B69" s="615">
        <v>28400</v>
      </c>
      <c r="C69" s="199"/>
      <c r="E69" s="172"/>
    </row>
    <row r="70" spans="1:5">
      <c r="A70" s="212" t="s">
        <v>107</v>
      </c>
      <c r="B70" s="615">
        <v>5353</v>
      </c>
      <c r="C70" s="199"/>
    </row>
    <row r="71" spans="1:5">
      <c r="A71" s="214" t="s">
        <v>91</v>
      </c>
      <c r="B71" s="615">
        <v>3244</v>
      </c>
      <c r="C71" s="199"/>
    </row>
    <row r="72" spans="1:5">
      <c r="A72" s="212" t="s">
        <v>92</v>
      </c>
      <c r="B72" s="615">
        <v>10319</v>
      </c>
      <c r="C72" s="199"/>
    </row>
    <row r="73" spans="1:5">
      <c r="A73" s="215" t="s">
        <v>33</v>
      </c>
      <c r="B73" s="615">
        <v>113905</v>
      </c>
      <c r="C73" s="199"/>
    </row>
    <row r="74" spans="1:5">
      <c r="A74" s="216" t="s">
        <v>265</v>
      </c>
      <c r="B74" s="615">
        <v>0</v>
      </c>
      <c r="C74" s="199"/>
    </row>
    <row r="75" spans="1:5">
      <c r="A75" s="49" t="s">
        <v>23</v>
      </c>
      <c r="B75" s="574">
        <f>SUM(B68:B74)</f>
        <v>2850083</v>
      </c>
      <c r="C75" s="199"/>
    </row>
    <row r="76" spans="1:5">
      <c r="A76" s="217" t="s">
        <v>93</v>
      </c>
      <c r="B76" s="615">
        <v>1445000</v>
      </c>
      <c r="C76" s="199"/>
    </row>
    <row r="77" spans="1:5">
      <c r="A77" s="218" t="s">
        <v>33</v>
      </c>
      <c r="B77" s="616">
        <v>184144</v>
      </c>
      <c r="C77" s="199"/>
      <c r="D77" s="34"/>
    </row>
    <row r="78" spans="1:5">
      <c r="A78" s="183" t="s">
        <v>31</v>
      </c>
      <c r="B78" s="574">
        <f t="shared" ref="B78" si="7">SUM(B76:B77)</f>
        <v>1629144</v>
      </c>
      <c r="C78" s="199"/>
    </row>
    <row r="79" spans="1:5">
      <c r="A79" s="219" t="s">
        <v>94</v>
      </c>
      <c r="B79" s="570">
        <v>1040951</v>
      </c>
      <c r="C79" s="199"/>
    </row>
    <row r="80" spans="1:5">
      <c r="A80" s="220" t="s">
        <v>123</v>
      </c>
      <c r="B80" s="570">
        <v>106486</v>
      </c>
      <c r="C80" s="199"/>
      <c r="E80" s="172"/>
    </row>
    <row r="81" spans="1:7">
      <c r="A81" s="220" t="s">
        <v>266</v>
      </c>
      <c r="B81" s="572">
        <v>0</v>
      </c>
      <c r="C81" s="199"/>
      <c r="E81" s="172"/>
    </row>
    <row r="82" spans="1:7">
      <c r="A82" s="220" t="s">
        <v>267</v>
      </c>
      <c r="B82" s="572">
        <v>0</v>
      </c>
      <c r="C82" s="199"/>
      <c r="E82" s="172"/>
    </row>
    <row r="83" spans="1:7">
      <c r="A83" s="220" t="s">
        <v>33</v>
      </c>
      <c r="B83" s="575">
        <v>135898</v>
      </c>
      <c r="C83" s="199"/>
      <c r="E83" s="172"/>
    </row>
    <row r="84" spans="1:7">
      <c r="A84" s="183" t="s">
        <v>34</v>
      </c>
      <c r="B84" s="574">
        <f>SUM(B79:B83)</f>
        <v>1283335</v>
      </c>
      <c r="C84" s="199"/>
      <c r="D84" s="34"/>
      <c r="E84" s="172"/>
    </row>
    <row r="85" spans="1:7">
      <c r="A85" s="219" t="s">
        <v>89</v>
      </c>
      <c r="B85" s="615">
        <f>7052250-64500-6660-8928-9285-12261-310500</f>
        <v>6640116</v>
      </c>
      <c r="C85" s="199"/>
      <c r="E85" s="172"/>
    </row>
    <row r="86" spans="1:7">
      <c r="A86" s="214" t="s">
        <v>32</v>
      </c>
      <c r="B86" s="615">
        <v>126200</v>
      </c>
      <c r="C86" s="199"/>
      <c r="E86" s="172"/>
    </row>
    <row r="87" spans="1:7">
      <c r="A87" s="214" t="s">
        <v>124</v>
      </c>
      <c r="B87" s="615">
        <v>6660</v>
      </c>
      <c r="C87" s="199"/>
      <c r="E87" s="172"/>
    </row>
    <row r="88" spans="1:7">
      <c r="A88" s="214" t="s">
        <v>268</v>
      </c>
      <c r="B88" s="615">
        <v>0</v>
      </c>
      <c r="C88" s="199"/>
      <c r="E88" s="172"/>
    </row>
    <row r="89" spans="1:7">
      <c r="A89" s="214" t="s">
        <v>95</v>
      </c>
      <c r="B89" s="615">
        <v>8928</v>
      </c>
      <c r="C89" s="199"/>
      <c r="E89" s="172"/>
    </row>
    <row r="90" spans="1:7">
      <c r="A90" s="214" t="s">
        <v>96</v>
      </c>
      <c r="B90" s="615">
        <v>9285</v>
      </c>
      <c r="C90" s="199"/>
      <c r="E90" s="172"/>
    </row>
    <row r="91" spans="1:7">
      <c r="A91" s="566" t="s">
        <v>580</v>
      </c>
      <c r="B91" s="615">
        <v>12261</v>
      </c>
      <c r="C91" s="199"/>
      <c r="E91" s="172"/>
    </row>
    <row r="92" spans="1:7" s="172" customFormat="1">
      <c r="A92" s="566" t="s">
        <v>642</v>
      </c>
      <c r="B92" s="615">
        <v>77864</v>
      </c>
      <c r="C92" s="199"/>
      <c r="G92" s="91"/>
    </row>
    <row r="93" spans="1:7" s="172" customFormat="1">
      <c r="A93" s="214" t="s">
        <v>269</v>
      </c>
      <c r="B93" s="615">
        <v>0</v>
      </c>
      <c r="C93" s="199"/>
      <c r="G93" s="91"/>
    </row>
    <row r="94" spans="1:7">
      <c r="A94" s="220" t="s">
        <v>33</v>
      </c>
      <c r="B94" s="615">
        <v>697522</v>
      </c>
      <c r="C94" s="199"/>
      <c r="E94" s="172"/>
    </row>
    <row r="95" spans="1:7">
      <c r="A95" s="183" t="s">
        <v>30</v>
      </c>
      <c r="B95" s="574">
        <f>SUM(B85:B94)</f>
        <v>7578836</v>
      </c>
      <c r="C95" s="199"/>
      <c r="E95" s="172"/>
    </row>
    <row r="96" spans="1:7">
      <c r="A96" s="219" t="s">
        <v>112</v>
      </c>
      <c r="B96" s="619">
        <v>3785839</v>
      </c>
      <c r="C96" s="199"/>
      <c r="E96" s="172"/>
    </row>
    <row r="97" spans="1:7">
      <c r="A97" s="214" t="s">
        <v>125</v>
      </c>
      <c r="B97" s="619">
        <v>85295</v>
      </c>
      <c r="C97" s="199"/>
      <c r="E97" s="172"/>
    </row>
    <row r="98" spans="1:7" s="172" customFormat="1">
      <c r="A98" s="566" t="s">
        <v>581</v>
      </c>
      <c r="B98" s="619">
        <v>102416</v>
      </c>
      <c r="C98" s="199"/>
      <c r="G98" s="91"/>
    </row>
    <row r="99" spans="1:7">
      <c r="A99" s="214" t="s">
        <v>126</v>
      </c>
      <c r="B99" s="619">
        <v>18683</v>
      </c>
      <c r="C99" s="199"/>
      <c r="E99" s="172"/>
    </row>
    <row r="100" spans="1:7">
      <c r="A100" s="214" t="s">
        <v>127</v>
      </c>
      <c r="B100" s="619">
        <v>0</v>
      </c>
      <c r="C100" s="199"/>
      <c r="E100" s="172"/>
    </row>
    <row r="101" spans="1:7">
      <c r="A101" s="214" t="s">
        <v>128</v>
      </c>
      <c r="B101" s="619">
        <v>7236</v>
      </c>
      <c r="C101" s="199"/>
      <c r="E101" s="172"/>
    </row>
    <row r="102" spans="1:7">
      <c r="A102" s="214" t="s">
        <v>129</v>
      </c>
      <c r="B102" s="619">
        <v>32291</v>
      </c>
      <c r="C102" s="199"/>
      <c r="E102" s="172"/>
    </row>
    <row r="103" spans="1:7">
      <c r="A103" s="214" t="s">
        <v>130</v>
      </c>
      <c r="B103" s="619">
        <v>4599</v>
      </c>
      <c r="C103" s="199"/>
      <c r="E103" s="172"/>
    </row>
    <row r="104" spans="1:7">
      <c r="A104" s="214" t="s">
        <v>107</v>
      </c>
      <c r="B104" s="616">
        <v>0</v>
      </c>
      <c r="C104" s="199"/>
      <c r="E104" s="172"/>
    </row>
    <row r="105" spans="1:7">
      <c r="A105" s="183" t="s">
        <v>112</v>
      </c>
      <c r="B105" s="574">
        <f>SUM(B96:B104)</f>
        <v>4036359</v>
      </c>
      <c r="C105" s="199"/>
      <c r="E105" s="172"/>
    </row>
    <row r="106" spans="1:7">
      <c r="A106" s="214" t="s">
        <v>121</v>
      </c>
      <c r="B106" s="619">
        <f>819836-22758</f>
        <v>797078</v>
      </c>
      <c r="C106" s="199"/>
      <c r="E106" s="172"/>
    </row>
    <row r="107" spans="1:7">
      <c r="A107" s="214" t="s">
        <v>124</v>
      </c>
      <c r="B107" s="619">
        <v>22758</v>
      </c>
      <c r="C107" s="199"/>
      <c r="E107" s="172"/>
    </row>
    <row r="108" spans="1:7">
      <c r="A108" s="183" t="s">
        <v>121</v>
      </c>
      <c r="B108" s="574">
        <f>SUM(B106:B107)</f>
        <v>819836</v>
      </c>
      <c r="C108" s="199"/>
      <c r="E108" s="172"/>
    </row>
    <row r="109" spans="1:7">
      <c r="A109" s="220" t="s">
        <v>25</v>
      </c>
      <c r="B109" s="619">
        <v>6922407</v>
      </c>
      <c r="C109" s="199"/>
      <c r="E109" s="172"/>
    </row>
    <row r="110" spans="1:7">
      <c r="A110" s="220" t="s">
        <v>197</v>
      </c>
      <c r="B110" s="619">
        <v>0</v>
      </c>
      <c r="C110" s="199"/>
      <c r="E110" s="172"/>
    </row>
    <row r="111" spans="1:7">
      <c r="A111" s="220" t="s">
        <v>270</v>
      </c>
      <c r="B111" s="616">
        <v>0</v>
      </c>
      <c r="C111" s="199"/>
      <c r="E111" s="172"/>
    </row>
    <row r="112" spans="1:7">
      <c r="A112" s="183" t="s">
        <v>25</v>
      </c>
      <c r="B112" s="571">
        <f>SUM(B109:B111)</f>
        <v>6922407</v>
      </c>
      <c r="C112" s="199"/>
      <c r="E112" s="172"/>
    </row>
    <row r="113" spans="1:7">
      <c r="A113" s="214" t="s">
        <v>32</v>
      </c>
      <c r="B113" s="615">
        <v>55600</v>
      </c>
      <c r="C113" s="199"/>
    </row>
    <row r="114" spans="1:7" s="172" customFormat="1">
      <c r="A114" s="566" t="s">
        <v>33</v>
      </c>
      <c r="B114" s="621">
        <v>3540</v>
      </c>
      <c r="C114" s="199"/>
      <c r="G114" s="91"/>
    </row>
    <row r="115" spans="1:7">
      <c r="A115" s="566" t="s">
        <v>582</v>
      </c>
      <c r="B115" s="616">
        <v>193116</v>
      </c>
      <c r="C115" s="199"/>
    </row>
    <row r="116" spans="1:7">
      <c r="A116" s="183" t="s">
        <v>32</v>
      </c>
      <c r="B116" s="571">
        <f>SUM(B113:B115)</f>
        <v>252256</v>
      </c>
      <c r="C116" s="199"/>
    </row>
    <row r="117" spans="1:7">
      <c r="A117" s="184"/>
      <c r="B117" s="576"/>
      <c r="C117" s="199"/>
    </row>
    <row r="118" spans="1:7">
      <c r="A118" s="220" t="s">
        <v>21</v>
      </c>
      <c r="B118" s="621">
        <v>6462333</v>
      </c>
      <c r="C118" s="199"/>
    </row>
    <row r="119" spans="1:7">
      <c r="A119" s="214" t="s">
        <v>108</v>
      </c>
      <c r="B119" s="616">
        <v>126500</v>
      </c>
      <c r="C119" s="199"/>
    </row>
    <row r="120" spans="1:7">
      <c r="A120" s="57" t="s">
        <v>109</v>
      </c>
      <c r="B120" s="571">
        <f>B118+B119</f>
        <v>6588833</v>
      </c>
      <c r="C120" s="199"/>
    </row>
    <row r="121" spans="1:7">
      <c r="A121" s="200" t="str">
        <f>A120</f>
        <v>Mi Joint Zone (Zone 13)</v>
      </c>
      <c r="B121" s="577">
        <f>B120</f>
        <v>6588833</v>
      </c>
      <c r="C121" s="199"/>
    </row>
    <row r="122" spans="1:7">
      <c r="A122" s="220" t="s">
        <v>110</v>
      </c>
      <c r="B122" s="616">
        <v>482381</v>
      </c>
      <c r="C122" s="199"/>
      <c r="E122" s="34"/>
    </row>
    <row r="123" spans="1:7">
      <c r="A123" s="57" t="s">
        <v>111</v>
      </c>
      <c r="B123" s="571">
        <f>B121+B122</f>
        <v>7071214</v>
      </c>
      <c r="C123" s="199"/>
      <c r="E123" s="172"/>
    </row>
    <row r="124" spans="1:7">
      <c r="A124" s="56" t="s">
        <v>271</v>
      </c>
      <c r="B124" s="615">
        <v>5580833</v>
      </c>
      <c r="C124" s="199"/>
      <c r="E124" s="172"/>
    </row>
    <row r="125" spans="1:7">
      <c r="A125" s="56" t="s">
        <v>272</v>
      </c>
      <c r="B125" s="616">
        <v>0</v>
      </c>
      <c r="C125" s="199"/>
      <c r="E125" s="172"/>
    </row>
    <row r="126" spans="1:7">
      <c r="A126" s="57" t="s">
        <v>271</v>
      </c>
      <c r="B126" s="571">
        <f>SUM(B124:B125)</f>
        <v>5580833</v>
      </c>
      <c r="C126" s="199"/>
      <c r="E126" s="172"/>
    </row>
    <row r="127" spans="1:7">
      <c r="A127" s="607" t="s">
        <v>641</v>
      </c>
      <c r="B127" s="615">
        <v>10690098</v>
      </c>
      <c r="C127" s="199"/>
      <c r="E127" s="172"/>
    </row>
    <row r="128" spans="1:7">
      <c r="A128" s="56" t="s">
        <v>274</v>
      </c>
      <c r="B128" s="615">
        <v>0</v>
      </c>
      <c r="C128" s="199"/>
      <c r="E128" s="172"/>
    </row>
    <row r="129" spans="1:7">
      <c r="A129" s="56" t="s">
        <v>275</v>
      </c>
      <c r="B129" s="615">
        <v>940402</v>
      </c>
      <c r="C129" s="199"/>
      <c r="E129" s="172"/>
    </row>
    <row r="130" spans="1:7">
      <c r="A130" s="56" t="s">
        <v>276</v>
      </c>
      <c r="B130" s="622">
        <v>0</v>
      </c>
      <c r="C130" s="199"/>
      <c r="E130" s="172"/>
    </row>
    <row r="131" spans="1:7">
      <c r="A131" s="57" t="s">
        <v>273</v>
      </c>
      <c r="B131" s="571">
        <f>SUM(B127:B130)</f>
        <v>11630500</v>
      </c>
      <c r="C131" s="199"/>
      <c r="E131" s="172"/>
    </row>
    <row r="132" spans="1:7">
      <c r="A132" s="56" t="s">
        <v>277</v>
      </c>
      <c r="B132" s="615">
        <v>2491076</v>
      </c>
      <c r="C132" s="199"/>
      <c r="E132" s="172"/>
    </row>
    <row r="133" spans="1:7">
      <c r="A133" s="56" t="s">
        <v>278</v>
      </c>
      <c r="B133" s="616">
        <v>558000</v>
      </c>
      <c r="C133" s="199"/>
      <c r="E133" s="172"/>
    </row>
    <row r="134" spans="1:7">
      <c r="A134" s="57" t="s">
        <v>277</v>
      </c>
      <c r="B134" s="571">
        <f>SUM(B132:B133)</f>
        <v>3049076</v>
      </c>
      <c r="C134" s="199"/>
      <c r="E134" s="172"/>
    </row>
    <row r="135" spans="1:7">
      <c r="A135" s="56" t="s">
        <v>279</v>
      </c>
      <c r="B135" s="621">
        <v>3556667</v>
      </c>
      <c r="C135" s="199"/>
      <c r="E135" s="172"/>
    </row>
    <row r="136" spans="1:7">
      <c r="A136" s="56" t="s">
        <v>280</v>
      </c>
      <c r="B136" s="623">
        <v>0</v>
      </c>
      <c r="C136" s="199"/>
      <c r="E136" s="172"/>
    </row>
    <row r="137" spans="1:7">
      <c r="A137" s="56" t="s">
        <v>281</v>
      </c>
      <c r="B137" s="623">
        <v>0</v>
      </c>
      <c r="C137" s="199"/>
      <c r="E137" s="172"/>
    </row>
    <row r="138" spans="1:7">
      <c r="A138" s="56" t="s">
        <v>282</v>
      </c>
      <c r="B138" s="623">
        <v>0</v>
      </c>
      <c r="C138" s="199"/>
      <c r="E138" s="172"/>
    </row>
    <row r="139" spans="1:7">
      <c r="A139" s="56" t="s">
        <v>283</v>
      </c>
      <c r="B139" s="624">
        <v>0</v>
      </c>
      <c r="C139" s="199"/>
      <c r="E139" s="172"/>
    </row>
    <row r="140" spans="1:7">
      <c r="A140" s="57" t="s">
        <v>279</v>
      </c>
      <c r="B140" s="571">
        <f>SUM(B135:B139)</f>
        <v>3556667</v>
      </c>
      <c r="C140" s="199"/>
      <c r="E140" s="172"/>
    </row>
    <row r="141" spans="1:7">
      <c r="A141" s="56" t="s">
        <v>583</v>
      </c>
      <c r="B141" s="623">
        <v>1662666</v>
      </c>
      <c r="C141" s="199"/>
      <c r="E141" s="172"/>
    </row>
    <row r="142" spans="1:7">
      <c r="A142" s="56" t="s">
        <v>584</v>
      </c>
      <c r="B142" s="624">
        <v>0</v>
      </c>
      <c r="C142" s="199"/>
      <c r="E142" s="172"/>
    </row>
    <row r="143" spans="1:7" s="172" customFormat="1">
      <c r="A143" s="56" t="s">
        <v>585</v>
      </c>
      <c r="B143" s="571">
        <f>B141+B142</f>
        <v>1662666</v>
      </c>
      <c r="C143" s="199"/>
      <c r="G143" s="91"/>
    </row>
    <row r="144" spans="1:7" s="172" customFormat="1">
      <c r="A144" s="56"/>
      <c r="B144" s="198"/>
      <c r="C144" s="199"/>
      <c r="G144" s="91"/>
    </row>
    <row r="145" spans="1:5" ht="51.75">
      <c r="A145" s="629" t="s">
        <v>644</v>
      </c>
      <c r="B145" s="630" t="s">
        <v>645</v>
      </c>
      <c r="C145" s="625" t="s">
        <v>646</v>
      </c>
      <c r="D145" s="567"/>
      <c r="E145" s="172"/>
    </row>
    <row r="146" spans="1:5">
      <c r="A146" s="568" t="s">
        <v>198</v>
      </c>
      <c r="B146" s="567">
        <f>+B62+B69+B86+B113</f>
        <v>252500</v>
      </c>
      <c r="C146"/>
      <c r="D146" s="567"/>
      <c r="E146" s="172"/>
    </row>
    <row r="147" spans="1:5">
      <c r="A147" s="626" t="s">
        <v>199</v>
      </c>
      <c r="B147" s="627">
        <f>+B66+B95-B94-B86-B92</f>
        <v>6741750</v>
      </c>
      <c r="C147" s="631">
        <v>310500</v>
      </c>
      <c r="D147" s="628">
        <f>B147+C147</f>
        <v>7052250</v>
      </c>
      <c r="E147" s="172"/>
    </row>
    <row r="148" spans="1:5">
      <c r="A148" s="568" t="s">
        <v>190</v>
      </c>
      <c r="B148" s="567">
        <f>+B61+B73+B83+B94+B77+B114</f>
        <v>1957755</v>
      </c>
      <c r="C148"/>
      <c r="D148"/>
      <c r="E148" s="172"/>
    </row>
    <row r="149" spans="1:5">
      <c r="A149" s="569" t="s">
        <v>586</v>
      </c>
      <c r="B149" s="567">
        <f>B133+B36</f>
        <v>1283500</v>
      </c>
      <c r="C149"/>
      <c r="D149"/>
    </row>
    <row r="150" spans="1:5">
      <c r="A150" s="569" t="s">
        <v>647</v>
      </c>
      <c r="B150" s="567">
        <f>B107+B87</f>
        <v>29418</v>
      </c>
      <c r="C150"/>
      <c r="D150"/>
    </row>
    <row r="151" spans="1:5">
      <c r="A151" s="569" t="s">
        <v>648</v>
      </c>
      <c r="B151" s="567">
        <f>B141+B128</f>
        <v>1662666</v>
      </c>
      <c r="C151"/>
      <c r="D151"/>
    </row>
  </sheetData>
  <phoneticPr fontId="4" type="noConversion"/>
  <pageMargins left="0.25" right="0.25" top="0.5" bottom="0.5" header="0.5" footer="0.5"/>
  <pageSetup fitToHeight="3" orientation="portrait" r:id="rId1"/>
  <headerFooter alignWithMargins="0"/>
  <rowBreaks count="2" manualBreakCount="2">
    <brk id="42" max="4" man="1"/>
    <brk id="95" max="4"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8F"/>
    <pageSetUpPr fitToPage="1"/>
  </sheetPr>
  <dimension ref="A1:R145"/>
  <sheetViews>
    <sheetView showGridLines="0" topLeftCell="A24" zoomScaleNormal="100" workbookViewId="0">
      <selection activeCell="E61" sqref="E61"/>
    </sheetView>
  </sheetViews>
  <sheetFormatPr defaultRowHeight="15.75"/>
  <cols>
    <col min="1" max="1" width="24.875" style="2" customWidth="1"/>
    <col min="2" max="2" width="15.375" style="2" customWidth="1"/>
    <col min="3" max="6" width="12.625" style="2" customWidth="1"/>
    <col min="7" max="12" width="12.5" style="2" customWidth="1"/>
    <col min="13" max="13" width="13.625" style="2" customWidth="1"/>
    <col min="14" max="14" width="14.75" style="2" bestFit="1" customWidth="1"/>
    <col min="15" max="15" width="4.125" style="2" customWidth="1"/>
    <col min="16" max="16" width="11" style="2" bestFit="1" customWidth="1"/>
    <col min="17" max="17" width="14.75" style="172" bestFit="1" customWidth="1"/>
    <col min="18" max="18" width="11" style="2" customWidth="1"/>
    <col min="19" max="16384" width="9" style="2"/>
  </cols>
  <sheetData>
    <row r="1" spans="1:18">
      <c r="A1" s="39" t="s">
        <v>131</v>
      </c>
      <c r="B1" s="40"/>
      <c r="C1" s="40"/>
      <c r="D1" s="40"/>
      <c r="E1" s="40"/>
      <c r="F1" s="40"/>
      <c r="G1" s="40"/>
      <c r="H1" s="40"/>
      <c r="I1" s="40"/>
      <c r="J1" s="40"/>
      <c r="K1" s="40"/>
      <c r="L1" s="40"/>
      <c r="M1" s="40"/>
      <c r="N1" s="60" t="s">
        <v>291</v>
      </c>
      <c r="O1" s="40"/>
      <c r="Q1" s="60"/>
    </row>
    <row r="2" spans="1:18">
      <c r="A2" s="39" t="s">
        <v>132</v>
      </c>
      <c r="B2" s="40"/>
      <c r="C2" s="40"/>
      <c r="D2" s="40"/>
      <c r="E2" s="40"/>
      <c r="F2" s="40"/>
      <c r="G2" s="40"/>
      <c r="H2" s="40"/>
      <c r="I2" s="40"/>
      <c r="J2" s="40"/>
      <c r="K2" s="40"/>
      <c r="L2" s="40"/>
      <c r="M2" s="40"/>
      <c r="O2" s="40"/>
    </row>
    <row r="3" spans="1:18">
      <c r="A3" s="39" t="s">
        <v>637</v>
      </c>
      <c r="B3" s="41" t="s">
        <v>57</v>
      </c>
      <c r="C3" s="41" t="s">
        <v>58</v>
      </c>
      <c r="D3" s="41" t="s">
        <v>59</v>
      </c>
      <c r="E3" s="41" t="s">
        <v>60</v>
      </c>
      <c r="F3" s="41" t="s">
        <v>61</v>
      </c>
      <c r="G3" s="41" t="s">
        <v>62</v>
      </c>
      <c r="H3" s="41" t="s">
        <v>63</v>
      </c>
      <c r="I3" s="41" t="s">
        <v>64</v>
      </c>
      <c r="J3" s="41" t="s">
        <v>65</v>
      </c>
      <c r="K3" s="41" t="s">
        <v>66</v>
      </c>
      <c r="L3" s="41" t="s">
        <v>67</v>
      </c>
      <c r="M3" s="41" t="s">
        <v>68</v>
      </c>
      <c r="N3" s="41" t="s">
        <v>69</v>
      </c>
      <c r="O3" s="40"/>
      <c r="Q3" s="41"/>
    </row>
    <row r="4" spans="1:18">
      <c r="A4" s="166" t="s">
        <v>23</v>
      </c>
      <c r="B4" s="167">
        <f t="shared" ref="B4:M4" si="0">+B72</f>
        <v>2898000</v>
      </c>
      <c r="C4" s="167">
        <f t="shared" si="0"/>
        <v>2898000</v>
      </c>
      <c r="D4" s="167">
        <f t="shared" si="0"/>
        <v>2898000</v>
      </c>
      <c r="E4" s="167">
        <f t="shared" si="0"/>
        <v>2898000</v>
      </c>
      <c r="F4" s="167">
        <f t="shared" si="0"/>
        <v>2898000</v>
      </c>
      <c r="G4" s="167">
        <f t="shared" si="0"/>
        <v>2898000</v>
      </c>
      <c r="H4" s="167">
        <f t="shared" si="0"/>
        <v>2898000</v>
      </c>
      <c r="I4" s="167">
        <f t="shared" si="0"/>
        <v>2898000</v>
      </c>
      <c r="J4" s="167">
        <f t="shared" si="0"/>
        <v>2898000</v>
      </c>
      <c r="K4" s="167">
        <f t="shared" si="0"/>
        <v>2898000</v>
      </c>
      <c r="L4" s="167">
        <f t="shared" si="0"/>
        <v>2898000</v>
      </c>
      <c r="M4" s="167">
        <f t="shared" si="0"/>
        <v>2898000</v>
      </c>
      <c r="N4" s="174">
        <f>SUM(B4:M4)/12</f>
        <v>2898000</v>
      </c>
      <c r="O4" s="171"/>
      <c r="P4" s="2" t="s">
        <v>219</v>
      </c>
      <c r="Q4" s="174"/>
      <c r="R4" s="34"/>
    </row>
    <row r="5" spans="1:18">
      <c r="A5" s="166" t="s">
        <v>29</v>
      </c>
      <c r="B5" s="601">
        <v>9973483</v>
      </c>
      <c r="C5" s="33">
        <f>+B5</f>
        <v>9973483</v>
      </c>
      <c r="D5" s="33">
        <f t="shared" ref="D5:M5" si="1">+C5</f>
        <v>9973483</v>
      </c>
      <c r="E5" s="33">
        <f t="shared" si="1"/>
        <v>9973483</v>
      </c>
      <c r="F5" s="33">
        <f t="shared" si="1"/>
        <v>9973483</v>
      </c>
      <c r="G5" s="33">
        <f t="shared" si="1"/>
        <v>9973483</v>
      </c>
      <c r="H5" s="33">
        <f t="shared" si="1"/>
        <v>9973483</v>
      </c>
      <c r="I5" s="33">
        <f t="shared" si="1"/>
        <v>9973483</v>
      </c>
      <c r="J5" s="33">
        <f t="shared" si="1"/>
        <v>9973483</v>
      </c>
      <c r="K5" s="33">
        <f t="shared" si="1"/>
        <v>9973483</v>
      </c>
      <c r="L5" s="33">
        <f t="shared" si="1"/>
        <v>9973483</v>
      </c>
      <c r="M5" s="33">
        <f t="shared" si="1"/>
        <v>9973483</v>
      </c>
      <c r="N5" s="174">
        <f t="shared" ref="N5:N37" si="2">SUM(B5:M5)/12</f>
        <v>9973483</v>
      </c>
      <c r="O5" s="171"/>
      <c r="P5" s="2" t="s">
        <v>220</v>
      </c>
      <c r="Q5" s="174"/>
      <c r="R5" s="34"/>
    </row>
    <row r="6" spans="1:18">
      <c r="A6" s="166" t="s">
        <v>25</v>
      </c>
      <c r="B6" s="33">
        <f>+B109</f>
        <v>7095336</v>
      </c>
      <c r="C6" s="33">
        <f t="shared" ref="C6:L6" si="3">+C109</f>
        <v>7095336</v>
      </c>
      <c r="D6" s="33">
        <f t="shared" si="3"/>
        <v>7095336</v>
      </c>
      <c r="E6" s="33">
        <f t="shared" si="3"/>
        <v>7095336</v>
      </c>
      <c r="F6" s="33">
        <f t="shared" si="3"/>
        <v>7095336</v>
      </c>
      <c r="G6" s="33">
        <f t="shared" si="3"/>
        <v>7095336</v>
      </c>
      <c r="H6" s="33">
        <f t="shared" si="3"/>
        <v>7095336</v>
      </c>
      <c r="I6" s="33">
        <f t="shared" si="3"/>
        <v>7095336</v>
      </c>
      <c r="J6" s="33">
        <f t="shared" si="3"/>
        <v>7095336</v>
      </c>
      <c r="K6" s="33">
        <f t="shared" si="3"/>
        <v>7095336</v>
      </c>
      <c r="L6" s="33">
        <f t="shared" si="3"/>
        <v>7095336</v>
      </c>
      <c r="M6" s="33">
        <f>+M109</f>
        <v>7095336</v>
      </c>
      <c r="N6" s="174">
        <f t="shared" si="2"/>
        <v>7095336</v>
      </c>
      <c r="O6" s="171"/>
      <c r="P6" s="2" t="s">
        <v>221</v>
      </c>
      <c r="Q6" s="174"/>
      <c r="R6" s="34"/>
    </row>
    <row r="7" spans="1:18">
      <c r="A7" s="166" t="s">
        <v>26</v>
      </c>
      <c r="B7" s="601">
        <v>6900307</v>
      </c>
      <c r="C7" s="601">
        <v>6900307</v>
      </c>
      <c r="D7" s="601">
        <v>6900307</v>
      </c>
      <c r="E7" s="601">
        <v>6900307</v>
      </c>
      <c r="F7" s="601">
        <v>6900307</v>
      </c>
      <c r="G7" s="601">
        <v>6996822</v>
      </c>
      <c r="H7" s="601">
        <v>6996822</v>
      </c>
      <c r="I7" s="601">
        <v>6996822</v>
      </c>
      <c r="J7" s="601">
        <v>6996822</v>
      </c>
      <c r="K7" s="601">
        <v>6996822</v>
      </c>
      <c r="L7" s="601">
        <v>6949405</v>
      </c>
      <c r="M7" s="601">
        <v>6949405</v>
      </c>
      <c r="N7" s="174">
        <f t="shared" si="2"/>
        <v>6948704.583333333</v>
      </c>
      <c r="O7" s="171"/>
      <c r="P7" s="2" t="s">
        <v>222</v>
      </c>
      <c r="Q7" s="174"/>
      <c r="R7" s="34"/>
    </row>
    <row r="8" spans="1:18">
      <c r="A8" s="166" t="s">
        <v>186</v>
      </c>
      <c r="B8" s="601">
        <v>1</v>
      </c>
      <c r="C8" s="601">
        <v>1</v>
      </c>
      <c r="D8" s="601">
        <v>1</v>
      </c>
      <c r="E8" s="601">
        <v>1</v>
      </c>
      <c r="F8" s="601">
        <v>1</v>
      </c>
      <c r="G8" s="601">
        <v>1</v>
      </c>
      <c r="H8" s="601">
        <v>1</v>
      </c>
      <c r="I8" s="601">
        <v>1</v>
      </c>
      <c r="J8" s="601">
        <v>1</v>
      </c>
      <c r="K8" s="601">
        <v>1</v>
      </c>
      <c r="L8" s="601">
        <v>1</v>
      </c>
      <c r="M8" s="601">
        <v>1</v>
      </c>
      <c r="N8" s="174">
        <f t="shared" si="2"/>
        <v>1</v>
      </c>
      <c r="O8" s="171"/>
      <c r="P8" s="2" t="s">
        <v>223</v>
      </c>
      <c r="Q8" s="174"/>
      <c r="R8" s="34"/>
    </row>
    <row r="9" spans="1:18">
      <c r="A9" s="169" t="s">
        <v>201</v>
      </c>
      <c r="B9" s="601">
        <v>1</v>
      </c>
      <c r="C9" s="601">
        <v>1</v>
      </c>
      <c r="D9" s="601">
        <v>1</v>
      </c>
      <c r="E9" s="601">
        <v>1</v>
      </c>
      <c r="F9" s="601">
        <v>1</v>
      </c>
      <c r="G9" s="601">
        <v>1</v>
      </c>
      <c r="H9" s="601">
        <v>1</v>
      </c>
      <c r="I9" s="601">
        <v>1</v>
      </c>
      <c r="J9" s="601">
        <v>1</v>
      </c>
      <c r="K9" s="601">
        <v>1</v>
      </c>
      <c r="L9" s="601">
        <v>1</v>
      </c>
      <c r="M9" s="601">
        <v>1</v>
      </c>
      <c r="N9" s="174">
        <f>SUM(B9:M9)/12</f>
        <v>1</v>
      </c>
      <c r="O9" s="171"/>
      <c r="P9" s="2" t="s">
        <v>224</v>
      </c>
      <c r="Q9" s="174"/>
      <c r="R9" s="34"/>
    </row>
    <row r="10" spans="1:18">
      <c r="A10" s="166" t="s">
        <v>187</v>
      </c>
      <c r="B10" s="167">
        <f t="shared" ref="B10:M10" si="4">+B45</f>
        <v>5819678</v>
      </c>
      <c r="C10" s="167">
        <f t="shared" si="4"/>
        <v>5819678</v>
      </c>
      <c r="D10" s="167">
        <f t="shared" si="4"/>
        <v>5819678</v>
      </c>
      <c r="E10" s="167">
        <f t="shared" si="4"/>
        <v>5819678</v>
      </c>
      <c r="F10" s="167">
        <f t="shared" si="4"/>
        <v>5819678</v>
      </c>
      <c r="G10" s="167">
        <f t="shared" si="4"/>
        <v>6395303</v>
      </c>
      <c r="H10" s="167">
        <f t="shared" si="4"/>
        <v>6395303</v>
      </c>
      <c r="I10" s="167">
        <f t="shared" si="4"/>
        <v>6395303</v>
      </c>
      <c r="J10" s="167">
        <f t="shared" si="4"/>
        <v>6395303</v>
      </c>
      <c r="K10" s="167">
        <f t="shared" si="4"/>
        <v>6395303</v>
      </c>
      <c r="L10" s="167">
        <f t="shared" si="4"/>
        <v>6395303</v>
      </c>
      <c r="M10" s="167">
        <f t="shared" si="4"/>
        <v>6395303</v>
      </c>
      <c r="N10" s="174">
        <f t="shared" si="2"/>
        <v>6155459.25</v>
      </c>
      <c r="O10" s="171"/>
      <c r="P10" s="2" t="s">
        <v>225</v>
      </c>
      <c r="Q10" s="174"/>
      <c r="R10" s="34"/>
    </row>
    <row r="11" spans="1:18">
      <c r="A11" s="166" t="s">
        <v>24</v>
      </c>
      <c r="B11" s="601">
        <v>263750</v>
      </c>
      <c r="C11" s="601">
        <v>263750</v>
      </c>
      <c r="D11" s="601">
        <v>263750</v>
      </c>
      <c r="E11" s="601">
        <v>263750</v>
      </c>
      <c r="F11" s="601">
        <v>263750</v>
      </c>
      <c r="G11" s="601">
        <v>277000</v>
      </c>
      <c r="H11" s="601">
        <v>277000</v>
      </c>
      <c r="I11" s="601">
        <v>277000</v>
      </c>
      <c r="J11" s="601">
        <v>277000</v>
      </c>
      <c r="K11" s="601">
        <v>277000</v>
      </c>
      <c r="L11" s="601">
        <v>277000</v>
      </c>
      <c r="M11" s="601">
        <v>277000</v>
      </c>
      <c r="N11" s="174">
        <f t="shared" si="2"/>
        <v>271479.16666666669</v>
      </c>
      <c r="O11" s="171"/>
      <c r="P11" s="2" t="s">
        <v>226</v>
      </c>
      <c r="Q11" s="174"/>
      <c r="R11" s="34"/>
    </row>
    <row r="12" spans="1:18">
      <c r="A12" s="166" t="s">
        <v>27</v>
      </c>
      <c r="B12" s="601">
        <v>313000</v>
      </c>
      <c r="C12" s="601">
        <v>313000</v>
      </c>
      <c r="D12" s="601">
        <v>313000</v>
      </c>
      <c r="E12" s="601">
        <v>313000</v>
      </c>
      <c r="F12" s="601">
        <v>313000</v>
      </c>
      <c r="G12" s="601">
        <v>314000</v>
      </c>
      <c r="H12" s="601">
        <v>314000</v>
      </c>
      <c r="I12" s="601">
        <v>314000</v>
      </c>
      <c r="J12" s="601">
        <v>314000</v>
      </c>
      <c r="K12" s="601">
        <v>314000</v>
      </c>
      <c r="L12" s="601">
        <v>314000</v>
      </c>
      <c r="M12" s="601">
        <v>314000</v>
      </c>
      <c r="N12" s="174">
        <f t="shared" si="2"/>
        <v>313583.33333333331</v>
      </c>
      <c r="O12" s="171"/>
      <c r="P12" s="2" t="s">
        <v>227</v>
      </c>
      <c r="Q12" s="174"/>
      <c r="R12" s="34"/>
    </row>
    <row r="13" spans="1:18">
      <c r="A13" s="166" t="s">
        <v>33</v>
      </c>
      <c r="B13" s="167">
        <f t="shared" ref="B13:M13" si="5">+B64</f>
        <v>1050559</v>
      </c>
      <c r="C13" s="167">
        <f t="shared" si="5"/>
        <v>1050559</v>
      </c>
      <c r="D13" s="167">
        <f t="shared" si="5"/>
        <v>1050559</v>
      </c>
      <c r="E13" s="167">
        <f t="shared" si="5"/>
        <v>1050559</v>
      </c>
      <c r="F13" s="167">
        <f t="shared" si="5"/>
        <v>1050559</v>
      </c>
      <c r="G13" s="167">
        <f t="shared" si="5"/>
        <v>1043734</v>
      </c>
      <c r="H13" s="167">
        <f t="shared" si="5"/>
        <v>1043734</v>
      </c>
      <c r="I13" s="167">
        <f t="shared" si="5"/>
        <v>1043734</v>
      </c>
      <c r="J13" s="167">
        <f t="shared" si="5"/>
        <v>1043734</v>
      </c>
      <c r="K13" s="167">
        <f t="shared" si="5"/>
        <v>1043734</v>
      </c>
      <c r="L13" s="167">
        <f t="shared" si="5"/>
        <v>1043734</v>
      </c>
      <c r="M13" s="167">
        <f t="shared" si="5"/>
        <v>1043734</v>
      </c>
      <c r="N13" s="174">
        <f t="shared" si="2"/>
        <v>1046577.75</v>
      </c>
      <c r="O13" s="171"/>
      <c r="P13" s="2" t="s">
        <v>228</v>
      </c>
      <c r="Q13" s="174"/>
      <c r="R13" s="34"/>
    </row>
    <row r="14" spans="1:18">
      <c r="A14" s="166" t="s">
        <v>17</v>
      </c>
      <c r="B14" s="601">
        <v>580838</v>
      </c>
      <c r="C14" s="601">
        <v>580838</v>
      </c>
      <c r="D14" s="601">
        <v>580838</v>
      </c>
      <c r="E14" s="601">
        <v>580838</v>
      </c>
      <c r="F14" s="601">
        <v>580838</v>
      </c>
      <c r="G14" s="601">
        <v>594580</v>
      </c>
      <c r="H14" s="601">
        <v>594580</v>
      </c>
      <c r="I14" s="601">
        <v>594580</v>
      </c>
      <c r="J14" s="601">
        <v>594580</v>
      </c>
      <c r="K14" s="601">
        <v>594580</v>
      </c>
      <c r="L14" s="601">
        <v>594580</v>
      </c>
      <c r="M14" s="601">
        <v>594580</v>
      </c>
      <c r="N14" s="174">
        <f t="shared" si="2"/>
        <v>588854.16666666663</v>
      </c>
      <c r="O14" s="171"/>
      <c r="P14" s="2" t="s">
        <v>229</v>
      </c>
      <c r="Q14" s="174"/>
      <c r="R14" s="34"/>
    </row>
    <row r="15" spans="1:18">
      <c r="A15" s="169" t="s">
        <v>22</v>
      </c>
      <c r="B15" s="167">
        <f t="shared" ref="B15:M15" si="6">+B58</f>
        <v>8580000</v>
      </c>
      <c r="C15" s="167">
        <f t="shared" si="6"/>
        <v>8580000</v>
      </c>
      <c r="D15" s="167">
        <f t="shared" si="6"/>
        <v>8580000</v>
      </c>
      <c r="E15" s="167">
        <f t="shared" si="6"/>
        <v>8580000</v>
      </c>
      <c r="F15" s="167">
        <f t="shared" si="6"/>
        <v>8580000</v>
      </c>
      <c r="G15" s="167">
        <f t="shared" si="6"/>
        <v>8580000</v>
      </c>
      <c r="H15" s="167">
        <f t="shared" si="6"/>
        <v>8580000</v>
      </c>
      <c r="I15" s="167">
        <f t="shared" si="6"/>
        <v>8580000</v>
      </c>
      <c r="J15" s="167">
        <f t="shared" si="6"/>
        <v>8580000</v>
      </c>
      <c r="K15" s="167">
        <f t="shared" si="6"/>
        <v>8580000</v>
      </c>
      <c r="L15" s="167">
        <f t="shared" si="6"/>
        <v>8580000</v>
      </c>
      <c r="M15" s="167">
        <f t="shared" si="6"/>
        <v>8580000</v>
      </c>
      <c r="N15" s="174">
        <f t="shared" si="2"/>
        <v>8580000</v>
      </c>
      <c r="O15" s="171"/>
      <c r="P15" s="2" t="s">
        <v>230</v>
      </c>
      <c r="Q15" s="174"/>
      <c r="R15" s="34"/>
    </row>
    <row r="16" spans="1:18">
      <c r="A16" s="166" t="s">
        <v>19</v>
      </c>
      <c r="B16" s="168">
        <v>2461500</v>
      </c>
      <c r="C16" s="168">
        <v>2461500</v>
      </c>
      <c r="D16" s="168">
        <v>2461500</v>
      </c>
      <c r="E16" s="168">
        <v>2461500</v>
      </c>
      <c r="F16" s="168">
        <v>2461500</v>
      </c>
      <c r="G16" s="168">
        <v>2431583</v>
      </c>
      <c r="H16" s="168">
        <v>2431583</v>
      </c>
      <c r="I16" s="168">
        <v>2431583</v>
      </c>
      <c r="J16" s="168">
        <v>2431583</v>
      </c>
      <c r="K16" s="168">
        <v>2431583</v>
      </c>
      <c r="L16" s="168">
        <v>2431583</v>
      </c>
      <c r="M16" s="168">
        <v>2431583</v>
      </c>
      <c r="N16" s="174">
        <f t="shared" si="2"/>
        <v>2444048.4166666665</v>
      </c>
      <c r="O16" s="171"/>
      <c r="P16" s="2" t="s">
        <v>231</v>
      </c>
      <c r="Q16" s="174"/>
      <c r="R16" s="34"/>
    </row>
    <row r="17" spans="1:18">
      <c r="A17" s="169" t="s">
        <v>71</v>
      </c>
      <c r="B17" s="167">
        <f>B117</f>
        <v>6762500</v>
      </c>
      <c r="C17" s="167">
        <f t="shared" ref="C17:L17" si="7">C117</f>
        <v>6762500</v>
      </c>
      <c r="D17" s="167">
        <f t="shared" si="7"/>
        <v>6762500</v>
      </c>
      <c r="E17" s="167">
        <f t="shared" si="7"/>
        <v>6762500</v>
      </c>
      <c r="F17" s="167">
        <f t="shared" si="7"/>
        <v>6762500</v>
      </c>
      <c r="G17" s="167">
        <f t="shared" si="7"/>
        <v>6762500</v>
      </c>
      <c r="H17" s="167">
        <f t="shared" si="7"/>
        <v>6762500</v>
      </c>
      <c r="I17" s="167">
        <f t="shared" si="7"/>
        <v>6762500</v>
      </c>
      <c r="J17" s="167">
        <f t="shared" si="7"/>
        <v>6762500</v>
      </c>
      <c r="K17" s="167">
        <f t="shared" si="7"/>
        <v>6762500</v>
      </c>
      <c r="L17" s="167">
        <f t="shared" si="7"/>
        <v>6762500</v>
      </c>
      <c r="M17" s="167">
        <f>M117</f>
        <v>6762500</v>
      </c>
      <c r="N17" s="174">
        <f t="shared" si="2"/>
        <v>6762500</v>
      </c>
      <c r="O17" s="171"/>
      <c r="P17" s="2" t="s">
        <v>232</v>
      </c>
      <c r="Q17" s="174"/>
      <c r="R17" s="34"/>
    </row>
    <row r="18" spans="1:18">
      <c r="A18" s="169" t="s">
        <v>72</v>
      </c>
      <c r="B18" s="33">
        <f t="shared" ref="B18:M18" si="8">+B55</f>
        <v>7244891</v>
      </c>
      <c r="C18" s="33">
        <f t="shared" si="8"/>
        <v>7244891</v>
      </c>
      <c r="D18" s="33">
        <f t="shared" si="8"/>
        <v>7244891</v>
      </c>
      <c r="E18" s="33">
        <f t="shared" si="8"/>
        <v>7244891</v>
      </c>
      <c r="F18" s="33">
        <f t="shared" si="8"/>
        <v>7244891</v>
      </c>
      <c r="G18" s="33">
        <f t="shared" si="8"/>
        <v>7244891</v>
      </c>
      <c r="H18" s="33">
        <f t="shared" si="8"/>
        <v>7244891</v>
      </c>
      <c r="I18" s="33">
        <f t="shared" si="8"/>
        <v>7244891</v>
      </c>
      <c r="J18" s="33">
        <f t="shared" si="8"/>
        <v>7244891</v>
      </c>
      <c r="K18" s="33">
        <f t="shared" si="8"/>
        <v>7244891</v>
      </c>
      <c r="L18" s="33">
        <f t="shared" si="8"/>
        <v>7244891</v>
      </c>
      <c r="M18" s="33">
        <f t="shared" si="8"/>
        <v>7244891</v>
      </c>
      <c r="N18" s="174">
        <f t="shared" si="2"/>
        <v>7244891</v>
      </c>
      <c r="O18" s="171"/>
      <c r="P18" s="2" t="s">
        <v>233</v>
      </c>
      <c r="Q18" s="174"/>
      <c r="R18" s="34"/>
    </row>
    <row r="19" spans="1:18">
      <c r="A19" s="166" t="s">
        <v>31</v>
      </c>
      <c r="B19" s="167">
        <f t="shared" ref="B19:M19" si="9">+B75</f>
        <v>1749876</v>
      </c>
      <c r="C19" s="167">
        <f t="shared" si="9"/>
        <v>1749876</v>
      </c>
      <c r="D19" s="167">
        <f t="shared" si="9"/>
        <v>1749876</v>
      </c>
      <c r="E19" s="167">
        <f t="shared" si="9"/>
        <v>1749876</v>
      </c>
      <c r="F19" s="167">
        <f t="shared" si="9"/>
        <v>1749876</v>
      </c>
      <c r="G19" s="167">
        <f t="shared" si="9"/>
        <v>1749876</v>
      </c>
      <c r="H19" s="167">
        <f t="shared" si="9"/>
        <v>1749876</v>
      </c>
      <c r="I19" s="167">
        <f t="shared" si="9"/>
        <v>1749876</v>
      </c>
      <c r="J19" s="167">
        <f t="shared" si="9"/>
        <v>1749876</v>
      </c>
      <c r="K19" s="167">
        <f t="shared" si="9"/>
        <v>1749876</v>
      </c>
      <c r="L19" s="167">
        <f t="shared" si="9"/>
        <v>1749876</v>
      </c>
      <c r="M19" s="167">
        <f t="shared" si="9"/>
        <v>1749876</v>
      </c>
      <c r="N19" s="174">
        <f t="shared" si="2"/>
        <v>1749876</v>
      </c>
      <c r="O19" s="171"/>
      <c r="P19" s="2" t="s">
        <v>234</v>
      </c>
      <c r="Q19" s="174"/>
      <c r="R19" s="34"/>
    </row>
    <row r="20" spans="1:18">
      <c r="A20" s="166" t="s">
        <v>35</v>
      </c>
      <c r="B20" s="601">
        <v>514467</v>
      </c>
      <c r="C20" s="601">
        <v>514467</v>
      </c>
      <c r="D20" s="601">
        <v>514467</v>
      </c>
      <c r="E20" s="601">
        <v>514467</v>
      </c>
      <c r="F20" s="601">
        <v>514467</v>
      </c>
      <c r="G20" s="601">
        <v>514467</v>
      </c>
      <c r="H20" s="601">
        <v>514467</v>
      </c>
      <c r="I20" s="601">
        <v>514467</v>
      </c>
      <c r="J20" s="601">
        <v>514467</v>
      </c>
      <c r="K20" s="601">
        <v>514467</v>
      </c>
      <c r="L20" s="601">
        <v>514467</v>
      </c>
      <c r="M20" s="601">
        <v>514467</v>
      </c>
      <c r="N20" s="174">
        <f t="shared" si="2"/>
        <v>514467</v>
      </c>
      <c r="O20" s="171"/>
      <c r="P20" s="2" t="s">
        <v>235</v>
      </c>
      <c r="Q20" s="174"/>
      <c r="R20" s="34"/>
    </row>
    <row r="21" spans="1:18">
      <c r="A21" s="166" t="s">
        <v>30</v>
      </c>
      <c r="B21" s="167">
        <f>+B92</f>
        <v>7935567</v>
      </c>
      <c r="C21" s="167">
        <f t="shared" ref="C21:L21" si="10">+C92</f>
        <v>7935567</v>
      </c>
      <c r="D21" s="167">
        <f t="shared" si="10"/>
        <v>7935567</v>
      </c>
      <c r="E21" s="167">
        <f t="shared" si="10"/>
        <v>7935567</v>
      </c>
      <c r="F21" s="167">
        <f t="shared" si="10"/>
        <v>7935567</v>
      </c>
      <c r="G21" s="167">
        <f t="shared" si="10"/>
        <v>7932067</v>
      </c>
      <c r="H21" s="167">
        <f t="shared" si="10"/>
        <v>7932067</v>
      </c>
      <c r="I21" s="167">
        <f t="shared" si="10"/>
        <v>7932067</v>
      </c>
      <c r="J21" s="167">
        <f t="shared" si="10"/>
        <v>7932067</v>
      </c>
      <c r="K21" s="167">
        <f t="shared" si="10"/>
        <v>7932067</v>
      </c>
      <c r="L21" s="167">
        <f t="shared" si="10"/>
        <v>7932067</v>
      </c>
      <c r="M21" s="167">
        <f>+M92</f>
        <v>7932067</v>
      </c>
      <c r="N21" s="174">
        <f t="shared" si="2"/>
        <v>7933525.333333333</v>
      </c>
      <c r="O21" s="171"/>
      <c r="P21" s="2" t="s">
        <v>236</v>
      </c>
      <c r="Q21" s="174"/>
      <c r="R21" s="34"/>
    </row>
    <row r="22" spans="1:18">
      <c r="A22" s="166" t="s">
        <v>20</v>
      </c>
      <c r="B22" s="601">
        <v>2943583</v>
      </c>
      <c r="C22" s="601">
        <v>2943583</v>
      </c>
      <c r="D22" s="601">
        <v>2943583</v>
      </c>
      <c r="E22" s="601">
        <v>2943583</v>
      </c>
      <c r="F22" s="601">
        <v>2943583</v>
      </c>
      <c r="G22" s="601">
        <v>2943583</v>
      </c>
      <c r="H22" s="601">
        <v>2943583</v>
      </c>
      <c r="I22" s="601">
        <v>2943583</v>
      </c>
      <c r="J22" s="601">
        <v>2943583</v>
      </c>
      <c r="K22" s="601">
        <v>2943583</v>
      </c>
      <c r="L22" s="601">
        <v>2943583</v>
      </c>
      <c r="M22" s="601">
        <v>2943583</v>
      </c>
      <c r="N22" s="174">
        <f t="shared" si="2"/>
        <v>2943583</v>
      </c>
      <c r="O22" s="171"/>
      <c r="P22" s="2" t="s">
        <v>237</v>
      </c>
      <c r="Q22" s="174"/>
      <c r="R22" s="34"/>
    </row>
    <row r="23" spans="1:18">
      <c r="A23" s="166" t="s">
        <v>34</v>
      </c>
      <c r="B23" s="167">
        <f>+B81</f>
        <v>1284842</v>
      </c>
      <c r="C23" s="167">
        <f t="shared" ref="C23:L23" si="11">+C81</f>
        <v>1284842</v>
      </c>
      <c r="D23" s="167">
        <f t="shared" si="11"/>
        <v>1284842</v>
      </c>
      <c r="E23" s="167">
        <f t="shared" si="11"/>
        <v>1284842</v>
      </c>
      <c r="F23" s="167">
        <f t="shared" si="11"/>
        <v>1284842</v>
      </c>
      <c r="G23" s="167">
        <f t="shared" si="11"/>
        <v>1284842</v>
      </c>
      <c r="H23" s="167">
        <f t="shared" si="11"/>
        <v>1284842</v>
      </c>
      <c r="I23" s="167">
        <f t="shared" si="11"/>
        <v>1284842</v>
      </c>
      <c r="J23" s="167">
        <f t="shared" si="11"/>
        <v>1284842</v>
      </c>
      <c r="K23" s="167">
        <f t="shared" si="11"/>
        <v>1284842</v>
      </c>
      <c r="L23" s="167">
        <f t="shared" si="11"/>
        <v>1284842</v>
      </c>
      <c r="M23" s="167">
        <f>+M81</f>
        <v>1284842</v>
      </c>
      <c r="N23" s="174">
        <f t="shared" si="2"/>
        <v>1284842</v>
      </c>
      <c r="O23" s="171"/>
      <c r="P23" s="2" t="s">
        <v>238</v>
      </c>
      <c r="Q23" s="174"/>
      <c r="R23" s="34"/>
    </row>
    <row r="24" spans="1:18">
      <c r="A24" s="166" t="s">
        <v>28</v>
      </c>
      <c r="B24" s="601">
        <v>449083</v>
      </c>
      <c r="C24" s="601">
        <v>449083</v>
      </c>
      <c r="D24" s="601">
        <v>449083</v>
      </c>
      <c r="E24" s="601">
        <v>449083</v>
      </c>
      <c r="F24" s="601">
        <v>449083</v>
      </c>
      <c r="G24" s="601">
        <v>476667</v>
      </c>
      <c r="H24" s="601">
        <v>476667</v>
      </c>
      <c r="I24" s="601">
        <v>476667</v>
      </c>
      <c r="J24" s="601">
        <v>476667</v>
      </c>
      <c r="K24" s="601">
        <v>476667</v>
      </c>
      <c r="L24" s="601">
        <v>476667</v>
      </c>
      <c r="M24" s="601">
        <v>476667</v>
      </c>
      <c r="N24" s="174">
        <f t="shared" si="2"/>
        <v>465173.66666666669</v>
      </c>
      <c r="O24" s="171"/>
      <c r="P24" s="2" t="s">
        <v>239</v>
      </c>
      <c r="Q24" s="174"/>
      <c r="R24" s="34"/>
    </row>
    <row r="25" spans="1:18">
      <c r="A25" s="166" t="s">
        <v>32</v>
      </c>
      <c r="B25" s="33">
        <f>+B113</f>
        <v>263369</v>
      </c>
      <c r="C25" s="33">
        <f t="shared" ref="C25:L25" si="12">+C113</f>
        <v>263369</v>
      </c>
      <c r="D25" s="33">
        <f t="shared" si="12"/>
        <v>263369</v>
      </c>
      <c r="E25" s="33">
        <f t="shared" si="12"/>
        <v>263369</v>
      </c>
      <c r="F25" s="33">
        <f t="shared" si="12"/>
        <v>263369</v>
      </c>
      <c r="G25" s="33">
        <f t="shared" si="12"/>
        <v>264669</v>
      </c>
      <c r="H25" s="33">
        <f t="shared" si="12"/>
        <v>264669</v>
      </c>
      <c r="I25" s="33">
        <f t="shared" si="12"/>
        <v>264669</v>
      </c>
      <c r="J25" s="33">
        <f t="shared" si="12"/>
        <v>264669</v>
      </c>
      <c r="K25" s="33">
        <f t="shared" si="12"/>
        <v>264669</v>
      </c>
      <c r="L25" s="33">
        <f t="shared" si="12"/>
        <v>264669</v>
      </c>
      <c r="M25" s="33">
        <f>+M113</f>
        <v>264669</v>
      </c>
      <c r="N25" s="174">
        <f t="shared" si="2"/>
        <v>264127.33333333331</v>
      </c>
      <c r="O25" s="171"/>
      <c r="P25" s="2" t="s">
        <v>240</v>
      </c>
      <c r="Q25" s="174"/>
      <c r="R25" s="34"/>
    </row>
    <row r="26" spans="1:18">
      <c r="A26" s="166" t="s">
        <v>188</v>
      </c>
      <c r="B26" s="601">
        <v>1002434</v>
      </c>
      <c r="C26" s="33">
        <f t="shared" ref="C26:M26" si="13">+B26</f>
        <v>1002434</v>
      </c>
      <c r="D26" s="33">
        <f t="shared" si="13"/>
        <v>1002434</v>
      </c>
      <c r="E26" s="33">
        <f t="shared" si="13"/>
        <v>1002434</v>
      </c>
      <c r="F26" s="33">
        <f t="shared" si="13"/>
        <v>1002434</v>
      </c>
      <c r="G26" s="33">
        <f t="shared" si="13"/>
        <v>1002434</v>
      </c>
      <c r="H26" s="33">
        <f t="shared" si="13"/>
        <v>1002434</v>
      </c>
      <c r="I26" s="33">
        <f t="shared" si="13"/>
        <v>1002434</v>
      </c>
      <c r="J26" s="33">
        <f t="shared" si="13"/>
        <v>1002434</v>
      </c>
      <c r="K26" s="33">
        <f t="shared" si="13"/>
        <v>1002434</v>
      </c>
      <c r="L26" s="33">
        <f t="shared" si="13"/>
        <v>1002434</v>
      </c>
      <c r="M26" s="33">
        <f t="shared" si="13"/>
        <v>1002434</v>
      </c>
      <c r="N26" s="174">
        <f t="shared" si="2"/>
        <v>1002434</v>
      </c>
      <c r="O26" s="171"/>
      <c r="P26" s="2" t="s">
        <v>241</v>
      </c>
      <c r="Q26" s="174"/>
      <c r="R26" s="34"/>
    </row>
    <row r="27" spans="1:18">
      <c r="A27" s="166" t="s">
        <v>112</v>
      </c>
      <c r="B27" s="167">
        <f>+B102</f>
        <v>4248040</v>
      </c>
      <c r="C27" s="167">
        <f t="shared" ref="C27:L27" si="14">+C102</f>
        <v>4248040</v>
      </c>
      <c r="D27" s="167">
        <f t="shared" si="14"/>
        <v>4248040</v>
      </c>
      <c r="E27" s="167">
        <f t="shared" si="14"/>
        <v>4248040</v>
      </c>
      <c r="F27" s="167">
        <f t="shared" si="14"/>
        <v>4248040</v>
      </c>
      <c r="G27" s="167">
        <f t="shared" si="14"/>
        <v>4252668</v>
      </c>
      <c r="H27" s="167">
        <f t="shared" si="14"/>
        <v>4252668</v>
      </c>
      <c r="I27" s="167">
        <f t="shared" si="14"/>
        <v>4252668</v>
      </c>
      <c r="J27" s="167">
        <f t="shared" si="14"/>
        <v>4252668</v>
      </c>
      <c r="K27" s="167">
        <f t="shared" si="14"/>
        <v>4252668</v>
      </c>
      <c r="L27" s="167">
        <f t="shared" si="14"/>
        <v>4252668</v>
      </c>
      <c r="M27" s="167">
        <f>+M102</f>
        <v>4252668</v>
      </c>
      <c r="N27" s="174">
        <f t="shared" si="2"/>
        <v>4250739.666666667</v>
      </c>
      <c r="O27" s="171"/>
      <c r="P27" s="2" t="s">
        <v>242</v>
      </c>
      <c r="Q27" s="174"/>
      <c r="R27" s="34"/>
    </row>
    <row r="28" spans="1:18">
      <c r="A28" s="166" t="s">
        <v>113</v>
      </c>
      <c r="B28" s="601">
        <v>122262</v>
      </c>
      <c r="C28" s="601">
        <v>122262</v>
      </c>
      <c r="D28" s="601">
        <v>122262</v>
      </c>
      <c r="E28" s="601">
        <v>122262</v>
      </c>
      <c r="F28" s="601">
        <v>122262</v>
      </c>
      <c r="G28" s="601">
        <v>120458</v>
      </c>
      <c r="H28" s="601">
        <v>120458</v>
      </c>
      <c r="I28" s="601">
        <v>120458</v>
      </c>
      <c r="J28" s="601">
        <v>120458</v>
      </c>
      <c r="K28" s="601">
        <v>120458</v>
      </c>
      <c r="L28" s="601">
        <v>120458</v>
      </c>
      <c r="M28" s="601">
        <v>120458</v>
      </c>
      <c r="N28" s="174">
        <f t="shared" si="2"/>
        <v>121209.66666666667</v>
      </c>
      <c r="O28" s="171"/>
      <c r="P28" s="2" t="s">
        <v>243</v>
      </c>
      <c r="Q28" s="174"/>
      <c r="R28" s="34"/>
    </row>
    <row r="29" spans="1:18">
      <c r="A29" s="166" t="s">
        <v>121</v>
      </c>
      <c r="B29" s="167">
        <f>+B105</f>
        <v>876525</v>
      </c>
      <c r="C29" s="167">
        <f t="shared" ref="C29:L29" si="15">+C105</f>
        <v>876525</v>
      </c>
      <c r="D29" s="167">
        <f t="shared" si="15"/>
        <v>876525</v>
      </c>
      <c r="E29" s="167">
        <f t="shared" si="15"/>
        <v>876525</v>
      </c>
      <c r="F29" s="167">
        <f t="shared" si="15"/>
        <v>876525</v>
      </c>
      <c r="G29" s="167">
        <f t="shared" si="15"/>
        <v>876525</v>
      </c>
      <c r="H29" s="167">
        <f t="shared" si="15"/>
        <v>876525</v>
      </c>
      <c r="I29" s="167">
        <f t="shared" si="15"/>
        <v>876525</v>
      </c>
      <c r="J29" s="167">
        <f t="shared" si="15"/>
        <v>876525</v>
      </c>
      <c r="K29" s="167">
        <f t="shared" si="15"/>
        <v>876525</v>
      </c>
      <c r="L29" s="167">
        <f t="shared" si="15"/>
        <v>876525</v>
      </c>
      <c r="M29" s="167">
        <f>+M105</f>
        <v>876525</v>
      </c>
      <c r="N29" s="174">
        <f t="shared" si="2"/>
        <v>876525</v>
      </c>
      <c r="O29" s="171"/>
      <c r="P29" s="2" t="s">
        <v>244</v>
      </c>
      <c r="Q29" s="174"/>
      <c r="R29" s="34"/>
    </row>
    <row r="30" spans="1:18">
      <c r="A30" s="166" t="s">
        <v>122</v>
      </c>
      <c r="B30" s="601">
        <v>1455000</v>
      </c>
      <c r="C30" s="601">
        <v>1455000</v>
      </c>
      <c r="D30" s="601">
        <v>1455000</v>
      </c>
      <c r="E30" s="601">
        <v>1455000</v>
      </c>
      <c r="F30" s="601">
        <v>1455000</v>
      </c>
      <c r="G30" s="601">
        <v>1468250</v>
      </c>
      <c r="H30" s="601">
        <v>1501167</v>
      </c>
      <c r="I30" s="601">
        <v>1501167</v>
      </c>
      <c r="J30" s="601">
        <v>1501167</v>
      </c>
      <c r="K30" s="601">
        <v>1501167</v>
      </c>
      <c r="L30" s="601">
        <v>1501167</v>
      </c>
      <c r="M30" s="601">
        <v>1501167</v>
      </c>
      <c r="N30" s="174">
        <f t="shared" si="2"/>
        <v>1479187.6666666667</v>
      </c>
      <c r="O30" s="171"/>
      <c r="P30" s="2" t="s">
        <v>245</v>
      </c>
      <c r="Q30" s="174"/>
      <c r="R30" s="34"/>
    </row>
    <row r="31" spans="1:18">
      <c r="A31" s="166" t="s">
        <v>271</v>
      </c>
      <c r="B31" s="565">
        <f>B123</f>
        <v>5932879</v>
      </c>
      <c r="C31" s="565">
        <f t="shared" ref="C31:M31" si="16">C123</f>
        <v>5932879</v>
      </c>
      <c r="D31" s="565">
        <f t="shared" si="16"/>
        <v>5932879</v>
      </c>
      <c r="E31" s="565">
        <f t="shared" si="16"/>
        <v>5932879</v>
      </c>
      <c r="F31" s="565">
        <f t="shared" si="16"/>
        <v>5932879</v>
      </c>
      <c r="G31" s="565">
        <f t="shared" si="16"/>
        <v>5732703</v>
      </c>
      <c r="H31" s="565">
        <f t="shared" si="16"/>
        <v>5732703</v>
      </c>
      <c r="I31" s="565">
        <f t="shared" si="16"/>
        <v>5732703</v>
      </c>
      <c r="J31" s="565">
        <f t="shared" si="16"/>
        <v>5732703</v>
      </c>
      <c r="K31" s="565">
        <f t="shared" si="16"/>
        <v>5732703</v>
      </c>
      <c r="L31" s="565">
        <f t="shared" si="16"/>
        <v>5844083</v>
      </c>
      <c r="M31" s="565">
        <f t="shared" si="16"/>
        <v>5844083</v>
      </c>
      <c r="N31" s="174">
        <f t="shared" si="2"/>
        <v>5834673</v>
      </c>
      <c r="O31" s="171"/>
      <c r="P31" s="562" t="s">
        <v>627</v>
      </c>
      <c r="Q31" s="174"/>
      <c r="R31" s="34"/>
    </row>
    <row r="32" spans="1:18">
      <c r="A32" s="166" t="s">
        <v>273</v>
      </c>
      <c r="B32" s="565">
        <f t="shared" ref="B32:L32" si="17">B129</f>
        <v>11124019</v>
      </c>
      <c r="C32" s="565">
        <f t="shared" si="17"/>
        <v>11124019</v>
      </c>
      <c r="D32" s="565">
        <f t="shared" si="17"/>
        <v>11124019</v>
      </c>
      <c r="E32" s="565">
        <f t="shared" si="17"/>
        <v>11124019</v>
      </c>
      <c r="F32" s="565">
        <f t="shared" si="17"/>
        <v>11124019</v>
      </c>
      <c r="G32" s="565">
        <f t="shared" si="17"/>
        <v>11124019</v>
      </c>
      <c r="H32" s="565">
        <f t="shared" si="17"/>
        <v>11124019</v>
      </c>
      <c r="I32" s="565">
        <f t="shared" si="17"/>
        <v>11124019</v>
      </c>
      <c r="J32" s="565">
        <f t="shared" si="17"/>
        <v>11124019</v>
      </c>
      <c r="K32" s="565">
        <f t="shared" si="17"/>
        <v>11124019</v>
      </c>
      <c r="L32" s="565">
        <f t="shared" si="17"/>
        <v>11650500</v>
      </c>
      <c r="M32" s="565">
        <f>M129</f>
        <v>11650500</v>
      </c>
      <c r="N32" s="174">
        <f t="shared" si="2"/>
        <v>11211765.833333334</v>
      </c>
      <c r="O32" s="171"/>
      <c r="P32" s="562" t="s">
        <v>628</v>
      </c>
      <c r="Q32" s="174"/>
      <c r="R32" s="34"/>
    </row>
    <row r="33" spans="1:18">
      <c r="A33" s="166" t="s">
        <v>277</v>
      </c>
      <c r="B33" s="565">
        <f t="shared" ref="B33:L33" si="18">B132</f>
        <v>3144299</v>
      </c>
      <c r="C33" s="565">
        <f t="shared" si="18"/>
        <v>3144299</v>
      </c>
      <c r="D33" s="565">
        <f t="shared" si="18"/>
        <v>3144299</v>
      </c>
      <c r="E33" s="565">
        <f t="shared" si="18"/>
        <v>3144299</v>
      </c>
      <c r="F33" s="565">
        <f t="shared" si="18"/>
        <v>3144299</v>
      </c>
      <c r="G33" s="565">
        <f t="shared" si="18"/>
        <v>3140632</v>
      </c>
      <c r="H33" s="565">
        <f t="shared" si="18"/>
        <v>3140632</v>
      </c>
      <c r="I33" s="565">
        <f t="shared" si="18"/>
        <v>3140632</v>
      </c>
      <c r="J33" s="565">
        <f t="shared" si="18"/>
        <v>3140632</v>
      </c>
      <c r="K33" s="565">
        <f t="shared" si="18"/>
        <v>3140632</v>
      </c>
      <c r="L33" s="565">
        <f t="shared" si="18"/>
        <v>3047784</v>
      </c>
      <c r="M33" s="565">
        <f>M132</f>
        <v>3047784</v>
      </c>
      <c r="N33" s="174">
        <f t="shared" si="2"/>
        <v>3126685.25</v>
      </c>
      <c r="O33" s="171"/>
      <c r="P33" s="562" t="s">
        <v>629</v>
      </c>
      <c r="Q33" s="174"/>
      <c r="R33" s="34"/>
    </row>
    <row r="34" spans="1:18">
      <c r="A34" s="166" t="s">
        <v>279</v>
      </c>
      <c r="B34" s="565">
        <f t="shared" ref="B34:L34" si="19">B138</f>
        <v>3481183</v>
      </c>
      <c r="C34" s="565">
        <f t="shared" si="19"/>
        <v>3481183</v>
      </c>
      <c r="D34" s="565">
        <f t="shared" si="19"/>
        <v>3481183</v>
      </c>
      <c r="E34" s="565">
        <f t="shared" si="19"/>
        <v>3481183</v>
      </c>
      <c r="F34" s="565">
        <f t="shared" si="19"/>
        <v>3481183</v>
      </c>
      <c r="G34" s="565">
        <f t="shared" si="19"/>
        <v>3481183</v>
      </c>
      <c r="H34" s="565">
        <f t="shared" si="19"/>
        <v>3481183</v>
      </c>
      <c r="I34" s="565">
        <f t="shared" si="19"/>
        <v>3481183</v>
      </c>
      <c r="J34" s="565">
        <f t="shared" si="19"/>
        <v>3481183</v>
      </c>
      <c r="K34" s="565">
        <f t="shared" si="19"/>
        <v>3481183</v>
      </c>
      <c r="L34" s="565">
        <f t="shared" si="19"/>
        <v>3563667</v>
      </c>
      <c r="M34" s="565">
        <f>M138</f>
        <v>3563667</v>
      </c>
      <c r="N34" s="174">
        <f t="shared" si="2"/>
        <v>3494930.3333333335</v>
      </c>
      <c r="O34" s="171"/>
      <c r="P34" s="562" t="s">
        <v>630</v>
      </c>
      <c r="Q34" s="174"/>
      <c r="R34" s="34"/>
    </row>
    <row r="35" spans="1:18">
      <c r="A35" s="166" t="s">
        <v>274</v>
      </c>
      <c r="B35" s="565">
        <f>B141</f>
        <v>1736525</v>
      </c>
      <c r="C35" s="565">
        <f t="shared" ref="C35:M35" si="20">C141</f>
        <v>1736525</v>
      </c>
      <c r="D35" s="565">
        <f t="shared" si="20"/>
        <v>1736525</v>
      </c>
      <c r="E35" s="565">
        <f t="shared" si="20"/>
        <v>1736525</v>
      </c>
      <c r="F35" s="565">
        <f t="shared" si="20"/>
        <v>1736525</v>
      </c>
      <c r="G35" s="565">
        <f t="shared" si="20"/>
        <v>1670417</v>
      </c>
      <c r="H35" s="565">
        <f t="shared" si="20"/>
        <v>1670417</v>
      </c>
      <c r="I35" s="565">
        <f t="shared" si="20"/>
        <v>1670417</v>
      </c>
      <c r="J35" s="565">
        <f t="shared" si="20"/>
        <v>1670417</v>
      </c>
      <c r="K35" s="565">
        <f t="shared" si="20"/>
        <v>1670417</v>
      </c>
      <c r="L35" s="565">
        <f t="shared" si="20"/>
        <v>1670417</v>
      </c>
      <c r="M35" s="565">
        <f t="shared" si="20"/>
        <v>1670417</v>
      </c>
      <c r="N35" s="174">
        <f t="shared" si="2"/>
        <v>1697962</v>
      </c>
      <c r="O35" s="171"/>
      <c r="P35" s="562" t="s">
        <v>631</v>
      </c>
      <c r="Q35" s="174"/>
      <c r="R35" s="34"/>
    </row>
    <row r="36" spans="1:18">
      <c r="A36" s="166" t="s">
        <v>278</v>
      </c>
      <c r="B36" s="601">
        <v>680834</v>
      </c>
      <c r="C36" s="601">
        <v>680834</v>
      </c>
      <c r="D36" s="601">
        <v>680834</v>
      </c>
      <c r="E36" s="601">
        <v>680834</v>
      </c>
      <c r="F36" s="601">
        <v>680834</v>
      </c>
      <c r="G36" s="601">
        <v>726333</v>
      </c>
      <c r="H36" s="601">
        <v>726333</v>
      </c>
      <c r="I36" s="601">
        <v>726333</v>
      </c>
      <c r="J36" s="601">
        <v>726333</v>
      </c>
      <c r="K36" s="601">
        <v>726333</v>
      </c>
      <c r="L36" s="601">
        <v>726333</v>
      </c>
      <c r="M36" s="601">
        <v>726333</v>
      </c>
      <c r="N36" s="174">
        <f t="shared" si="2"/>
        <v>707375.08333333337</v>
      </c>
      <c r="O36" s="171"/>
      <c r="P36" s="562" t="s">
        <v>632</v>
      </c>
      <c r="Q36" s="174"/>
      <c r="R36" s="34"/>
    </row>
    <row r="37" spans="1:18">
      <c r="A37" s="166" t="s">
        <v>284</v>
      </c>
      <c r="B37" s="601">
        <v>367750</v>
      </c>
      <c r="C37" s="601">
        <v>367750</v>
      </c>
      <c r="D37" s="601">
        <v>367750</v>
      </c>
      <c r="E37" s="601">
        <v>367750</v>
      </c>
      <c r="F37" s="601">
        <v>367750</v>
      </c>
      <c r="G37" s="601">
        <v>377667</v>
      </c>
      <c r="H37" s="601">
        <v>377667</v>
      </c>
      <c r="I37" s="601">
        <v>377667</v>
      </c>
      <c r="J37" s="601">
        <v>377667</v>
      </c>
      <c r="K37" s="601">
        <v>377667</v>
      </c>
      <c r="L37" s="601">
        <v>377667</v>
      </c>
      <c r="M37" s="601">
        <v>377667</v>
      </c>
      <c r="N37" s="174">
        <f t="shared" si="2"/>
        <v>373534.91666666669</v>
      </c>
      <c r="O37" s="171"/>
      <c r="P37" s="562" t="s">
        <v>633</v>
      </c>
      <c r="Q37" s="174"/>
      <c r="R37" s="34"/>
    </row>
    <row r="38" spans="1:18">
      <c r="A38" s="166"/>
      <c r="B38" s="167"/>
      <c r="C38" s="167"/>
      <c r="D38" s="167"/>
      <c r="E38" s="167"/>
      <c r="F38" s="167"/>
      <c r="G38" s="167"/>
      <c r="H38" s="167"/>
      <c r="I38" s="167"/>
      <c r="J38" s="173"/>
      <c r="K38" s="173"/>
      <c r="L38" s="173"/>
      <c r="M38" s="173"/>
      <c r="N38" s="174"/>
      <c r="O38" s="171"/>
      <c r="Q38" s="174"/>
    </row>
    <row r="39" spans="1:18" ht="16.5" thickBot="1">
      <c r="A39" s="166" t="s">
        <v>73</v>
      </c>
      <c r="B39" s="170">
        <f>SUM(B4:B38)-B18-B8-B9</f>
        <v>102011488</v>
      </c>
      <c r="C39" s="170">
        <f t="shared" ref="C39:L39" si="21">SUM(C4:C38)-C18-C8-C9</f>
        <v>102011488</v>
      </c>
      <c r="D39" s="170">
        <f t="shared" si="21"/>
        <v>102011488</v>
      </c>
      <c r="E39" s="170">
        <f t="shared" si="21"/>
        <v>102011488</v>
      </c>
      <c r="F39" s="170">
        <f t="shared" si="21"/>
        <v>102011488</v>
      </c>
      <c r="G39" s="170">
        <f t="shared" si="21"/>
        <v>102501801</v>
      </c>
      <c r="H39" s="170">
        <f t="shared" si="21"/>
        <v>102534718</v>
      </c>
      <c r="I39" s="170">
        <f t="shared" si="21"/>
        <v>102534718</v>
      </c>
      <c r="J39" s="170">
        <f t="shared" si="21"/>
        <v>102534718</v>
      </c>
      <c r="K39" s="170">
        <f t="shared" si="21"/>
        <v>102534718</v>
      </c>
      <c r="L39" s="170">
        <f t="shared" si="21"/>
        <v>103114798</v>
      </c>
      <c r="M39" s="170">
        <f>SUM(M4:M38)-M18-M8-M9</f>
        <v>103114798</v>
      </c>
      <c r="N39" s="170">
        <f>SUM(N4:N38)-N18-N8-N9</f>
        <v>102410642.41666667</v>
      </c>
      <c r="O39" s="171"/>
      <c r="Q39" s="174"/>
    </row>
    <row r="40" spans="1:18" ht="16.5" thickTop="1">
      <c r="A40" s="171"/>
      <c r="B40" s="611"/>
      <c r="C40" s="611"/>
      <c r="D40" s="611"/>
      <c r="E40" s="611"/>
      <c r="F40" s="611"/>
      <c r="G40" s="611"/>
      <c r="H40" s="611"/>
      <c r="I40" s="611"/>
      <c r="J40" s="611"/>
      <c r="K40" s="611"/>
      <c r="L40" s="611"/>
      <c r="M40" s="611"/>
      <c r="N40" s="612"/>
      <c r="O40" s="171"/>
      <c r="Q40" s="174"/>
    </row>
    <row r="41" spans="1:18">
      <c r="A41" s="171"/>
      <c r="B41" s="221"/>
      <c r="C41" s="613"/>
      <c r="D41" s="613"/>
      <c r="E41" s="613"/>
      <c r="F41" s="613"/>
      <c r="G41" s="613"/>
      <c r="H41" s="613"/>
      <c r="I41" s="613"/>
      <c r="J41" s="613"/>
      <c r="K41" s="613"/>
      <c r="L41" s="613"/>
      <c r="M41" s="613"/>
      <c r="N41" s="614"/>
      <c r="O41" s="171"/>
      <c r="Q41" s="174"/>
    </row>
    <row r="42" spans="1:18">
      <c r="A42" s="42" t="s">
        <v>70</v>
      </c>
      <c r="B42" s="601">
        <v>4821167</v>
      </c>
      <c r="C42" s="601">
        <v>4821167</v>
      </c>
      <c r="D42" s="601">
        <v>4821167</v>
      </c>
      <c r="E42" s="601">
        <v>4821167</v>
      </c>
      <c r="F42" s="601">
        <v>4821167</v>
      </c>
      <c r="G42" s="601">
        <v>5385333</v>
      </c>
      <c r="H42" s="601">
        <v>5385333</v>
      </c>
      <c r="I42" s="601">
        <v>5385333</v>
      </c>
      <c r="J42" s="601">
        <v>5385333</v>
      </c>
      <c r="K42" s="601">
        <v>5385333</v>
      </c>
      <c r="L42" s="601">
        <v>5385333</v>
      </c>
      <c r="M42" s="601">
        <v>5385333</v>
      </c>
      <c r="N42" s="171"/>
      <c r="O42" s="171"/>
      <c r="Q42" s="171"/>
    </row>
    <row r="43" spans="1:18">
      <c r="A43" s="43" t="s">
        <v>74</v>
      </c>
      <c r="B43" s="601">
        <v>495917</v>
      </c>
      <c r="C43" s="601">
        <v>495917</v>
      </c>
      <c r="D43" s="601">
        <v>495917</v>
      </c>
      <c r="E43" s="601">
        <v>495917</v>
      </c>
      <c r="F43" s="601">
        <v>495917</v>
      </c>
      <c r="G43" s="601">
        <v>513333</v>
      </c>
      <c r="H43" s="601">
        <v>513333</v>
      </c>
      <c r="I43" s="601">
        <v>513333</v>
      </c>
      <c r="J43" s="601">
        <v>513333</v>
      </c>
      <c r="K43" s="601">
        <v>513333</v>
      </c>
      <c r="L43" s="601">
        <v>513333</v>
      </c>
      <c r="M43" s="601">
        <v>513333</v>
      </c>
      <c r="N43" s="171"/>
      <c r="O43" s="171"/>
      <c r="Q43" s="171"/>
    </row>
    <row r="44" spans="1:18">
      <c r="A44" s="43" t="s">
        <v>75</v>
      </c>
      <c r="B44" s="602">
        <v>502594</v>
      </c>
      <c r="C44" s="602">
        <v>502594</v>
      </c>
      <c r="D44" s="602">
        <v>502594</v>
      </c>
      <c r="E44" s="602">
        <v>502594</v>
      </c>
      <c r="F44" s="602">
        <v>502594</v>
      </c>
      <c r="G44" s="602">
        <v>496637</v>
      </c>
      <c r="H44" s="602">
        <v>496637</v>
      </c>
      <c r="I44" s="602">
        <v>496637</v>
      </c>
      <c r="J44" s="602">
        <v>496637</v>
      </c>
      <c r="K44" s="602">
        <v>496637</v>
      </c>
      <c r="L44" s="602">
        <v>496637</v>
      </c>
      <c r="M44" s="602">
        <v>496637</v>
      </c>
      <c r="N44" s="171"/>
      <c r="O44" s="171"/>
      <c r="Q44" s="171"/>
    </row>
    <row r="45" spans="1:18" s="172" customFormat="1">
      <c r="A45" s="54" t="s">
        <v>76</v>
      </c>
      <c r="B45" s="110">
        <f t="shared" ref="B45:M45" si="22">SUM(B42:B44)</f>
        <v>5819678</v>
      </c>
      <c r="C45" s="110">
        <f t="shared" si="22"/>
        <v>5819678</v>
      </c>
      <c r="D45" s="110">
        <f t="shared" si="22"/>
        <v>5819678</v>
      </c>
      <c r="E45" s="110">
        <f t="shared" si="22"/>
        <v>5819678</v>
      </c>
      <c r="F45" s="110">
        <f t="shared" si="22"/>
        <v>5819678</v>
      </c>
      <c r="G45" s="110">
        <f t="shared" si="22"/>
        <v>6395303</v>
      </c>
      <c r="H45" s="110">
        <f t="shared" si="22"/>
        <v>6395303</v>
      </c>
      <c r="I45" s="110">
        <f t="shared" si="22"/>
        <v>6395303</v>
      </c>
      <c r="J45" s="110">
        <f t="shared" si="22"/>
        <v>6395303</v>
      </c>
      <c r="K45" s="110">
        <f t="shared" si="22"/>
        <v>6395303</v>
      </c>
      <c r="L45" s="110">
        <f t="shared" si="22"/>
        <v>6395303</v>
      </c>
      <c r="M45" s="110">
        <f t="shared" si="22"/>
        <v>6395303</v>
      </c>
      <c r="N45" s="171"/>
      <c r="O45" s="171"/>
      <c r="Q45" s="171"/>
    </row>
    <row r="46" spans="1:18">
      <c r="A46" s="45" t="s">
        <v>21</v>
      </c>
      <c r="B46" s="601"/>
      <c r="C46" s="601"/>
      <c r="D46" s="601"/>
      <c r="E46" s="601"/>
      <c r="F46" s="601"/>
      <c r="G46" s="603"/>
      <c r="H46" s="603"/>
      <c r="I46" s="603"/>
      <c r="J46" s="603"/>
      <c r="K46" s="603"/>
      <c r="L46" s="603"/>
      <c r="M46" s="603"/>
      <c r="N46" s="171"/>
      <c r="O46" s="171"/>
      <c r="Q46" s="171"/>
    </row>
    <row r="47" spans="1:18">
      <c r="A47" s="46" t="s">
        <v>77</v>
      </c>
      <c r="B47" s="604"/>
      <c r="C47" s="604"/>
      <c r="D47" s="604"/>
      <c r="E47" s="604"/>
      <c r="F47" s="604"/>
      <c r="G47" s="605"/>
      <c r="H47" s="605"/>
      <c r="I47" s="605"/>
      <c r="J47" s="605"/>
      <c r="K47" s="605"/>
      <c r="L47" s="605"/>
      <c r="M47" s="605"/>
      <c r="N47" s="171"/>
      <c r="O47" s="171"/>
      <c r="Q47" s="171"/>
    </row>
    <row r="48" spans="1:18" s="172" customFormat="1">
      <c r="A48" s="54" t="s">
        <v>78</v>
      </c>
      <c r="B48" s="110">
        <f>SUM(B46:B47)</f>
        <v>0</v>
      </c>
      <c r="C48" s="110">
        <f>SUM(C46:C47)</f>
        <v>0</v>
      </c>
      <c r="D48" s="110">
        <f>SUM(D46:D47)</f>
        <v>0</v>
      </c>
      <c r="E48" s="110">
        <f>SUM(E46:E47)</f>
        <v>0</v>
      </c>
      <c r="F48" s="110">
        <f>SUM(F46:F47)</f>
        <v>0</v>
      </c>
      <c r="G48" s="110">
        <f t="shared" ref="G48:L48" si="23">SUM(G46:G47)</f>
        <v>0</v>
      </c>
      <c r="H48" s="110">
        <f t="shared" si="23"/>
        <v>0</v>
      </c>
      <c r="I48" s="110">
        <f t="shared" si="23"/>
        <v>0</v>
      </c>
      <c r="J48" s="110">
        <f t="shared" si="23"/>
        <v>0</v>
      </c>
      <c r="K48" s="110">
        <f t="shared" si="23"/>
        <v>0</v>
      </c>
      <c r="L48" s="110">
        <f t="shared" si="23"/>
        <v>0</v>
      </c>
      <c r="M48" s="110">
        <f>SUM(M46:M47)</f>
        <v>0</v>
      </c>
      <c r="N48" s="171"/>
      <c r="O48" s="171"/>
      <c r="Q48" s="171"/>
    </row>
    <row r="49" spans="1:17">
      <c r="A49" s="48" t="s">
        <v>79</v>
      </c>
      <c r="B49" s="601">
        <v>0</v>
      </c>
      <c r="C49" s="601">
        <v>0</v>
      </c>
      <c r="D49" s="601">
        <v>0</v>
      </c>
      <c r="E49" s="601">
        <v>0</v>
      </c>
      <c r="F49" s="601">
        <v>0</v>
      </c>
      <c r="G49" s="609">
        <v>0</v>
      </c>
      <c r="H49" s="609">
        <v>0</v>
      </c>
      <c r="I49" s="609">
        <v>0</v>
      </c>
      <c r="J49" s="609">
        <v>0</v>
      </c>
      <c r="K49" s="609">
        <v>0</v>
      </c>
      <c r="L49" s="609">
        <v>0</v>
      </c>
      <c r="M49" s="609">
        <v>0</v>
      </c>
      <c r="N49" s="171"/>
      <c r="O49" s="171"/>
      <c r="Q49" s="171"/>
    </row>
    <row r="50" spans="1:17">
      <c r="A50" s="48" t="s">
        <v>80</v>
      </c>
      <c r="B50" s="601">
        <v>0</v>
      </c>
      <c r="C50" s="601">
        <v>0</v>
      </c>
      <c r="D50" s="601">
        <v>0</v>
      </c>
      <c r="E50" s="601">
        <v>0</v>
      </c>
      <c r="F50" s="601">
        <v>0</v>
      </c>
      <c r="G50" s="609">
        <v>0</v>
      </c>
      <c r="H50" s="609">
        <v>0</v>
      </c>
      <c r="I50" s="609">
        <v>0</v>
      </c>
      <c r="J50" s="609">
        <v>0</v>
      </c>
      <c r="K50" s="609">
        <v>0</v>
      </c>
      <c r="L50" s="609">
        <v>0</v>
      </c>
      <c r="M50" s="609">
        <v>0</v>
      </c>
      <c r="N50" s="171"/>
      <c r="O50" s="171"/>
      <c r="Q50" s="171"/>
    </row>
    <row r="51" spans="1:17">
      <c r="A51" s="48" t="s">
        <v>81</v>
      </c>
      <c r="B51" s="601">
        <v>0</v>
      </c>
      <c r="C51" s="601">
        <v>0</v>
      </c>
      <c r="D51" s="601">
        <v>0</v>
      </c>
      <c r="E51" s="601">
        <v>0</v>
      </c>
      <c r="F51" s="601">
        <v>0</v>
      </c>
      <c r="G51" s="609">
        <v>0</v>
      </c>
      <c r="H51" s="609">
        <v>0</v>
      </c>
      <c r="I51" s="609">
        <v>0</v>
      </c>
      <c r="J51" s="609">
        <v>0</v>
      </c>
      <c r="K51" s="609">
        <v>0</v>
      </c>
      <c r="L51" s="609">
        <v>0</v>
      </c>
      <c r="M51" s="609">
        <v>0</v>
      </c>
      <c r="N51" s="171"/>
      <c r="O51" s="171"/>
      <c r="Q51" s="171"/>
    </row>
    <row r="52" spans="1:17">
      <c r="A52" s="48" t="s">
        <v>82</v>
      </c>
      <c r="B52" s="601">
        <v>0</v>
      </c>
      <c r="C52" s="601">
        <v>0</v>
      </c>
      <c r="D52" s="601">
        <v>0</v>
      </c>
      <c r="E52" s="601">
        <v>0</v>
      </c>
      <c r="F52" s="601">
        <v>0</v>
      </c>
      <c r="G52" s="609">
        <v>0</v>
      </c>
      <c r="H52" s="609">
        <v>0</v>
      </c>
      <c r="I52" s="609">
        <v>0</v>
      </c>
      <c r="J52" s="609">
        <v>0</v>
      </c>
      <c r="K52" s="609">
        <v>0</v>
      </c>
      <c r="L52" s="609">
        <v>0</v>
      </c>
      <c r="M52" s="609">
        <v>0</v>
      </c>
      <c r="N52" s="171"/>
      <c r="O52" s="171"/>
      <c r="Q52" s="171"/>
    </row>
    <row r="53" spans="1:17">
      <c r="A53" s="48" t="s">
        <v>83</v>
      </c>
      <c r="B53" s="601">
        <v>0</v>
      </c>
      <c r="C53" s="601">
        <v>0</v>
      </c>
      <c r="D53" s="601">
        <v>0</v>
      </c>
      <c r="E53" s="601">
        <v>0</v>
      </c>
      <c r="F53" s="601">
        <v>0</v>
      </c>
      <c r="G53" s="609">
        <v>0</v>
      </c>
      <c r="H53" s="609">
        <v>0</v>
      </c>
      <c r="I53" s="609">
        <v>0</v>
      </c>
      <c r="J53" s="609">
        <v>0</v>
      </c>
      <c r="K53" s="609">
        <v>0</v>
      </c>
      <c r="L53" s="609">
        <v>0</v>
      </c>
      <c r="M53" s="609">
        <v>0</v>
      </c>
      <c r="N53" s="171"/>
      <c r="O53" s="171"/>
      <c r="Q53" s="171"/>
    </row>
    <row r="54" spans="1:17">
      <c r="A54" s="48" t="s">
        <v>84</v>
      </c>
      <c r="B54" s="601">
        <v>0</v>
      </c>
      <c r="C54" s="601">
        <v>0</v>
      </c>
      <c r="D54" s="601">
        <v>0</v>
      </c>
      <c r="E54" s="601">
        <v>0</v>
      </c>
      <c r="F54" s="601">
        <v>0</v>
      </c>
      <c r="G54" s="608">
        <v>0</v>
      </c>
      <c r="H54" s="608">
        <v>0</v>
      </c>
      <c r="I54" s="608">
        <v>0</v>
      </c>
      <c r="J54" s="608">
        <v>0</v>
      </c>
      <c r="K54" s="608">
        <v>0</v>
      </c>
      <c r="L54" s="608">
        <v>0</v>
      </c>
      <c r="M54" s="608">
        <v>0</v>
      </c>
      <c r="N54" s="171"/>
      <c r="O54" s="171"/>
      <c r="Q54" s="171"/>
    </row>
    <row r="55" spans="1:17" s="172" customFormat="1">
      <c r="A55" s="54" t="s">
        <v>85</v>
      </c>
      <c r="B55" s="110">
        <f t="shared" ref="B55:M55" si="24">B120</f>
        <v>7244891</v>
      </c>
      <c r="C55" s="110">
        <f t="shared" si="24"/>
        <v>7244891</v>
      </c>
      <c r="D55" s="110">
        <f t="shared" si="24"/>
        <v>7244891</v>
      </c>
      <c r="E55" s="110">
        <f t="shared" si="24"/>
        <v>7244891</v>
      </c>
      <c r="F55" s="110">
        <f t="shared" si="24"/>
        <v>7244891</v>
      </c>
      <c r="G55" s="110">
        <f t="shared" si="24"/>
        <v>7244891</v>
      </c>
      <c r="H55" s="110">
        <f t="shared" si="24"/>
        <v>7244891</v>
      </c>
      <c r="I55" s="110">
        <f t="shared" si="24"/>
        <v>7244891</v>
      </c>
      <c r="J55" s="110">
        <f t="shared" si="24"/>
        <v>7244891</v>
      </c>
      <c r="K55" s="110">
        <f t="shared" si="24"/>
        <v>7244891</v>
      </c>
      <c r="L55" s="110">
        <f t="shared" si="24"/>
        <v>7244891</v>
      </c>
      <c r="M55" s="110">
        <f t="shared" si="24"/>
        <v>7244891</v>
      </c>
      <c r="N55" s="171"/>
      <c r="O55" s="171"/>
      <c r="Q55" s="171"/>
    </row>
    <row r="56" spans="1:17">
      <c r="A56" s="50" t="s">
        <v>86</v>
      </c>
      <c r="B56" s="601">
        <v>8580000</v>
      </c>
      <c r="C56" s="601">
        <v>8580000</v>
      </c>
      <c r="D56" s="601">
        <v>8580000</v>
      </c>
      <c r="E56" s="601">
        <v>8580000</v>
      </c>
      <c r="F56" s="601">
        <v>8580000</v>
      </c>
      <c r="G56" s="601">
        <v>8580000</v>
      </c>
      <c r="H56" s="601">
        <v>8580000</v>
      </c>
      <c r="I56" s="601">
        <v>8580000</v>
      </c>
      <c r="J56" s="601">
        <v>8580000</v>
      </c>
      <c r="K56" s="601">
        <v>8580000</v>
      </c>
      <c r="L56" s="601">
        <v>8580000</v>
      </c>
      <c r="M56" s="601">
        <v>8580000</v>
      </c>
      <c r="N56" s="171"/>
      <c r="O56" s="171"/>
      <c r="Q56" s="171"/>
    </row>
    <row r="57" spans="1:17">
      <c r="A57" s="51" t="s">
        <v>79</v>
      </c>
      <c r="B57" s="601">
        <v>0</v>
      </c>
      <c r="C57" s="601">
        <v>0</v>
      </c>
      <c r="D57" s="601">
        <v>0</v>
      </c>
      <c r="E57" s="601">
        <v>0</v>
      </c>
      <c r="F57" s="601">
        <v>0</v>
      </c>
      <c r="G57" s="601">
        <v>0</v>
      </c>
      <c r="H57" s="601">
        <v>0</v>
      </c>
      <c r="I57" s="601">
        <v>0</v>
      </c>
      <c r="J57" s="601">
        <v>0</v>
      </c>
      <c r="K57" s="601">
        <v>0</v>
      </c>
      <c r="L57" s="601">
        <v>0</v>
      </c>
      <c r="M57" s="601">
        <v>0</v>
      </c>
      <c r="N57" s="171"/>
      <c r="O57" s="171"/>
      <c r="Q57" s="171"/>
    </row>
    <row r="58" spans="1:17" s="172" customFormat="1">
      <c r="A58" s="54" t="s">
        <v>22</v>
      </c>
      <c r="B58" s="110">
        <f t="shared" ref="B58:M58" si="25">SUM(B56:B57)</f>
        <v>8580000</v>
      </c>
      <c r="C58" s="110">
        <f t="shared" si="25"/>
        <v>8580000</v>
      </c>
      <c r="D58" s="110">
        <f t="shared" si="25"/>
        <v>8580000</v>
      </c>
      <c r="E58" s="110">
        <f t="shared" si="25"/>
        <v>8580000</v>
      </c>
      <c r="F58" s="110">
        <f t="shared" si="25"/>
        <v>8580000</v>
      </c>
      <c r="G58" s="110">
        <f t="shared" si="25"/>
        <v>8580000</v>
      </c>
      <c r="H58" s="110">
        <f t="shared" si="25"/>
        <v>8580000</v>
      </c>
      <c r="I58" s="110">
        <f t="shared" si="25"/>
        <v>8580000</v>
      </c>
      <c r="J58" s="110">
        <f t="shared" si="25"/>
        <v>8580000</v>
      </c>
      <c r="K58" s="110">
        <f t="shared" si="25"/>
        <v>8580000</v>
      </c>
      <c r="L58" s="110">
        <f t="shared" si="25"/>
        <v>8580000</v>
      </c>
      <c r="M58" s="110">
        <f t="shared" si="25"/>
        <v>8580000</v>
      </c>
      <c r="N58" s="171"/>
      <c r="O58" s="171"/>
      <c r="Q58" s="171"/>
    </row>
    <row r="59" spans="1:17">
      <c r="A59" s="52" t="s">
        <v>87</v>
      </c>
      <c r="B59" s="601">
        <v>889617</v>
      </c>
      <c r="C59" s="601">
        <v>889617</v>
      </c>
      <c r="D59" s="601">
        <v>889617</v>
      </c>
      <c r="E59" s="601">
        <v>889617</v>
      </c>
      <c r="F59" s="601">
        <v>889617</v>
      </c>
      <c r="G59" s="601">
        <v>885559</v>
      </c>
      <c r="H59" s="601">
        <v>885559</v>
      </c>
      <c r="I59" s="601">
        <v>885559</v>
      </c>
      <c r="J59" s="601">
        <v>885559</v>
      </c>
      <c r="K59" s="601">
        <v>885559</v>
      </c>
      <c r="L59" s="601">
        <v>885559</v>
      </c>
      <c r="M59" s="601">
        <v>885559</v>
      </c>
      <c r="N59" s="171"/>
      <c r="O59" s="171"/>
      <c r="Q59" s="171"/>
    </row>
    <row r="60" spans="1:17">
      <c r="A60" s="51" t="s">
        <v>32</v>
      </c>
      <c r="B60" s="601">
        <v>44100</v>
      </c>
      <c r="C60" s="601">
        <v>44100</v>
      </c>
      <c r="D60" s="601">
        <v>44100</v>
      </c>
      <c r="E60" s="601">
        <v>44100</v>
      </c>
      <c r="F60" s="601">
        <v>44100</v>
      </c>
      <c r="G60" s="601">
        <v>41800</v>
      </c>
      <c r="H60" s="601">
        <v>41800</v>
      </c>
      <c r="I60" s="601">
        <v>41800</v>
      </c>
      <c r="J60" s="601">
        <v>41800</v>
      </c>
      <c r="K60" s="601">
        <v>41800</v>
      </c>
      <c r="L60" s="601">
        <v>41800</v>
      </c>
      <c r="M60" s="601">
        <v>41800</v>
      </c>
      <c r="N60" s="171"/>
      <c r="O60" s="171"/>
      <c r="Q60" s="171"/>
    </row>
    <row r="61" spans="1:17">
      <c r="A61" s="51" t="s">
        <v>88</v>
      </c>
      <c r="B61" s="601">
        <v>0</v>
      </c>
      <c r="C61" s="601">
        <v>0</v>
      </c>
      <c r="D61" s="601">
        <v>0</v>
      </c>
      <c r="E61" s="601">
        <v>0</v>
      </c>
      <c r="F61" s="601">
        <v>0</v>
      </c>
      <c r="G61" s="601">
        <v>0</v>
      </c>
      <c r="H61" s="601">
        <v>0</v>
      </c>
      <c r="I61" s="601">
        <v>0</v>
      </c>
      <c r="J61" s="601">
        <v>0</v>
      </c>
      <c r="K61" s="601">
        <v>0</v>
      </c>
      <c r="L61" s="601">
        <v>0</v>
      </c>
      <c r="M61" s="601">
        <v>0</v>
      </c>
      <c r="N61" s="171"/>
      <c r="O61" s="171"/>
      <c r="Q61" s="171"/>
    </row>
    <row r="62" spans="1:17">
      <c r="A62" s="51" t="s">
        <v>189</v>
      </c>
      <c r="B62" s="601">
        <v>46592</v>
      </c>
      <c r="C62" s="601">
        <v>46592</v>
      </c>
      <c r="D62" s="601">
        <v>46592</v>
      </c>
      <c r="E62" s="601">
        <v>46592</v>
      </c>
      <c r="F62" s="601">
        <v>46592</v>
      </c>
      <c r="G62" s="601">
        <v>46125</v>
      </c>
      <c r="H62" s="601">
        <v>46125</v>
      </c>
      <c r="I62" s="601">
        <v>46125</v>
      </c>
      <c r="J62" s="601">
        <v>46125</v>
      </c>
      <c r="K62" s="601">
        <v>46125</v>
      </c>
      <c r="L62" s="601">
        <v>46125</v>
      </c>
      <c r="M62" s="601">
        <v>46125</v>
      </c>
      <c r="N62" s="171"/>
      <c r="O62" s="171"/>
      <c r="Q62" s="171"/>
    </row>
    <row r="63" spans="1:17">
      <c r="A63" s="51" t="s">
        <v>89</v>
      </c>
      <c r="B63" s="601">
        <v>70250</v>
      </c>
      <c r="C63" s="601">
        <v>70250</v>
      </c>
      <c r="D63" s="601">
        <v>70250</v>
      </c>
      <c r="E63" s="601">
        <v>70250</v>
      </c>
      <c r="F63" s="601">
        <v>70250</v>
      </c>
      <c r="G63" s="601">
        <v>70250</v>
      </c>
      <c r="H63" s="601">
        <v>70250</v>
      </c>
      <c r="I63" s="601">
        <v>70250</v>
      </c>
      <c r="J63" s="601">
        <v>70250</v>
      </c>
      <c r="K63" s="601">
        <v>70250</v>
      </c>
      <c r="L63" s="601">
        <v>70250</v>
      </c>
      <c r="M63" s="601">
        <v>70250</v>
      </c>
      <c r="N63" s="171"/>
      <c r="O63" s="171"/>
      <c r="Q63" s="171"/>
    </row>
    <row r="64" spans="1:17" s="172" customFormat="1">
      <c r="A64" s="54" t="s">
        <v>33</v>
      </c>
      <c r="B64" s="110">
        <f t="shared" ref="B64:M64" si="26">SUM(B59:B63)</f>
        <v>1050559</v>
      </c>
      <c r="C64" s="110">
        <f t="shared" si="26"/>
        <v>1050559</v>
      </c>
      <c r="D64" s="110">
        <f t="shared" si="26"/>
        <v>1050559</v>
      </c>
      <c r="E64" s="110">
        <f t="shared" si="26"/>
        <v>1050559</v>
      </c>
      <c r="F64" s="110">
        <f t="shared" si="26"/>
        <v>1050559</v>
      </c>
      <c r="G64" s="110">
        <f t="shared" si="26"/>
        <v>1043734</v>
      </c>
      <c r="H64" s="110">
        <f t="shared" si="26"/>
        <v>1043734</v>
      </c>
      <c r="I64" s="110">
        <f t="shared" si="26"/>
        <v>1043734</v>
      </c>
      <c r="J64" s="110">
        <f t="shared" si="26"/>
        <v>1043734</v>
      </c>
      <c r="K64" s="110">
        <f t="shared" si="26"/>
        <v>1043734</v>
      </c>
      <c r="L64" s="110">
        <f t="shared" si="26"/>
        <v>1043734</v>
      </c>
      <c r="M64" s="110">
        <f t="shared" si="26"/>
        <v>1043734</v>
      </c>
      <c r="N64" s="171"/>
      <c r="O64" s="171"/>
      <c r="Q64" s="171"/>
    </row>
    <row r="65" spans="1:17">
      <c r="A65" s="51" t="s">
        <v>90</v>
      </c>
      <c r="B65" s="601">
        <v>2696454</v>
      </c>
      <c r="C65" s="601">
        <v>2696454</v>
      </c>
      <c r="D65" s="601">
        <v>2696454</v>
      </c>
      <c r="E65" s="601">
        <v>2696454</v>
      </c>
      <c r="F65" s="601">
        <v>2696454</v>
      </c>
      <c r="G65" s="601">
        <v>2733561</v>
      </c>
      <c r="H65" s="601">
        <v>2733561</v>
      </c>
      <c r="I65" s="601">
        <v>2733561</v>
      </c>
      <c r="J65" s="609">
        <v>2733561</v>
      </c>
      <c r="K65" s="609">
        <v>2733561</v>
      </c>
      <c r="L65" s="609">
        <v>2733561</v>
      </c>
      <c r="M65" s="609">
        <v>2733561</v>
      </c>
      <c r="N65" s="171"/>
      <c r="O65" s="171"/>
      <c r="Q65" s="171"/>
    </row>
    <row r="66" spans="1:17">
      <c r="A66" s="51" t="s">
        <v>32</v>
      </c>
      <c r="B66" s="601">
        <v>29600</v>
      </c>
      <c r="C66" s="601">
        <v>29600</v>
      </c>
      <c r="D66" s="601">
        <v>29600</v>
      </c>
      <c r="E66" s="601">
        <v>29600</v>
      </c>
      <c r="F66" s="601">
        <v>29600</v>
      </c>
      <c r="G66" s="601">
        <v>28000</v>
      </c>
      <c r="H66" s="601">
        <v>28000</v>
      </c>
      <c r="I66" s="601">
        <v>28000</v>
      </c>
      <c r="J66" s="601">
        <v>28000</v>
      </c>
      <c r="K66" s="601">
        <v>28000</v>
      </c>
      <c r="L66" s="601">
        <v>28000</v>
      </c>
      <c r="M66" s="601">
        <v>28000</v>
      </c>
      <c r="N66" s="171"/>
      <c r="O66" s="171"/>
      <c r="Q66" s="171"/>
    </row>
    <row r="67" spans="1:17">
      <c r="A67" s="51" t="s">
        <v>107</v>
      </c>
      <c r="B67" s="601">
        <v>5014</v>
      </c>
      <c r="C67" s="601">
        <v>5014</v>
      </c>
      <c r="D67" s="601">
        <v>5014</v>
      </c>
      <c r="E67" s="601">
        <v>5014</v>
      </c>
      <c r="F67" s="601">
        <v>5014</v>
      </c>
      <c r="G67" s="609">
        <v>5438</v>
      </c>
      <c r="H67" s="609">
        <v>5438</v>
      </c>
      <c r="I67" s="609">
        <v>5438</v>
      </c>
      <c r="J67" s="609">
        <v>5438</v>
      </c>
      <c r="K67" s="609">
        <v>5438</v>
      </c>
      <c r="L67" s="609">
        <v>5438</v>
      </c>
      <c r="M67" s="609">
        <v>5438</v>
      </c>
      <c r="N67" s="171"/>
      <c r="O67" s="171"/>
      <c r="Q67" s="171"/>
    </row>
    <row r="68" spans="1:17">
      <c r="A68" s="53" t="s">
        <v>91</v>
      </c>
      <c r="B68" s="601">
        <v>3340</v>
      </c>
      <c r="C68" s="601">
        <v>3340</v>
      </c>
      <c r="D68" s="601">
        <v>3340</v>
      </c>
      <c r="E68" s="601">
        <v>3340</v>
      </c>
      <c r="F68" s="601">
        <v>3340</v>
      </c>
      <c r="G68" s="609">
        <v>3512</v>
      </c>
      <c r="H68" s="609">
        <v>3512</v>
      </c>
      <c r="I68" s="609">
        <v>3512</v>
      </c>
      <c r="J68" s="609">
        <v>3512</v>
      </c>
      <c r="K68" s="609">
        <v>3512</v>
      </c>
      <c r="L68" s="609">
        <v>3512</v>
      </c>
      <c r="M68" s="609">
        <v>3512</v>
      </c>
      <c r="N68" s="171"/>
      <c r="O68" s="171"/>
      <c r="Q68" s="171"/>
    </row>
    <row r="69" spans="1:17">
      <c r="A69" s="51" t="s">
        <v>92</v>
      </c>
      <c r="B69" s="601">
        <v>10720</v>
      </c>
      <c r="C69" s="601">
        <v>10720</v>
      </c>
      <c r="D69" s="601">
        <v>10720</v>
      </c>
      <c r="E69" s="601">
        <v>10720</v>
      </c>
      <c r="F69" s="601">
        <v>10720</v>
      </c>
      <c r="G69" s="609">
        <v>10681</v>
      </c>
      <c r="H69" s="609">
        <v>10681</v>
      </c>
      <c r="I69" s="609">
        <v>10681</v>
      </c>
      <c r="J69" s="609">
        <v>10681</v>
      </c>
      <c r="K69" s="609">
        <v>10681</v>
      </c>
      <c r="L69" s="609">
        <v>10681</v>
      </c>
      <c r="M69" s="609">
        <v>10681</v>
      </c>
      <c r="N69" s="171"/>
      <c r="O69" s="171"/>
      <c r="Q69" s="171"/>
    </row>
    <row r="70" spans="1:17">
      <c r="A70" s="51" t="s">
        <v>33</v>
      </c>
      <c r="B70" s="610">
        <v>116808</v>
      </c>
      <c r="C70" s="610">
        <v>116808</v>
      </c>
      <c r="D70" s="610">
        <v>116808</v>
      </c>
      <c r="E70" s="610">
        <v>116808</v>
      </c>
      <c r="F70" s="610">
        <v>116808</v>
      </c>
      <c r="G70" s="610">
        <v>116808</v>
      </c>
      <c r="H70" s="610">
        <v>116808</v>
      </c>
      <c r="I70" s="610">
        <v>116808</v>
      </c>
      <c r="J70" s="610">
        <v>116808</v>
      </c>
      <c r="K70" s="610">
        <v>116808</v>
      </c>
      <c r="L70" s="610">
        <v>116808</v>
      </c>
      <c r="M70" s="610">
        <v>116808</v>
      </c>
      <c r="N70" s="171"/>
      <c r="O70" s="171"/>
      <c r="Q70" s="171"/>
    </row>
    <row r="71" spans="1:17">
      <c r="A71" s="51" t="s">
        <v>265</v>
      </c>
      <c r="B71" s="602">
        <v>36064</v>
      </c>
      <c r="C71" s="602">
        <v>36064</v>
      </c>
      <c r="D71" s="602">
        <v>36064</v>
      </c>
      <c r="E71" s="602">
        <v>36064</v>
      </c>
      <c r="F71" s="602">
        <v>36064</v>
      </c>
      <c r="G71" s="602">
        <v>0</v>
      </c>
      <c r="H71" s="602">
        <v>0</v>
      </c>
      <c r="I71" s="602">
        <v>0</v>
      </c>
      <c r="J71" s="602">
        <v>0</v>
      </c>
      <c r="K71" s="602">
        <v>0</v>
      </c>
      <c r="L71" s="602">
        <v>0</v>
      </c>
      <c r="M71" s="602">
        <v>0</v>
      </c>
      <c r="N71" s="171"/>
      <c r="O71" s="171"/>
      <c r="Q71" s="171"/>
    </row>
    <row r="72" spans="1:17" s="172" customFormat="1">
      <c r="A72" s="54" t="s">
        <v>23</v>
      </c>
      <c r="B72" s="110">
        <f>SUM(B65:B71)</f>
        <v>2898000</v>
      </c>
      <c r="C72" s="110">
        <f>SUM(C65:C71)</f>
        <v>2898000</v>
      </c>
      <c r="D72" s="110">
        <f>SUM(D65:D71)</f>
        <v>2898000</v>
      </c>
      <c r="E72" s="110">
        <f>SUM(E65:E71)</f>
        <v>2898000</v>
      </c>
      <c r="F72" s="110">
        <f>SUM(F65:F71)</f>
        <v>2898000</v>
      </c>
      <c r="G72" s="110">
        <f t="shared" ref="G72:M72" si="27">SUM(G65:G71)</f>
        <v>2898000</v>
      </c>
      <c r="H72" s="110">
        <f t="shared" si="27"/>
        <v>2898000</v>
      </c>
      <c r="I72" s="110">
        <f t="shared" si="27"/>
        <v>2898000</v>
      </c>
      <c r="J72" s="110">
        <f t="shared" si="27"/>
        <v>2898000</v>
      </c>
      <c r="K72" s="110">
        <f t="shared" si="27"/>
        <v>2898000</v>
      </c>
      <c r="L72" s="110">
        <f t="shared" si="27"/>
        <v>2898000</v>
      </c>
      <c r="M72" s="110">
        <f t="shared" si="27"/>
        <v>2898000</v>
      </c>
      <c r="N72" s="171"/>
      <c r="O72" s="171"/>
      <c r="Q72" s="171"/>
    </row>
    <row r="73" spans="1:17">
      <c r="A73" s="176" t="s">
        <v>93</v>
      </c>
      <c r="B73" s="601">
        <v>1556000</v>
      </c>
      <c r="C73" s="601">
        <v>1556000</v>
      </c>
      <c r="D73" s="601">
        <v>1556000</v>
      </c>
      <c r="E73" s="601">
        <v>1556000</v>
      </c>
      <c r="F73" s="601">
        <v>1556000</v>
      </c>
      <c r="G73" s="601">
        <v>1556000</v>
      </c>
      <c r="H73" s="601">
        <v>1556000</v>
      </c>
      <c r="I73" s="601">
        <v>1556000</v>
      </c>
      <c r="J73" s="601">
        <v>1556000</v>
      </c>
      <c r="K73" s="601">
        <v>1556000</v>
      </c>
      <c r="L73" s="601">
        <v>1556000</v>
      </c>
      <c r="M73" s="601">
        <v>1556000</v>
      </c>
      <c r="N73" s="171"/>
      <c r="O73" s="171"/>
      <c r="Q73" s="171"/>
    </row>
    <row r="74" spans="1:17">
      <c r="A74" s="177" t="s">
        <v>33</v>
      </c>
      <c r="B74" s="601">
        <v>193876</v>
      </c>
      <c r="C74" s="601">
        <v>193876</v>
      </c>
      <c r="D74" s="601">
        <v>193876</v>
      </c>
      <c r="E74" s="601">
        <v>193876</v>
      </c>
      <c r="F74" s="601">
        <v>193876</v>
      </c>
      <c r="G74" s="601">
        <v>193876</v>
      </c>
      <c r="H74" s="601">
        <v>193876</v>
      </c>
      <c r="I74" s="601">
        <v>193876</v>
      </c>
      <c r="J74" s="601">
        <v>193876</v>
      </c>
      <c r="K74" s="601">
        <v>193876</v>
      </c>
      <c r="L74" s="601">
        <v>193876</v>
      </c>
      <c r="M74" s="601">
        <v>193876</v>
      </c>
      <c r="N74" s="171"/>
      <c r="O74" s="171"/>
      <c r="Q74" s="171"/>
    </row>
    <row r="75" spans="1:17" s="172" customFormat="1">
      <c r="A75" s="54" t="s">
        <v>31</v>
      </c>
      <c r="B75" s="110">
        <f t="shared" ref="B75:M75" si="28">SUM(B73:B74)</f>
        <v>1749876</v>
      </c>
      <c r="C75" s="110">
        <f t="shared" si="28"/>
        <v>1749876</v>
      </c>
      <c r="D75" s="110">
        <f t="shared" si="28"/>
        <v>1749876</v>
      </c>
      <c r="E75" s="110">
        <f t="shared" si="28"/>
        <v>1749876</v>
      </c>
      <c r="F75" s="110">
        <f t="shared" si="28"/>
        <v>1749876</v>
      </c>
      <c r="G75" s="110">
        <f t="shared" si="28"/>
        <v>1749876</v>
      </c>
      <c r="H75" s="110">
        <f t="shared" si="28"/>
        <v>1749876</v>
      </c>
      <c r="I75" s="110">
        <f t="shared" si="28"/>
        <v>1749876</v>
      </c>
      <c r="J75" s="110">
        <f t="shared" si="28"/>
        <v>1749876</v>
      </c>
      <c r="K75" s="110">
        <f t="shared" si="28"/>
        <v>1749876</v>
      </c>
      <c r="L75" s="110">
        <f t="shared" si="28"/>
        <v>1749876</v>
      </c>
      <c r="M75" s="110">
        <f t="shared" si="28"/>
        <v>1749876</v>
      </c>
      <c r="N75" s="171"/>
      <c r="O75" s="171"/>
      <c r="Q75" s="171"/>
    </row>
    <row r="76" spans="1:17">
      <c r="A76" s="55" t="s">
        <v>94</v>
      </c>
      <c r="B76" s="601">
        <v>1021080</v>
      </c>
      <c r="C76" s="601">
        <v>1021080</v>
      </c>
      <c r="D76" s="601">
        <v>1021080</v>
      </c>
      <c r="E76" s="601">
        <v>1021080</v>
      </c>
      <c r="F76" s="601">
        <v>1021080</v>
      </c>
      <c r="G76" s="601">
        <v>1021080</v>
      </c>
      <c r="H76" s="601">
        <v>1021080</v>
      </c>
      <c r="I76" s="601">
        <v>1021080</v>
      </c>
      <c r="J76" s="601">
        <v>1021080</v>
      </c>
      <c r="K76" s="601">
        <v>1021080</v>
      </c>
      <c r="L76" s="601">
        <v>1021080</v>
      </c>
      <c r="M76" s="601">
        <v>1021080</v>
      </c>
      <c r="N76" s="171"/>
      <c r="O76" s="171"/>
      <c r="Q76" s="171"/>
    </row>
    <row r="77" spans="1:17">
      <c r="A77" s="53" t="s">
        <v>123</v>
      </c>
      <c r="B77" s="601">
        <v>101909</v>
      </c>
      <c r="C77" s="601">
        <v>101909</v>
      </c>
      <c r="D77" s="601">
        <v>101909</v>
      </c>
      <c r="E77" s="601">
        <v>101909</v>
      </c>
      <c r="F77" s="601">
        <v>101909</v>
      </c>
      <c r="G77" s="601">
        <v>101909</v>
      </c>
      <c r="H77" s="601">
        <v>101909</v>
      </c>
      <c r="I77" s="601">
        <v>101909</v>
      </c>
      <c r="J77" s="601">
        <v>101909</v>
      </c>
      <c r="K77" s="601">
        <v>101909</v>
      </c>
      <c r="L77" s="601">
        <v>101909</v>
      </c>
      <c r="M77" s="601">
        <v>101909</v>
      </c>
      <c r="N77" s="171"/>
      <c r="O77" s="171"/>
      <c r="Q77" s="171"/>
    </row>
    <row r="78" spans="1:17">
      <c r="A78" s="53" t="s">
        <v>266</v>
      </c>
      <c r="B78" s="601"/>
      <c r="C78" s="601"/>
      <c r="D78" s="601"/>
      <c r="E78" s="601"/>
      <c r="F78" s="601"/>
      <c r="G78" s="601"/>
      <c r="H78" s="601"/>
      <c r="I78" s="601"/>
      <c r="J78" s="601"/>
      <c r="K78" s="601"/>
      <c r="L78" s="601"/>
      <c r="M78" s="601"/>
      <c r="N78" s="171"/>
      <c r="O78" s="171"/>
      <c r="Q78" s="171"/>
    </row>
    <row r="79" spans="1:17">
      <c r="A79" s="53" t="s">
        <v>267</v>
      </c>
      <c r="B79" s="601"/>
      <c r="C79" s="601"/>
      <c r="D79" s="601"/>
      <c r="E79" s="601"/>
      <c r="F79" s="601"/>
      <c r="G79" s="601"/>
      <c r="H79" s="601"/>
      <c r="I79" s="601"/>
      <c r="J79" s="601"/>
      <c r="K79" s="601"/>
      <c r="L79" s="601"/>
      <c r="M79" s="601"/>
      <c r="N79" s="171"/>
      <c r="O79" s="171"/>
      <c r="Q79" s="171"/>
    </row>
    <row r="80" spans="1:17">
      <c r="A80" s="53" t="s">
        <v>33</v>
      </c>
      <c r="B80" s="601">
        <v>161853</v>
      </c>
      <c r="C80" s="601">
        <v>161853</v>
      </c>
      <c r="D80" s="601">
        <v>161853</v>
      </c>
      <c r="E80" s="601">
        <v>161853</v>
      </c>
      <c r="F80" s="601">
        <v>161853</v>
      </c>
      <c r="G80" s="601">
        <v>161853</v>
      </c>
      <c r="H80" s="601">
        <v>161853</v>
      </c>
      <c r="I80" s="601">
        <v>161853</v>
      </c>
      <c r="J80" s="601">
        <v>161853</v>
      </c>
      <c r="K80" s="601">
        <v>161853</v>
      </c>
      <c r="L80" s="601">
        <v>161853</v>
      </c>
      <c r="M80" s="601">
        <v>161853</v>
      </c>
      <c r="N80" s="171"/>
      <c r="O80" s="171"/>
      <c r="Q80" s="171"/>
    </row>
    <row r="81" spans="1:17" s="172" customFormat="1">
      <c r="A81" s="54" t="s">
        <v>34</v>
      </c>
      <c r="B81" s="110">
        <f t="shared" ref="B81:M81" si="29">SUM(B76:B80)</f>
        <v>1284842</v>
      </c>
      <c r="C81" s="110">
        <f t="shared" si="29"/>
        <v>1284842</v>
      </c>
      <c r="D81" s="110">
        <f t="shared" si="29"/>
        <v>1284842</v>
      </c>
      <c r="E81" s="110">
        <f t="shared" si="29"/>
        <v>1284842</v>
      </c>
      <c r="F81" s="110">
        <f t="shared" si="29"/>
        <v>1284842</v>
      </c>
      <c r="G81" s="110">
        <f t="shared" si="29"/>
        <v>1284842</v>
      </c>
      <c r="H81" s="110">
        <f t="shared" si="29"/>
        <v>1284842</v>
      </c>
      <c r="I81" s="110">
        <f t="shared" si="29"/>
        <v>1284842</v>
      </c>
      <c r="J81" s="110">
        <f t="shared" si="29"/>
        <v>1284842</v>
      </c>
      <c r="K81" s="110">
        <f t="shared" si="29"/>
        <v>1284842</v>
      </c>
      <c r="L81" s="110">
        <f t="shared" si="29"/>
        <v>1284842</v>
      </c>
      <c r="M81" s="110">
        <f t="shared" si="29"/>
        <v>1284842</v>
      </c>
      <c r="N81" s="171"/>
      <c r="O81" s="171"/>
      <c r="Q81" s="171"/>
    </row>
    <row r="82" spans="1:17">
      <c r="A82" s="55" t="s">
        <v>89</v>
      </c>
      <c r="B82" s="601">
        <v>6939880</v>
      </c>
      <c r="C82" s="601">
        <v>6939880</v>
      </c>
      <c r="D82" s="601">
        <v>6939880</v>
      </c>
      <c r="E82" s="601">
        <v>6939880</v>
      </c>
      <c r="F82" s="601">
        <v>6939880</v>
      </c>
      <c r="G82" s="609">
        <v>6939446</v>
      </c>
      <c r="H82" s="609">
        <v>6939446</v>
      </c>
      <c r="I82" s="609">
        <v>6939446</v>
      </c>
      <c r="J82" s="609">
        <v>6939446</v>
      </c>
      <c r="K82" s="609">
        <v>6939446</v>
      </c>
      <c r="L82" s="609">
        <v>6939446</v>
      </c>
      <c r="M82" s="609">
        <v>6939446</v>
      </c>
      <c r="N82" s="171"/>
      <c r="O82" s="171"/>
      <c r="Q82" s="171"/>
    </row>
    <row r="83" spans="1:17">
      <c r="A83" s="53" t="s">
        <v>32</v>
      </c>
      <c r="B83" s="601">
        <v>130500</v>
      </c>
      <c r="C83" s="601">
        <v>130500</v>
      </c>
      <c r="D83" s="601">
        <v>130500</v>
      </c>
      <c r="E83" s="601">
        <v>130500</v>
      </c>
      <c r="F83" s="601">
        <v>130500</v>
      </c>
      <c r="G83" s="609">
        <v>127000</v>
      </c>
      <c r="H83" s="609">
        <v>127000</v>
      </c>
      <c r="I83" s="609">
        <v>127000</v>
      </c>
      <c r="J83" s="609">
        <v>127000</v>
      </c>
      <c r="K83" s="609">
        <v>127000</v>
      </c>
      <c r="L83" s="609">
        <v>127000</v>
      </c>
      <c r="M83" s="609">
        <v>127000</v>
      </c>
      <c r="N83" s="171"/>
      <c r="O83" s="171"/>
      <c r="Q83" s="171"/>
    </row>
    <row r="84" spans="1:17">
      <c r="A84" s="53" t="s">
        <v>124</v>
      </c>
      <c r="B84" s="601">
        <v>6125</v>
      </c>
      <c r="C84" s="601">
        <v>6125</v>
      </c>
      <c r="D84" s="601">
        <v>6125</v>
      </c>
      <c r="E84" s="601">
        <v>6125</v>
      </c>
      <c r="F84" s="601">
        <v>6125</v>
      </c>
      <c r="G84" s="609">
        <v>6549</v>
      </c>
      <c r="H84" s="609">
        <v>6549</v>
      </c>
      <c r="I84" s="609">
        <v>6549</v>
      </c>
      <c r="J84" s="609">
        <v>6549</v>
      </c>
      <c r="K84" s="609">
        <v>6549</v>
      </c>
      <c r="L84" s="609">
        <v>6549</v>
      </c>
      <c r="M84" s="609">
        <v>6549</v>
      </c>
      <c r="N84" s="171"/>
      <c r="O84" s="171"/>
      <c r="Q84" s="171"/>
    </row>
    <row r="85" spans="1:17">
      <c r="A85" s="53" t="s">
        <v>268</v>
      </c>
      <c r="B85" s="601"/>
      <c r="C85" s="601"/>
      <c r="D85" s="601"/>
      <c r="E85" s="601"/>
      <c r="F85" s="601"/>
      <c r="G85" s="609"/>
      <c r="H85" s="609"/>
      <c r="I85" s="609"/>
      <c r="J85" s="609"/>
      <c r="K85" s="609"/>
      <c r="L85" s="609"/>
      <c r="M85" s="609"/>
      <c r="N85" s="171"/>
      <c r="O85" s="171"/>
      <c r="Q85" s="171"/>
    </row>
    <row r="86" spans="1:17">
      <c r="A86" s="53" t="s">
        <v>95</v>
      </c>
      <c r="B86" s="601">
        <v>9248</v>
      </c>
      <c r="C86" s="601">
        <v>9248</v>
      </c>
      <c r="D86" s="601">
        <v>9248</v>
      </c>
      <c r="E86" s="601">
        <v>9248</v>
      </c>
      <c r="F86" s="601">
        <v>9248</v>
      </c>
      <c r="G86" s="609">
        <v>9713</v>
      </c>
      <c r="H86" s="609">
        <v>9713</v>
      </c>
      <c r="I86" s="609">
        <v>9713</v>
      </c>
      <c r="J86" s="609">
        <v>9713</v>
      </c>
      <c r="K86" s="609">
        <v>9713</v>
      </c>
      <c r="L86" s="609">
        <v>9713</v>
      </c>
      <c r="M86" s="609">
        <v>9713</v>
      </c>
      <c r="N86" s="171"/>
      <c r="O86" s="171"/>
      <c r="Q86" s="171"/>
    </row>
    <row r="87" spans="1:17">
      <c r="A87" s="53" t="s">
        <v>96</v>
      </c>
      <c r="B87" s="601">
        <v>9379</v>
      </c>
      <c r="C87" s="601">
        <v>9379</v>
      </c>
      <c r="D87" s="601">
        <v>9379</v>
      </c>
      <c r="E87" s="601">
        <v>9379</v>
      </c>
      <c r="F87" s="601">
        <v>9379</v>
      </c>
      <c r="G87" s="609">
        <v>9565</v>
      </c>
      <c r="H87" s="609">
        <v>9565</v>
      </c>
      <c r="I87" s="609">
        <v>9565</v>
      </c>
      <c r="J87" s="609">
        <v>9565</v>
      </c>
      <c r="K87" s="609">
        <v>9565</v>
      </c>
      <c r="L87" s="609">
        <v>9565</v>
      </c>
      <c r="M87" s="609">
        <v>9565</v>
      </c>
      <c r="N87" s="171"/>
      <c r="O87" s="171"/>
      <c r="Q87" s="171"/>
    </row>
    <row r="88" spans="1:17" s="172" customFormat="1">
      <c r="A88" s="564" t="s">
        <v>580</v>
      </c>
      <c r="B88" s="601">
        <v>12505</v>
      </c>
      <c r="C88" s="601">
        <v>12505</v>
      </c>
      <c r="D88" s="601">
        <v>12505</v>
      </c>
      <c r="E88" s="601">
        <v>12505</v>
      </c>
      <c r="F88" s="601">
        <v>12505</v>
      </c>
      <c r="G88" s="609">
        <v>11864</v>
      </c>
      <c r="H88" s="609">
        <v>11864</v>
      </c>
      <c r="I88" s="609">
        <v>11864</v>
      </c>
      <c r="J88" s="609">
        <v>11864</v>
      </c>
      <c r="K88" s="609">
        <v>11864</v>
      </c>
      <c r="L88" s="609">
        <v>11864</v>
      </c>
      <c r="M88" s="609">
        <v>11864</v>
      </c>
      <c r="N88" s="171"/>
      <c r="O88" s="171"/>
      <c r="Q88" s="171"/>
    </row>
    <row r="89" spans="1:17" s="172" customFormat="1">
      <c r="A89" s="564" t="s">
        <v>642</v>
      </c>
      <c r="B89" s="601">
        <v>79348</v>
      </c>
      <c r="C89" s="601">
        <v>79348</v>
      </c>
      <c r="D89" s="601">
        <v>79348</v>
      </c>
      <c r="E89" s="601">
        <v>79348</v>
      </c>
      <c r="F89" s="601">
        <v>79348</v>
      </c>
      <c r="G89" s="609">
        <v>79348</v>
      </c>
      <c r="H89" s="609">
        <v>79348</v>
      </c>
      <c r="I89" s="609">
        <v>79348</v>
      </c>
      <c r="J89" s="609">
        <v>79348</v>
      </c>
      <c r="K89" s="609">
        <v>79348</v>
      </c>
      <c r="L89" s="609">
        <v>79348</v>
      </c>
      <c r="M89" s="609">
        <v>79348</v>
      </c>
      <c r="N89" s="171"/>
      <c r="O89" s="171"/>
      <c r="Q89" s="171"/>
    </row>
    <row r="90" spans="1:17">
      <c r="A90" s="53" t="s">
        <v>269</v>
      </c>
      <c r="B90" s="601"/>
      <c r="C90" s="601"/>
      <c r="D90" s="601"/>
      <c r="E90" s="601"/>
      <c r="F90" s="601"/>
      <c r="G90" s="609"/>
      <c r="H90" s="609"/>
      <c r="I90" s="609"/>
      <c r="J90" s="609"/>
      <c r="K90" s="609"/>
      <c r="L90" s="609"/>
      <c r="M90" s="609"/>
      <c r="N90" s="171"/>
      <c r="O90" s="171"/>
      <c r="Q90" s="171"/>
    </row>
    <row r="91" spans="1:17">
      <c r="A91" s="53" t="s">
        <v>33</v>
      </c>
      <c r="B91" s="601">
        <v>748582</v>
      </c>
      <c r="C91" s="601">
        <v>748582</v>
      </c>
      <c r="D91" s="601">
        <v>748582</v>
      </c>
      <c r="E91" s="601">
        <v>748582</v>
      </c>
      <c r="F91" s="601">
        <v>748582</v>
      </c>
      <c r="G91" s="601">
        <v>748582</v>
      </c>
      <c r="H91" s="601">
        <v>748582</v>
      </c>
      <c r="I91" s="601">
        <v>748582</v>
      </c>
      <c r="J91" s="601">
        <v>748582</v>
      </c>
      <c r="K91" s="601">
        <v>748582</v>
      </c>
      <c r="L91" s="601">
        <v>748582</v>
      </c>
      <c r="M91" s="601">
        <v>748582</v>
      </c>
      <c r="N91" s="171"/>
      <c r="O91" s="171"/>
      <c r="Q91" s="171"/>
    </row>
    <row r="92" spans="1:17" s="172" customFormat="1">
      <c r="A92" s="54" t="s">
        <v>30</v>
      </c>
      <c r="B92" s="110">
        <f t="shared" ref="B92:M92" si="30">SUM(B82:B91)</f>
        <v>7935567</v>
      </c>
      <c r="C92" s="110">
        <f t="shared" si="30"/>
        <v>7935567</v>
      </c>
      <c r="D92" s="110">
        <f t="shared" si="30"/>
        <v>7935567</v>
      </c>
      <c r="E92" s="110">
        <f t="shared" si="30"/>
        <v>7935567</v>
      </c>
      <c r="F92" s="110">
        <f t="shared" si="30"/>
        <v>7935567</v>
      </c>
      <c r="G92" s="110">
        <f t="shared" si="30"/>
        <v>7932067</v>
      </c>
      <c r="H92" s="110">
        <f t="shared" si="30"/>
        <v>7932067</v>
      </c>
      <c r="I92" s="110">
        <f t="shared" si="30"/>
        <v>7932067</v>
      </c>
      <c r="J92" s="110">
        <f t="shared" si="30"/>
        <v>7932067</v>
      </c>
      <c r="K92" s="110">
        <f t="shared" si="30"/>
        <v>7932067</v>
      </c>
      <c r="L92" s="110">
        <f t="shared" si="30"/>
        <v>7932067</v>
      </c>
      <c r="M92" s="110">
        <f t="shared" si="30"/>
        <v>7932067</v>
      </c>
      <c r="N92" s="171"/>
      <c r="O92" s="171"/>
      <c r="Q92" s="171"/>
    </row>
    <row r="93" spans="1:17">
      <c r="A93" s="55" t="s">
        <v>112</v>
      </c>
      <c r="B93" s="601">
        <v>3995607</v>
      </c>
      <c r="C93" s="601">
        <v>3995607</v>
      </c>
      <c r="D93" s="601">
        <v>3995607</v>
      </c>
      <c r="E93" s="601">
        <v>3995607</v>
      </c>
      <c r="F93" s="601">
        <v>3995607</v>
      </c>
      <c r="G93" s="601">
        <v>3995607</v>
      </c>
      <c r="H93" s="601">
        <v>3995607</v>
      </c>
      <c r="I93" s="601">
        <v>3995607</v>
      </c>
      <c r="J93" s="601">
        <v>3995607</v>
      </c>
      <c r="K93" s="601">
        <v>3995607</v>
      </c>
      <c r="L93" s="601">
        <v>3995607</v>
      </c>
      <c r="M93" s="601">
        <v>3995607</v>
      </c>
      <c r="N93" s="171"/>
      <c r="O93" s="171"/>
      <c r="Q93" s="171"/>
    </row>
    <row r="94" spans="1:17">
      <c r="A94" s="53" t="s">
        <v>125</v>
      </c>
      <c r="B94" s="609">
        <v>85435</v>
      </c>
      <c r="C94" s="609">
        <v>85435</v>
      </c>
      <c r="D94" s="609">
        <v>85435</v>
      </c>
      <c r="E94" s="609">
        <v>85435</v>
      </c>
      <c r="F94" s="609">
        <v>85435</v>
      </c>
      <c r="G94" s="609">
        <v>85295</v>
      </c>
      <c r="H94" s="609">
        <v>85295</v>
      </c>
      <c r="I94" s="609">
        <v>85295</v>
      </c>
      <c r="J94" s="609">
        <v>85295</v>
      </c>
      <c r="K94" s="609">
        <v>85295</v>
      </c>
      <c r="L94" s="609">
        <v>85295</v>
      </c>
      <c r="M94" s="609">
        <v>85295</v>
      </c>
      <c r="N94" s="171"/>
      <c r="O94" s="171"/>
      <c r="Q94" s="171"/>
    </row>
    <row r="95" spans="1:17" s="172" customFormat="1">
      <c r="A95" s="564" t="s">
        <v>581</v>
      </c>
      <c r="B95" s="609">
        <v>102654</v>
      </c>
      <c r="C95" s="609">
        <v>102654</v>
      </c>
      <c r="D95" s="609">
        <v>102654</v>
      </c>
      <c r="E95" s="609">
        <v>102654</v>
      </c>
      <c r="F95" s="609">
        <v>102654</v>
      </c>
      <c r="G95" s="609">
        <v>106512</v>
      </c>
      <c r="H95" s="609">
        <v>106512</v>
      </c>
      <c r="I95" s="609">
        <v>106512</v>
      </c>
      <c r="J95" s="609">
        <v>106512</v>
      </c>
      <c r="K95" s="609">
        <v>106512</v>
      </c>
      <c r="L95" s="609">
        <v>106512</v>
      </c>
      <c r="M95" s="609">
        <v>106512</v>
      </c>
      <c r="N95" s="171"/>
      <c r="O95" s="171"/>
      <c r="Q95" s="171"/>
    </row>
    <row r="96" spans="1:17">
      <c r="A96" s="53" t="s">
        <v>126</v>
      </c>
      <c r="B96" s="609">
        <v>19327</v>
      </c>
      <c r="C96" s="609">
        <v>19327</v>
      </c>
      <c r="D96" s="609">
        <v>19327</v>
      </c>
      <c r="E96" s="609">
        <v>19327</v>
      </c>
      <c r="F96" s="609">
        <v>19327</v>
      </c>
      <c r="G96" s="609">
        <v>19689</v>
      </c>
      <c r="H96" s="609">
        <v>19689</v>
      </c>
      <c r="I96" s="609">
        <v>19689</v>
      </c>
      <c r="J96" s="609">
        <v>19689</v>
      </c>
      <c r="K96" s="609">
        <v>19689</v>
      </c>
      <c r="L96" s="609">
        <v>19689</v>
      </c>
      <c r="M96" s="609">
        <v>19689</v>
      </c>
      <c r="N96" s="171"/>
      <c r="O96" s="171"/>
      <c r="Q96" s="171"/>
    </row>
    <row r="97" spans="1:17">
      <c r="A97" s="53" t="s">
        <v>127</v>
      </c>
      <c r="B97" s="609"/>
      <c r="C97" s="609"/>
      <c r="D97" s="609"/>
      <c r="E97" s="609"/>
      <c r="F97" s="609"/>
      <c r="G97" s="609"/>
      <c r="H97" s="609"/>
      <c r="I97" s="609"/>
      <c r="J97" s="609"/>
      <c r="K97" s="609"/>
      <c r="L97" s="609"/>
      <c r="M97" s="609"/>
      <c r="N97" s="171"/>
      <c r="O97" s="171"/>
      <c r="Q97" s="171"/>
    </row>
    <row r="98" spans="1:17">
      <c r="A98" s="53" t="s">
        <v>128</v>
      </c>
      <c r="B98" s="609">
        <v>7351</v>
      </c>
      <c r="C98" s="609">
        <v>7351</v>
      </c>
      <c r="D98" s="609">
        <v>7351</v>
      </c>
      <c r="E98" s="609">
        <v>7351</v>
      </c>
      <c r="F98" s="609">
        <v>7351</v>
      </c>
      <c r="G98" s="609">
        <v>7790</v>
      </c>
      <c r="H98" s="609">
        <v>7790</v>
      </c>
      <c r="I98" s="609">
        <v>7790</v>
      </c>
      <c r="J98" s="609">
        <v>7790</v>
      </c>
      <c r="K98" s="609">
        <v>7790</v>
      </c>
      <c r="L98" s="609">
        <v>7790</v>
      </c>
      <c r="M98" s="609">
        <v>7790</v>
      </c>
      <c r="N98" s="171"/>
      <c r="O98" s="171"/>
      <c r="Q98" s="171"/>
    </row>
    <row r="99" spans="1:17">
      <c r="A99" s="53" t="s">
        <v>129</v>
      </c>
      <c r="B99" s="609">
        <v>33017</v>
      </c>
      <c r="C99" s="609">
        <v>33017</v>
      </c>
      <c r="D99" s="609">
        <v>33017</v>
      </c>
      <c r="E99" s="609">
        <v>33017</v>
      </c>
      <c r="F99" s="609">
        <v>33017</v>
      </c>
      <c r="G99" s="609">
        <v>32943</v>
      </c>
      <c r="H99" s="609">
        <v>32943</v>
      </c>
      <c r="I99" s="609">
        <v>32943</v>
      </c>
      <c r="J99" s="609">
        <v>32943</v>
      </c>
      <c r="K99" s="609">
        <v>32943</v>
      </c>
      <c r="L99" s="609">
        <v>32943</v>
      </c>
      <c r="M99" s="609">
        <v>32943</v>
      </c>
      <c r="N99" s="171"/>
      <c r="O99" s="171"/>
      <c r="Q99" s="171"/>
    </row>
    <row r="100" spans="1:17">
      <c r="A100" s="53" t="s">
        <v>130</v>
      </c>
      <c r="B100" s="609">
        <v>4649</v>
      </c>
      <c r="C100" s="609">
        <v>4649</v>
      </c>
      <c r="D100" s="609">
        <v>4649</v>
      </c>
      <c r="E100" s="609">
        <v>4649</v>
      </c>
      <c r="F100" s="609">
        <v>4649</v>
      </c>
      <c r="G100" s="609">
        <v>4832</v>
      </c>
      <c r="H100" s="609">
        <v>4832</v>
      </c>
      <c r="I100" s="609">
        <v>4832</v>
      </c>
      <c r="J100" s="609">
        <v>4832</v>
      </c>
      <c r="K100" s="609">
        <v>4832</v>
      </c>
      <c r="L100" s="609">
        <v>4832</v>
      </c>
      <c r="M100" s="609">
        <v>4832</v>
      </c>
      <c r="N100" s="171"/>
      <c r="O100" s="171"/>
      <c r="Q100" s="171"/>
    </row>
    <row r="101" spans="1:17">
      <c r="A101" s="53" t="s">
        <v>107</v>
      </c>
      <c r="B101" s="602">
        <v>0</v>
      </c>
      <c r="C101" s="602">
        <v>0</v>
      </c>
      <c r="D101" s="602">
        <v>0</v>
      </c>
      <c r="E101" s="602">
        <v>0</v>
      </c>
      <c r="F101" s="602">
        <v>0</v>
      </c>
      <c r="G101" s="602">
        <v>0</v>
      </c>
      <c r="H101" s="602">
        <v>0</v>
      </c>
      <c r="I101" s="602">
        <v>0</v>
      </c>
      <c r="J101" s="602">
        <v>0</v>
      </c>
      <c r="K101" s="602">
        <v>0</v>
      </c>
      <c r="L101" s="602">
        <v>0</v>
      </c>
      <c r="M101" s="608">
        <v>0</v>
      </c>
      <c r="N101" s="171"/>
      <c r="O101" s="171"/>
      <c r="Q101" s="171"/>
    </row>
    <row r="102" spans="1:17">
      <c r="A102" s="54" t="s">
        <v>112</v>
      </c>
      <c r="B102" s="110">
        <f>SUM(B93:B101)</f>
        <v>4248040</v>
      </c>
      <c r="C102" s="110">
        <f t="shared" ref="C102:M102" si="31">SUM(C93:C101)</f>
        <v>4248040</v>
      </c>
      <c r="D102" s="110">
        <f t="shared" si="31"/>
        <v>4248040</v>
      </c>
      <c r="E102" s="110">
        <f t="shared" si="31"/>
        <v>4248040</v>
      </c>
      <c r="F102" s="110">
        <f t="shared" si="31"/>
        <v>4248040</v>
      </c>
      <c r="G102" s="110">
        <f t="shared" si="31"/>
        <v>4252668</v>
      </c>
      <c r="H102" s="110">
        <f t="shared" si="31"/>
        <v>4252668</v>
      </c>
      <c r="I102" s="110">
        <f t="shared" si="31"/>
        <v>4252668</v>
      </c>
      <c r="J102" s="110">
        <f t="shared" si="31"/>
        <v>4252668</v>
      </c>
      <c r="K102" s="110">
        <f t="shared" si="31"/>
        <v>4252668</v>
      </c>
      <c r="L102" s="110">
        <f t="shared" si="31"/>
        <v>4252668</v>
      </c>
      <c r="M102" s="110">
        <f t="shared" si="31"/>
        <v>4252668</v>
      </c>
      <c r="N102" s="171"/>
      <c r="O102" s="171"/>
      <c r="Q102" s="171"/>
    </row>
    <row r="103" spans="1:17">
      <c r="A103" s="53" t="s">
        <v>121</v>
      </c>
      <c r="B103" s="609">
        <v>852308</v>
      </c>
      <c r="C103" s="609">
        <v>852308</v>
      </c>
      <c r="D103" s="609">
        <v>852308</v>
      </c>
      <c r="E103" s="609">
        <v>852308</v>
      </c>
      <c r="F103" s="609">
        <v>852308</v>
      </c>
      <c r="G103" s="609">
        <v>853790</v>
      </c>
      <c r="H103" s="609">
        <v>853790</v>
      </c>
      <c r="I103" s="609">
        <v>853790</v>
      </c>
      <c r="J103" s="609">
        <v>853790</v>
      </c>
      <c r="K103" s="609">
        <v>853790</v>
      </c>
      <c r="L103" s="609">
        <v>853790</v>
      </c>
      <c r="M103" s="609">
        <v>853790</v>
      </c>
      <c r="N103" s="171"/>
      <c r="O103" s="171"/>
      <c r="Q103" s="171"/>
    </row>
    <row r="104" spans="1:17">
      <c r="A104" s="53" t="s">
        <v>124</v>
      </c>
      <c r="B104" s="602">
        <v>24217</v>
      </c>
      <c r="C104" s="602">
        <v>24217</v>
      </c>
      <c r="D104" s="602">
        <v>24217</v>
      </c>
      <c r="E104" s="602">
        <v>24217</v>
      </c>
      <c r="F104" s="602">
        <v>24217</v>
      </c>
      <c r="G104" s="608">
        <v>22735</v>
      </c>
      <c r="H104" s="608">
        <v>22735</v>
      </c>
      <c r="I104" s="608">
        <v>22735</v>
      </c>
      <c r="J104" s="608">
        <v>22735</v>
      </c>
      <c r="K104" s="608">
        <v>22735</v>
      </c>
      <c r="L104" s="608">
        <v>22735</v>
      </c>
      <c r="M104" s="608">
        <v>22735</v>
      </c>
      <c r="N104" s="171"/>
      <c r="O104" s="171"/>
      <c r="Q104" s="171"/>
    </row>
    <row r="105" spans="1:17">
      <c r="A105" s="54" t="s">
        <v>121</v>
      </c>
      <c r="B105" s="110">
        <f>SUM(B103:B104)</f>
        <v>876525</v>
      </c>
      <c r="C105" s="110">
        <f t="shared" ref="C105:L105" si="32">SUM(C103:C104)</f>
        <v>876525</v>
      </c>
      <c r="D105" s="110">
        <f t="shared" si="32"/>
        <v>876525</v>
      </c>
      <c r="E105" s="110">
        <f t="shared" si="32"/>
        <v>876525</v>
      </c>
      <c r="F105" s="110">
        <f t="shared" si="32"/>
        <v>876525</v>
      </c>
      <c r="G105" s="110">
        <f t="shared" si="32"/>
        <v>876525</v>
      </c>
      <c r="H105" s="110">
        <f t="shared" si="32"/>
        <v>876525</v>
      </c>
      <c r="I105" s="110">
        <f t="shared" si="32"/>
        <v>876525</v>
      </c>
      <c r="J105" s="110">
        <f t="shared" si="32"/>
        <v>876525</v>
      </c>
      <c r="K105" s="110">
        <f t="shared" si="32"/>
        <v>876525</v>
      </c>
      <c r="L105" s="110">
        <f t="shared" si="32"/>
        <v>876525</v>
      </c>
      <c r="M105" s="110">
        <f>SUM(M103:M104)</f>
        <v>876525</v>
      </c>
      <c r="N105" s="171"/>
      <c r="O105" s="171"/>
      <c r="Q105" s="171"/>
    </row>
    <row r="106" spans="1:17">
      <c r="A106" s="53" t="s">
        <v>25</v>
      </c>
      <c r="B106" s="609">
        <v>7095336</v>
      </c>
      <c r="C106" s="609">
        <v>7095336</v>
      </c>
      <c r="D106" s="609">
        <v>7095336</v>
      </c>
      <c r="E106" s="609">
        <v>7095336</v>
      </c>
      <c r="F106" s="609">
        <v>7095336</v>
      </c>
      <c r="G106" s="609">
        <v>7095336</v>
      </c>
      <c r="H106" s="609">
        <v>7095336</v>
      </c>
      <c r="I106" s="609">
        <v>7095336</v>
      </c>
      <c r="J106" s="609">
        <v>7095336</v>
      </c>
      <c r="K106" s="609">
        <v>7095336</v>
      </c>
      <c r="L106" s="609">
        <v>7095336</v>
      </c>
      <c r="M106" s="609">
        <v>7095336</v>
      </c>
      <c r="N106" s="171"/>
      <c r="O106" s="171"/>
      <c r="Q106" s="171"/>
    </row>
    <row r="107" spans="1:17">
      <c r="A107" s="53" t="s">
        <v>197</v>
      </c>
      <c r="B107" s="610">
        <v>0</v>
      </c>
      <c r="C107" s="610">
        <v>0</v>
      </c>
      <c r="D107" s="610">
        <v>0</v>
      </c>
      <c r="E107" s="610">
        <v>0</v>
      </c>
      <c r="F107" s="610">
        <v>0</v>
      </c>
      <c r="G107" s="609">
        <v>0</v>
      </c>
      <c r="H107" s="609">
        <v>0</v>
      </c>
      <c r="I107" s="609">
        <v>0</v>
      </c>
      <c r="J107" s="609">
        <v>0</v>
      </c>
      <c r="K107" s="609">
        <v>0</v>
      </c>
      <c r="L107" s="609">
        <v>0</v>
      </c>
      <c r="M107" s="609">
        <v>0</v>
      </c>
      <c r="N107" s="171"/>
      <c r="O107" s="171"/>
      <c r="Q107" s="171"/>
    </row>
    <row r="108" spans="1:17">
      <c r="A108" s="53" t="s">
        <v>270</v>
      </c>
      <c r="B108" s="609">
        <v>0</v>
      </c>
      <c r="C108" s="609">
        <v>0</v>
      </c>
      <c r="D108" s="609">
        <v>0</v>
      </c>
      <c r="E108" s="609">
        <v>0</v>
      </c>
      <c r="F108" s="609">
        <v>0</v>
      </c>
      <c r="G108" s="609">
        <v>0</v>
      </c>
      <c r="H108" s="609">
        <v>0</v>
      </c>
      <c r="I108" s="609">
        <v>0</v>
      </c>
      <c r="J108" s="609">
        <v>0</v>
      </c>
      <c r="K108" s="609">
        <v>0</v>
      </c>
      <c r="L108" s="609">
        <v>0</v>
      </c>
      <c r="M108" s="609">
        <v>0</v>
      </c>
      <c r="N108" s="171"/>
      <c r="O108" s="171"/>
      <c r="Q108" s="171"/>
    </row>
    <row r="109" spans="1:17" s="172" customFormat="1">
      <c r="A109" s="54" t="s">
        <v>25</v>
      </c>
      <c r="B109" s="110">
        <f t="shared" ref="B109:M109" si="33">SUM(B106:B108)</f>
        <v>7095336</v>
      </c>
      <c r="C109" s="110">
        <f t="shared" si="33"/>
        <v>7095336</v>
      </c>
      <c r="D109" s="110">
        <f t="shared" si="33"/>
        <v>7095336</v>
      </c>
      <c r="E109" s="110">
        <f t="shared" si="33"/>
        <v>7095336</v>
      </c>
      <c r="F109" s="110">
        <f t="shared" si="33"/>
        <v>7095336</v>
      </c>
      <c r="G109" s="110">
        <f t="shared" si="33"/>
        <v>7095336</v>
      </c>
      <c r="H109" s="110">
        <f t="shared" si="33"/>
        <v>7095336</v>
      </c>
      <c r="I109" s="110">
        <f t="shared" si="33"/>
        <v>7095336</v>
      </c>
      <c r="J109" s="110">
        <f t="shared" si="33"/>
        <v>7095336</v>
      </c>
      <c r="K109" s="110">
        <f t="shared" si="33"/>
        <v>7095336</v>
      </c>
      <c r="L109" s="110">
        <f t="shared" si="33"/>
        <v>7095336</v>
      </c>
      <c r="M109" s="110">
        <f t="shared" si="33"/>
        <v>7095336</v>
      </c>
      <c r="N109" s="171"/>
      <c r="O109" s="171"/>
      <c r="Q109" s="171"/>
    </row>
    <row r="110" spans="1:17">
      <c r="A110" s="53" t="s">
        <v>32</v>
      </c>
      <c r="B110" s="601">
        <v>239600</v>
      </c>
      <c r="C110" s="601">
        <v>239600</v>
      </c>
      <c r="D110" s="601">
        <v>239600</v>
      </c>
      <c r="E110" s="601">
        <v>239600</v>
      </c>
      <c r="F110" s="601">
        <v>239600</v>
      </c>
      <c r="G110" s="601">
        <v>240900</v>
      </c>
      <c r="H110" s="601">
        <v>240900</v>
      </c>
      <c r="I110" s="601">
        <v>240900</v>
      </c>
      <c r="J110" s="601">
        <v>240900</v>
      </c>
      <c r="K110" s="601">
        <v>240900</v>
      </c>
      <c r="L110" s="601">
        <v>240900</v>
      </c>
      <c r="M110" s="601">
        <v>240900</v>
      </c>
      <c r="N110" s="171"/>
      <c r="O110" s="171"/>
      <c r="Q110" s="171"/>
    </row>
    <row r="111" spans="1:17" s="172" customFormat="1">
      <c r="A111" s="564" t="s">
        <v>33</v>
      </c>
      <c r="B111" s="601">
        <v>3943</v>
      </c>
      <c r="C111" s="601">
        <v>3943</v>
      </c>
      <c r="D111" s="601">
        <v>3943</v>
      </c>
      <c r="E111" s="601">
        <v>3943</v>
      </c>
      <c r="F111" s="601">
        <v>3943</v>
      </c>
      <c r="G111" s="601">
        <v>3943</v>
      </c>
      <c r="H111" s="601">
        <v>3943</v>
      </c>
      <c r="I111" s="601">
        <v>3943</v>
      </c>
      <c r="J111" s="601">
        <v>3943</v>
      </c>
      <c r="K111" s="601">
        <v>3943</v>
      </c>
      <c r="L111" s="601">
        <v>3943</v>
      </c>
      <c r="M111" s="601">
        <v>3943</v>
      </c>
      <c r="N111" s="171"/>
      <c r="O111" s="171"/>
      <c r="Q111" s="171"/>
    </row>
    <row r="112" spans="1:17">
      <c r="A112" s="564" t="s">
        <v>582</v>
      </c>
      <c r="B112" s="602">
        <v>19826</v>
      </c>
      <c r="C112" s="602">
        <v>19826</v>
      </c>
      <c r="D112" s="602">
        <v>19826</v>
      </c>
      <c r="E112" s="602">
        <v>19826</v>
      </c>
      <c r="F112" s="602">
        <v>19826</v>
      </c>
      <c r="G112" s="608">
        <v>19826</v>
      </c>
      <c r="H112" s="608">
        <v>19826</v>
      </c>
      <c r="I112" s="608">
        <v>19826</v>
      </c>
      <c r="J112" s="608">
        <v>19826</v>
      </c>
      <c r="K112" s="608">
        <v>19826</v>
      </c>
      <c r="L112" s="608">
        <v>19826</v>
      </c>
      <c r="M112" s="608">
        <v>19826</v>
      </c>
      <c r="N112" s="171"/>
      <c r="O112" s="171"/>
      <c r="Q112" s="171"/>
    </row>
    <row r="113" spans="1:17" s="172" customFormat="1">
      <c r="A113" s="54" t="s">
        <v>32</v>
      </c>
      <c r="B113" s="110">
        <f>SUM(B110:B112)</f>
        <v>263369</v>
      </c>
      <c r="C113" s="110">
        <f t="shared" ref="C113:L113" si="34">SUM(C110:C112)</f>
        <v>263369</v>
      </c>
      <c r="D113" s="110">
        <f t="shared" si="34"/>
        <v>263369</v>
      </c>
      <c r="E113" s="110">
        <f t="shared" si="34"/>
        <v>263369</v>
      </c>
      <c r="F113" s="110">
        <f t="shared" si="34"/>
        <v>263369</v>
      </c>
      <c r="G113" s="110">
        <f t="shared" si="34"/>
        <v>264669</v>
      </c>
      <c r="H113" s="110">
        <f t="shared" si="34"/>
        <v>264669</v>
      </c>
      <c r="I113" s="110">
        <f t="shared" si="34"/>
        <v>264669</v>
      </c>
      <c r="J113" s="110">
        <f t="shared" si="34"/>
        <v>264669</v>
      </c>
      <c r="K113" s="110">
        <f t="shared" si="34"/>
        <v>264669</v>
      </c>
      <c r="L113" s="110">
        <f t="shared" si="34"/>
        <v>264669</v>
      </c>
      <c r="M113" s="110">
        <f>SUM(M110:M112)</f>
        <v>264669</v>
      </c>
      <c r="N113" s="171"/>
      <c r="O113" s="171"/>
      <c r="Q113" s="171"/>
    </row>
    <row r="114" spans="1:17">
      <c r="A114" s="58"/>
      <c r="B114" s="59"/>
      <c r="C114" s="59"/>
      <c r="D114" s="59"/>
      <c r="E114" s="59"/>
      <c r="F114" s="59"/>
      <c r="G114" s="59"/>
      <c r="H114" s="59"/>
      <c r="I114" s="59"/>
      <c r="J114" s="59"/>
      <c r="K114" s="59"/>
      <c r="L114" s="59"/>
      <c r="M114" s="59"/>
      <c r="N114" s="171"/>
      <c r="O114" s="171"/>
      <c r="Q114" s="171"/>
    </row>
    <row r="115" spans="1:17">
      <c r="A115" s="56" t="s">
        <v>21</v>
      </c>
      <c r="B115" s="601">
        <v>6636000</v>
      </c>
      <c r="C115" s="601">
        <v>6636000</v>
      </c>
      <c r="D115" s="601">
        <v>6636000</v>
      </c>
      <c r="E115" s="601">
        <v>6636000</v>
      </c>
      <c r="F115" s="601">
        <v>6636000</v>
      </c>
      <c r="G115" s="601">
        <v>6636000</v>
      </c>
      <c r="H115" s="601">
        <v>6636000</v>
      </c>
      <c r="I115" s="601">
        <v>6636000</v>
      </c>
      <c r="J115" s="601">
        <v>6636000</v>
      </c>
      <c r="K115" s="601">
        <v>6636000</v>
      </c>
      <c r="L115" s="601">
        <v>6636000</v>
      </c>
      <c r="M115" s="601">
        <v>6636000</v>
      </c>
      <c r="N115" s="171"/>
      <c r="O115" s="171"/>
      <c r="Q115" s="171"/>
    </row>
    <row r="116" spans="1:17">
      <c r="A116" s="56" t="s">
        <v>108</v>
      </c>
      <c r="B116" s="602">
        <v>126500</v>
      </c>
      <c r="C116" s="602">
        <v>126500</v>
      </c>
      <c r="D116" s="602">
        <v>126500</v>
      </c>
      <c r="E116" s="602">
        <v>126500</v>
      </c>
      <c r="F116" s="602">
        <v>126500</v>
      </c>
      <c r="G116" s="602">
        <v>126500</v>
      </c>
      <c r="H116" s="602">
        <v>126500</v>
      </c>
      <c r="I116" s="602">
        <v>126500</v>
      </c>
      <c r="J116" s="602">
        <v>126500</v>
      </c>
      <c r="K116" s="602">
        <v>126500</v>
      </c>
      <c r="L116" s="602">
        <v>126500</v>
      </c>
      <c r="M116" s="602">
        <v>126500</v>
      </c>
      <c r="N116" s="171"/>
      <c r="O116" s="171"/>
      <c r="Q116" s="171"/>
    </row>
    <row r="117" spans="1:17">
      <c r="A117" s="57" t="s">
        <v>109</v>
      </c>
      <c r="B117" s="175">
        <f>B115+B116</f>
        <v>6762500</v>
      </c>
      <c r="C117" s="175">
        <f t="shared" ref="C117:M117" si="35">C115+C116</f>
        <v>6762500</v>
      </c>
      <c r="D117" s="175">
        <f t="shared" si="35"/>
        <v>6762500</v>
      </c>
      <c r="E117" s="175">
        <f t="shared" si="35"/>
        <v>6762500</v>
      </c>
      <c r="F117" s="175">
        <f t="shared" si="35"/>
        <v>6762500</v>
      </c>
      <c r="G117" s="175">
        <f t="shared" si="35"/>
        <v>6762500</v>
      </c>
      <c r="H117" s="175">
        <f t="shared" si="35"/>
        <v>6762500</v>
      </c>
      <c r="I117" s="175">
        <f t="shared" si="35"/>
        <v>6762500</v>
      </c>
      <c r="J117" s="175">
        <f t="shared" si="35"/>
        <v>6762500</v>
      </c>
      <c r="K117" s="175">
        <f t="shared" si="35"/>
        <v>6762500</v>
      </c>
      <c r="L117" s="175">
        <f t="shared" si="35"/>
        <v>6762500</v>
      </c>
      <c r="M117" s="175">
        <f t="shared" si="35"/>
        <v>6762500</v>
      </c>
      <c r="N117" s="171"/>
      <c r="O117" s="172"/>
      <c r="Q117" s="171"/>
    </row>
    <row r="118" spans="1:17">
      <c r="A118" s="201" t="str">
        <f>A117</f>
        <v>Mi Joint Zone (Zone 13)</v>
      </c>
      <c r="B118" s="167">
        <f>B117</f>
        <v>6762500</v>
      </c>
      <c r="C118" s="167">
        <f t="shared" ref="C118:L118" si="36">C117</f>
        <v>6762500</v>
      </c>
      <c r="D118" s="167">
        <f t="shared" si="36"/>
        <v>6762500</v>
      </c>
      <c r="E118" s="167">
        <f t="shared" si="36"/>
        <v>6762500</v>
      </c>
      <c r="F118" s="167">
        <f t="shared" si="36"/>
        <v>6762500</v>
      </c>
      <c r="G118" s="167">
        <f t="shared" si="36"/>
        <v>6762500</v>
      </c>
      <c r="H118" s="167">
        <f t="shared" si="36"/>
        <v>6762500</v>
      </c>
      <c r="I118" s="167">
        <f t="shared" si="36"/>
        <v>6762500</v>
      </c>
      <c r="J118" s="167">
        <f t="shared" si="36"/>
        <v>6762500</v>
      </c>
      <c r="K118" s="167">
        <f t="shared" si="36"/>
        <v>6762500</v>
      </c>
      <c r="L118" s="167">
        <f t="shared" si="36"/>
        <v>6762500</v>
      </c>
      <c r="M118" s="167">
        <f>M117</f>
        <v>6762500</v>
      </c>
      <c r="N118" s="171"/>
      <c r="O118" s="172"/>
      <c r="Q118" s="171"/>
    </row>
    <row r="119" spans="1:17">
      <c r="A119" s="56" t="s">
        <v>110</v>
      </c>
      <c r="B119" s="602">
        <v>482391</v>
      </c>
      <c r="C119" s="602">
        <v>482391</v>
      </c>
      <c r="D119" s="602">
        <v>482391</v>
      </c>
      <c r="E119" s="602">
        <v>482391</v>
      </c>
      <c r="F119" s="602">
        <v>482391</v>
      </c>
      <c r="G119" s="602">
        <v>482391</v>
      </c>
      <c r="H119" s="602">
        <v>482391</v>
      </c>
      <c r="I119" s="602">
        <v>482391</v>
      </c>
      <c r="J119" s="602">
        <v>482391</v>
      </c>
      <c r="K119" s="602">
        <v>482391</v>
      </c>
      <c r="L119" s="602">
        <v>482391</v>
      </c>
      <c r="M119" s="602">
        <v>482391</v>
      </c>
      <c r="N119" s="172"/>
      <c r="O119" s="172"/>
    </row>
    <row r="120" spans="1:17" s="172" customFormat="1">
      <c r="A120" s="54" t="s">
        <v>111</v>
      </c>
      <c r="B120" s="110">
        <f>B118+B119</f>
        <v>7244891</v>
      </c>
      <c r="C120" s="110">
        <f t="shared" ref="C120:L120" si="37">C118+C119</f>
        <v>7244891</v>
      </c>
      <c r="D120" s="110">
        <f t="shared" si="37"/>
        <v>7244891</v>
      </c>
      <c r="E120" s="110">
        <f t="shared" si="37"/>
        <v>7244891</v>
      </c>
      <c r="F120" s="110">
        <f t="shared" si="37"/>
        <v>7244891</v>
      </c>
      <c r="G120" s="110">
        <f t="shared" si="37"/>
        <v>7244891</v>
      </c>
      <c r="H120" s="110">
        <f t="shared" si="37"/>
        <v>7244891</v>
      </c>
      <c r="I120" s="110">
        <f t="shared" si="37"/>
        <v>7244891</v>
      </c>
      <c r="J120" s="110">
        <f t="shared" si="37"/>
        <v>7244891</v>
      </c>
      <c r="K120" s="110">
        <f t="shared" si="37"/>
        <v>7244891</v>
      </c>
      <c r="L120" s="110">
        <f t="shared" si="37"/>
        <v>7244891</v>
      </c>
      <c r="M120" s="110">
        <f>M118+M119</f>
        <v>7244891</v>
      </c>
      <c r="N120" s="171"/>
      <c r="O120" s="171"/>
      <c r="Q120" s="171"/>
    </row>
    <row r="121" spans="1:17">
      <c r="A121" s="56" t="s">
        <v>271</v>
      </c>
      <c r="B121" s="606">
        <v>5732703</v>
      </c>
      <c r="C121" s="606">
        <v>5732703</v>
      </c>
      <c r="D121" s="606">
        <v>5732703</v>
      </c>
      <c r="E121" s="606">
        <v>5732703</v>
      </c>
      <c r="F121" s="606">
        <v>5732703</v>
      </c>
      <c r="G121" s="606">
        <v>5732703</v>
      </c>
      <c r="H121" s="606">
        <v>5732703</v>
      </c>
      <c r="I121" s="606">
        <v>5732703</v>
      </c>
      <c r="J121" s="606">
        <v>5732703</v>
      </c>
      <c r="K121" s="606">
        <v>5732703</v>
      </c>
      <c r="L121" s="606">
        <v>5844083</v>
      </c>
      <c r="M121" s="606">
        <v>5844083</v>
      </c>
      <c r="N121" s="172"/>
      <c r="O121" s="172"/>
    </row>
    <row r="122" spans="1:17" s="172" customFormat="1">
      <c r="A122" s="56" t="s">
        <v>272</v>
      </c>
      <c r="B122" s="606">
        <v>200176</v>
      </c>
      <c r="C122" s="606">
        <v>200176</v>
      </c>
      <c r="D122" s="606">
        <v>200176</v>
      </c>
      <c r="E122" s="606">
        <v>200176</v>
      </c>
      <c r="F122" s="606">
        <v>200176</v>
      </c>
      <c r="G122" s="606">
        <v>0</v>
      </c>
      <c r="H122" s="606">
        <v>0</v>
      </c>
      <c r="I122" s="606">
        <v>0</v>
      </c>
      <c r="J122" s="606">
        <v>0</v>
      </c>
      <c r="K122" s="606">
        <v>0</v>
      </c>
      <c r="L122" s="606">
        <v>0</v>
      </c>
      <c r="M122" s="606">
        <v>0</v>
      </c>
    </row>
    <row r="123" spans="1:17" s="172" customFormat="1">
      <c r="A123" s="54" t="s">
        <v>271</v>
      </c>
      <c r="B123" s="110">
        <f>SUM(B121:B122)</f>
        <v>5932879</v>
      </c>
      <c r="C123" s="110">
        <f t="shared" ref="C123:M123" si="38">SUM(C121:C122)</f>
        <v>5932879</v>
      </c>
      <c r="D123" s="110">
        <f t="shared" si="38"/>
        <v>5932879</v>
      </c>
      <c r="E123" s="110">
        <f t="shared" si="38"/>
        <v>5932879</v>
      </c>
      <c r="F123" s="110">
        <f t="shared" si="38"/>
        <v>5932879</v>
      </c>
      <c r="G123" s="110">
        <f t="shared" si="38"/>
        <v>5732703</v>
      </c>
      <c r="H123" s="110">
        <f t="shared" si="38"/>
        <v>5732703</v>
      </c>
      <c r="I123" s="110">
        <f t="shared" si="38"/>
        <v>5732703</v>
      </c>
      <c r="J123" s="110">
        <f t="shared" si="38"/>
        <v>5732703</v>
      </c>
      <c r="K123" s="110">
        <f t="shared" si="38"/>
        <v>5732703</v>
      </c>
      <c r="L123" s="110">
        <f t="shared" si="38"/>
        <v>5844083</v>
      </c>
      <c r="M123" s="110">
        <f t="shared" si="38"/>
        <v>5844083</v>
      </c>
      <c r="N123" s="171"/>
      <c r="O123" s="171"/>
      <c r="Q123" s="171"/>
    </row>
    <row r="124" spans="1:17">
      <c r="A124" s="607" t="s">
        <v>641</v>
      </c>
      <c r="B124" s="601">
        <v>0</v>
      </c>
      <c r="C124" s="601">
        <v>0</v>
      </c>
      <c r="D124" s="601">
        <v>0</v>
      </c>
      <c r="E124" s="601">
        <v>0</v>
      </c>
      <c r="F124" s="601">
        <v>0</v>
      </c>
      <c r="G124" s="601">
        <v>0</v>
      </c>
      <c r="H124" s="601">
        <v>0</v>
      </c>
      <c r="I124" s="601">
        <v>0</v>
      </c>
      <c r="J124" s="601">
        <v>0</v>
      </c>
      <c r="K124" s="601">
        <v>0</v>
      </c>
      <c r="L124" s="601">
        <v>11650500</v>
      </c>
      <c r="M124" s="601">
        <v>11650500</v>
      </c>
      <c r="N124" s="172"/>
      <c r="O124" s="172"/>
    </row>
    <row r="125" spans="1:17">
      <c r="A125" s="56" t="s">
        <v>273</v>
      </c>
      <c r="B125" s="601">
        <v>6078523</v>
      </c>
      <c r="C125" s="601">
        <v>6078523</v>
      </c>
      <c r="D125" s="601">
        <v>6078523</v>
      </c>
      <c r="E125" s="601">
        <v>6078523</v>
      </c>
      <c r="F125" s="601">
        <v>6078523</v>
      </c>
      <c r="G125" s="601">
        <v>6078523</v>
      </c>
      <c r="H125" s="601">
        <v>6078523</v>
      </c>
      <c r="I125" s="601">
        <v>6078523</v>
      </c>
      <c r="J125" s="601">
        <v>6078523</v>
      </c>
      <c r="K125" s="601">
        <v>6078523</v>
      </c>
      <c r="L125" s="601">
        <v>0</v>
      </c>
      <c r="M125" s="601">
        <v>0</v>
      </c>
      <c r="N125" s="172"/>
      <c r="O125" s="172"/>
    </row>
    <row r="126" spans="1:17">
      <c r="A126" s="56" t="s">
        <v>274</v>
      </c>
      <c r="B126" s="601">
        <v>0</v>
      </c>
      <c r="C126" s="601">
        <v>0</v>
      </c>
      <c r="D126" s="601">
        <v>0</v>
      </c>
      <c r="E126" s="601">
        <v>0</v>
      </c>
      <c r="F126" s="601">
        <v>0</v>
      </c>
      <c r="G126" s="601">
        <v>0</v>
      </c>
      <c r="H126" s="601">
        <v>0</v>
      </c>
      <c r="I126" s="601">
        <v>0</v>
      </c>
      <c r="J126" s="601">
        <v>0</v>
      </c>
      <c r="K126" s="601">
        <v>0</v>
      </c>
      <c r="L126" s="601">
        <v>0</v>
      </c>
      <c r="M126" s="601">
        <v>0</v>
      </c>
      <c r="N126" s="172"/>
      <c r="O126" s="172"/>
    </row>
    <row r="127" spans="1:17">
      <c r="A127" s="56" t="s">
        <v>275</v>
      </c>
      <c r="B127" s="601">
        <v>813746</v>
      </c>
      <c r="C127" s="601">
        <v>813746</v>
      </c>
      <c r="D127" s="601">
        <v>813746</v>
      </c>
      <c r="E127" s="601">
        <v>813746</v>
      </c>
      <c r="F127" s="601">
        <v>813746</v>
      </c>
      <c r="G127" s="601">
        <v>813746</v>
      </c>
      <c r="H127" s="601">
        <v>813746</v>
      </c>
      <c r="I127" s="601">
        <v>813746</v>
      </c>
      <c r="J127" s="601">
        <v>813746</v>
      </c>
      <c r="K127" s="601">
        <v>813746</v>
      </c>
      <c r="L127" s="601">
        <v>0</v>
      </c>
      <c r="M127" s="601">
        <v>0</v>
      </c>
      <c r="N127" s="172"/>
      <c r="O127" s="172"/>
    </row>
    <row r="128" spans="1:17">
      <c r="A128" s="56" t="s">
        <v>276</v>
      </c>
      <c r="B128" s="601">
        <v>4231750</v>
      </c>
      <c r="C128" s="601">
        <v>4231750</v>
      </c>
      <c r="D128" s="601">
        <v>4231750</v>
      </c>
      <c r="E128" s="601">
        <v>4231750</v>
      </c>
      <c r="F128" s="601">
        <v>4231750</v>
      </c>
      <c r="G128" s="601">
        <v>4231750</v>
      </c>
      <c r="H128" s="601">
        <v>4231750</v>
      </c>
      <c r="I128" s="601">
        <v>4231750</v>
      </c>
      <c r="J128" s="601">
        <v>4231750</v>
      </c>
      <c r="K128" s="601">
        <v>4231750</v>
      </c>
      <c r="L128" s="601">
        <v>0</v>
      </c>
      <c r="M128" s="601">
        <v>0</v>
      </c>
      <c r="N128" s="172"/>
      <c r="O128" s="172"/>
    </row>
    <row r="129" spans="1:17" s="172" customFormat="1">
      <c r="A129" s="54" t="s">
        <v>273</v>
      </c>
      <c r="B129" s="110">
        <f>SUM(B124:B128)</f>
        <v>11124019</v>
      </c>
      <c r="C129" s="110">
        <f t="shared" ref="C129:M129" si="39">SUM(C124:C128)</f>
        <v>11124019</v>
      </c>
      <c r="D129" s="110">
        <f t="shared" si="39"/>
        <v>11124019</v>
      </c>
      <c r="E129" s="110">
        <f t="shared" si="39"/>
        <v>11124019</v>
      </c>
      <c r="F129" s="110">
        <f t="shared" si="39"/>
        <v>11124019</v>
      </c>
      <c r="G129" s="110">
        <f t="shared" si="39"/>
        <v>11124019</v>
      </c>
      <c r="H129" s="110">
        <f t="shared" si="39"/>
        <v>11124019</v>
      </c>
      <c r="I129" s="110">
        <f t="shared" si="39"/>
        <v>11124019</v>
      </c>
      <c r="J129" s="110">
        <f t="shared" si="39"/>
        <v>11124019</v>
      </c>
      <c r="K129" s="110">
        <f t="shared" si="39"/>
        <v>11124019</v>
      </c>
      <c r="L129" s="110">
        <f t="shared" si="39"/>
        <v>11650500</v>
      </c>
      <c r="M129" s="110">
        <f t="shared" si="39"/>
        <v>11650500</v>
      </c>
      <c r="N129" s="171"/>
      <c r="O129" s="171"/>
      <c r="Q129" s="171"/>
    </row>
    <row r="130" spans="1:17">
      <c r="A130" s="607" t="s">
        <v>640</v>
      </c>
      <c r="B130" s="601">
        <v>2575549</v>
      </c>
      <c r="C130" s="601">
        <v>2575549</v>
      </c>
      <c r="D130" s="601">
        <v>2575549</v>
      </c>
      <c r="E130" s="601">
        <v>2575549</v>
      </c>
      <c r="F130" s="601">
        <v>2575549</v>
      </c>
      <c r="G130" s="601">
        <v>2575549</v>
      </c>
      <c r="H130" s="601">
        <v>2575549</v>
      </c>
      <c r="I130" s="601">
        <v>2575549</v>
      </c>
      <c r="J130" s="601">
        <v>2575549</v>
      </c>
      <c r="K130" s="601">
        <v>2575549</v>
      </c>
      <c r="L130" s="601">
        <v>2482701</v>
      </c>
      <c r="M130" s="601">
        <v>2482701</v>
      </c>
      <c r="N130" s="172"/>
      <c r="O130" s="172"/>
    </row>
    <row r="131" spans="1:17">
      <c r="A131" s="56" t="s">
        <v>278</v>
      </c>
      <c r="B131" s="601">
        <v>568750</v>
      </c>
      <c r="C131" s="601">
        <v>568750</v>
      </c>
      <c r="D131" s="601">
        <v>568750</v>
      </c>
      <c r="E131" s="601">
        <v>568750</v>
      </c>
      <c r="F131" s="601">
        <v>568750</v>
      </c>
      <c r="G131" s="601">
        <v>565083</v>
      </c>
      <c r="H131" s="601">
        <v>565083</v>
      </c>
      <c r="I131" s="601">
        <v>565083</v>
      </c>
      <c r="J131" s="601">
        <v>565083</v>
      </c>
      <c r="K131" s="601">
        <v>565083</v>
      </c>
      <c r="L131" s="601">
        <v>565083</v>
      </c>
      <c r="M131" s="601">
        <v>565083</v>
      </c>
      <c r="N131" s="172"/>
      <c r="O131" s="172"/>
    </row>
    <row r="132" spans="1:17" s="172" customFormat="1">
      <c r="A132" s="54" t="s">
        <v>277</v>
      </c>
      <c r="B132" s="110">
        <f t="shared" ref="B132:L132" si="40">SUM(B130:B131)</f>
        <v>3144299</v>
      </c>
      <c r="C132" s="110">
        <f t="shared" si="40"/>
        <v>3144299</v>
      </c>
      <c r="D132" s="110">
        <f t="shared" si="40"/>
        <v>3144299</v>
      </c>
      <c r="E132" s="110">
        <f t="shared" si="40"/>
        <v>3144299</v>
      </c>
      <c r="F132" s="110">
        <f t="shared" si="40"/>
        <v>3144299</v>
      </c>
      <c r="G132" s="110">
        <f t="shared" si="40"/>
        <v>3140632</v>
      </c>
      <c r="H132" s="110">
        <f t="shared" si="40"/>
        <v>3140632</v>
      </c>
      <c r="I132" s="110">
        <f t="shared" si="40"/>
        <v>3140632</v>
      </c>
      <c r="J132" s="110">
        <f t="shared" si="40"/>
        <v>3140632</v>
      </c>
      <c r="K132" s="110">
        <f t="shared" si="40"/>
        <v>3140632</v>
      </c>
      <c r="L132" s="110">
        <f t="shared" si="40"/>
        <v>3047784</v>
      </c>
      <c r="M132" s="110">
        <f>SUM(M130:M131)</f>
        <v>3047784</v>
      </c>
      <c r="N132" s="171"/>
      <c r="O132" s="171"/>
      <c r="Q132" s="171"/>
    </row>
    <row r="133" spans="1:17">
      <c r="A133" s="56" t="s">
        <v>279</v>
      </c>
      <c r="B133" s="601">
        <v>3481183</v>
      </c>
      <c r="C133" s="601">
        <v>3481183</v>
      </c>
      <c r="D133" s="601">
        <v>3481183</v>
      </c>
      <c r="E133" s="601">
        <v>3481183</v>
      </c>
      <c r="F133" s="601">
        <v>3481183</v>
      </c>
      <c r="G133" s="601">
        <v>3481183</v>
      </c>
      <c r="H133" s="601">
        <v>3481183</v>
      </c>
      <c r="I133" s="601">
        <v>3481183</v>
      </c>
      <c r="J133" s="601">
        <v>3481183</v>
      </c>
      <c r="K133" s="601">
        <v>3481183</v>
      </c>
      <c r="L133" s="601">
        <v>3563667</v>
      </c>
      <c r="M133" s="601">
        <v>3563667</v>
      </c>
      <c r="N133" s="172"/>
      <c r="O133" s="172"/>
    </row>
    <row r="134" spans="1:17">
      <c r="A134" s="56" t="s">
        <v>280</v>
      </c>
      <c r="B134" s="601"/>
      <c r="C134" s="601"/>
      <c r="D134" s="601"/>
      <c r="E134" s="601"/>
      <c r="F134" s="601"/>
      <c r="G134" s="601"/>
      <c r="H134" s="601"/>
      <c r="I134" s="601"/>
      <c r="J134" s="601"/>
      <c r="K134" s="601"/>
      <c r="L134" s="601"/>
      <c r="M134" s="601">
        <v>0</v>
      </c>
      <c r="N134" s="172"/>
      <c r="O134" s="172"/>
    </row>
    <row r="135" spans="1:17">
      <c r="A135" s="56" t="s">
        <v>281</v>
      </c>
      <c r="B135" s="601"/>
      <c r="C135" s="601"/>
      <c r="D135" s="601"/>
      <c r="E135" s="601"/>
      <c r="F135" s="601"/>
      <c r="G135" s="601"/>
      <c r="H135" s="601"/>
      <c r="I135" s="601"/>
      <c r="J135" s="601"/>
      <c r="K135" s="601"/>
      <c r="L135" s="601"/>
      <c r="M135" s="601">
        <v>0</v>
      </c>
      <c r="N135" s="172"/>
      <c r="O135" s="172"/>
    </row>
    <row r="136" spans="1:17">
      <c r="A136" s="56" t="s">
        <v>285</v>
      </c>
      <c r="B136" s="601"/>
      <c r="C136" s="601"/>
      <c r="D136" s="601"/>
      <c r="E136" s="601"/>
      <c r="F136" s="601"/>
      <c r="G136" s="601"/>
      <c r="H136" s="601"/>
      <c r="I136" s="601"/>
      <c r="J136" s="601"/>
      <c r="K136" s="601"/>
      <c r="L136" s="601"/>
      <c r="M136" s="601">
        <v>0</v>
      </c>
      <c r="N136" s="172"/>
      <c r="O136" s="172"/>
    </row>
    <row r="137" spans="1:17">
      <c r="A137" s="56" t="s">
        <v>283</v>
      </c>
      <c r="B137" s="601"/>
      <c r="C137" s="601"/>
      <c r="D137" s="601"/>
      <c r="E137" s="601"/>
      <c r="F137" s="601"/>
      <c r="G137" s="601"/>
      <c r="H137" s="601"/>
      <c r="I137" s="601"/>
      <c r="J137" s="601"/>
      <c r="K137" s="601"/>
      <c r="L137" s="601"/>
      <c r="M137" s="601">
        <v>0</v>
      </c>
      <c r="N137" s="172"/>
      <c r="O137" s="172"/>
    </row>
    <row r="138" spans="1:17" s="172" customFormat="1">
      <c r="A138" s="54" t="s">
        <v>279</v>
      </c>
      <c r="B138" s="110">
        <f t="shared" ref="B138:L138" si="41">SUM(B133:B137)</f>
        <v>3481183</v>
      </c>
      <c r="C138" s="110">
        <f t="shared" si="41"/>
        <v>3481183</v>
      </c>
      <c r="D138" s="110">
        <f t="shared" si="41"/>
        <v>3481183</v>
      </c>
      <c r="E138" s="110">
        <f t="shared" si="41"/>
        <v>3481183</v>
      </c>
      <c r="F138" s="110">
        <f t="shared" si="41"/>
        <v>3481183</v>
      </c>
      <c r="G138" s="110">
        <f t="shared" si="41"/>
        <v>3481183</v>
      </c>
      <c r="H138" s="110">
        <f t="shared" si="41"/>
        <v>3481183</v>
      </c>
      <c r="I138" s="110">
        <f t="shared" si="41"/>
        <v>3481183</v>
      </c>
      <c r="J138" s="110">
        <f t="shared" si="41"/>
        <v>3481183</v>
      </c>
      <c r="K138" s="110">
        <f t="shared" si="41"/>
        <v>3481183</v>
      </c>
      <c r="L138" s="110">
        <f t="shared" si="41"/>
        <v>3563667</v>
      </c>
      <c r="M138" s="110">
        <f>SUM(M133:M137)</f>
        <v>3563667</v>
      </c>
      <c r="N138" s="171"/>
      <c r="O138" s="171"/>
      <c r="Q138" s="171"/>
    </row>
    <row r="139" spans="1:17">
      <c r="A139" s="191" t="s">
        <v>583</v>
      </c>
      <c r="B139" s="601">
        <v>1736525</v>
      </c>
      <c r="C139" s="601">
        <v>1736525</v>
      </c>
      <c r="D139" s="601">
        <v>1736525</v>
      </c>
      <c r="E139" s="601">
        <v>1736525</v>
      </c>
      <c r="F139" s="601">
        <v>1736525</v>
      </c>
      <c r="G139" s="601">
        <v>1670417</v>
      </c>
      <c r="H139" s="601">
        <v>1670417</v>
      </c>
      <c r="I139" s="601">
        <v>1670417</v>
      </c>
      <c r="J139" s="601">
        <v>1670417</v>
      </c>
      <c r="K139" s="601">
        <v>1670417</v>
      </c>
      <c r="L139" s="601">
        <v>1670417</v>
      </c>
      <c r="M139" s="601">
        <v>1670417</v>
      </c>
      <c r="N139" s="172"/>
      <c r="O139" s="172"/>
    </row>
    <row r="140" spans="1:17">
      <c r="A140" s="191" t="s">
        <v>584</v>
      </c>
      <c r="B140" s="601"/>
      <c r="C140" s="601"/>
      <c r="D140" s="601"/>
      <c r="E140" s="601"/>
      <c r="F140" s="601"/>
      <c r="G140" s="601"/>
      <c r="H140" s="601"/>
      <c r="I140" s="601"/>
      <c r="J140" s="601"/>
      <c r="K140" s="601"/>
      <c r="L140" s="601"/>
      <c r="M140" s="601">
        <v>0</v>
      </c>
      <c r="N140" s="172"/>
      <c r="O140" s="172"/>
    </row>
    <row r="141" spans="1:17" s="172" customFormat="1">
      <c r="A141" s="54" t="s">
        <v>583</v>
      </c>
      <c r="B141" s="110">
        <f>SUM(B139:B140)</f>
        <v>1736525</v>
      </c>
      <c r="C141" s="110">
        <f t="shared" ref="C141:M141" si="42">SUM(C139:C140)</f>
        <v>1736525</v>
      </c>
      <c r="D141" s="110">
        <f t="shared" si="42"/>
        <v>1736525</v>
      </c>
      <c r="E141" s="110">
        <f t="shared" si="42"/>
        <v>1736525</v>
      </c>
      <c r="F141" s="110">
        <f t="shared" si="42"/>
        <v>1736525</v>
      </c>
      <c r="G141" s="110">
        <f t="shared" si="42"/>
        <v>1670417</v>
      </c>
      <c r="H141" s="110">
        <f t="shared" si="42"/>
        <v>1670417</v>
      </c>
      <c r="I141" s="110">
        <f t="shared" si="42"/>
        <v>1670417</v>
      </c>
      <c r="J141" s="110">
        <f t="shared" si="42"/>
        <v>1670417</v>
      </c>
      <c r="K141" s="110">
        <f t="shared" si="42"/>
        <v>1670417</v>
      </c>
      <c r="L141" s="110">
        <f t="shared" si="42"/>
        <v>1670417</v>
      </c>
      <c r="M141" s="110">
        <f t="shared" si="42"/>
        <v>1670417</v>
      </c>
      <c r="N141" s="171"/>
      <c r="O141" s="171"/>
      <c r="Q141" s="171"/>
    </row>
    <row r="142" spans="1:17">
      <c r="A142" s="172"/>
      <c r="B142" s="172"/>
      <c r="C142" s="172"/>
      <c r="D142" s="172"/>
      <c r="E142" s="172"/>
      <c r="F142" s="172"/>
      <c r="G142" s="172"/>
      <c r="H142" s="172"/>
      <c r="I142" s="172"/>
      <c r="J142" s="172"/>
      <c r="K142" s="172"/>
      <c r="L142" s="172"/>
      <c r="M142" s="172"/>
      <c r="N142" s="172"/>
      <c r="O142" s="172"/>
    </row>
    <row r="143" spans="1:17">
      <c r="A143" s="172"/>
      <c r="B143" s="172"/>
      <c r="C143" s="172"/>
      <c r="D143" s="172"/>
      <c r="E143" s="172"/>
      <c r="F143" s="172"/>
      <c r="G143" s="172"/>
      <c r="H143" s="172"/>
      <c r="I143" s="172"/>
      <c r="J143" s="172"/>
      <c r="K143" s="172"/>
      <c r="L143" s="172"/>
      <c r="M143" s="172"/>
      <c r="N143" s="172"/>
      <c r="O143" s="172"/>
    </row>
    <row r="144" spans="1:17">
      <c r="A144" s="172"/>
      <c r="B144" s="172"/>
      <c r="C144" s="172"/>
      <c r="D144" s="172"/>
      <c r="E144" s="172"/>
      <c r="F144" s="172"/>
      <c r="G144" s="172"/>
      <c r="H144" s="172"/>
      <c r="I144" s="172"/>
      <c r="J144" s="172"/>
      <c r="K144" s="172"/>
      <c r="L144" s="172"/>
      <c r="M144" s="172"/>
      <c r="N144" s="172"/>
      <c r="O144" s="172"/>
    </row>
    <row r="145" spans="1:15">
      <c r="A145" s="172"/>
      <c r="B145" s="172"/>
      <c r="C145" s="172"/>
      <c r="D145" s="172"/>
      <c r="E145" s="172"/>
      <c r="F145" s="172"/>
      <c r="G145" s="172"/>
      <c r="H145" s="172"/>
      <c r="I145" s="172"/>
      <c r="J145" s="172"/>
      <c r="K145" s="172"/>
      <c r="L145" s="172"/>
      <c r="M145" s="172"/>
      <c r="N145" s="172"/>
      <c r="O145" s="172"/>
    </row>
  </sheetData>
  <phoneticPr fontId="4" type="noConversion"/>
  <pageMargins left="0.25" right="0.25" top="0.5" bottom="0.5" header="0.5" footer="0.5"/>
  <pageSetup paperSize="256" scale="64" orientation="landscape" r:id="rId1"/>
  <headerFooter alignWithMargins="0"/>
  <rowBreaks count="2" manualBreakCount="2">
    <brk id="41" max="15" man="1"/>
    <brk id="92"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8F"/>
    <pageSetUpPr fitToPage="1"/>
  </sheetPr>
  <dimension ref="A1:AL37"/>
  <sheetViews>
    <sheetView showGridLines="0" workbookViewId="0">
      <selection activeCell="A2" sqref="A2"/>
    </sheetView>
  </sheetViews>
  <sheetFormatPr defaultRowHeight="15.75"/>
  <cols>
    <col min="1" max="1" width="18.125" style="2" customWidth="1"/>
    <col min="2" max="2" width="11.75" style="2" bestFit="1" customWidth="1"/>
    <col min="3" max="3" width="11.125" style="2" customWidth="1"/>
    <col min="4" max="4" width="2.375" style="2" customWidth="1"/>
    <col min="5" max="5" width="9" style="2"/>
    <col min="6" max="6" width="14.75" style="2" bestFit="1" customWidth="1"/>
    <col min="7" max="7" width="1.625" style="2" customWidth="1"/>
    <col min="8" max="8" width="11.125" style="2" bestFit="1" customWidth="1"/>
    <col min="9" max="9" width="1.625" style="2" customWidth="1"/>
    <col min="10" max="10" width="11.75" style="2" bestFit="1" customWidth="1"/>
    <col min="11" max="11" width="9" style="2"/>
    <col min="12" max="12" width="39.5" style="2" bestFit="1" customWidth="1"/>
    <col min="13" max="16384" width="9" style="2"/>
  </cols>
  <sheetData>
    <row r="1" spans="1:14" ht="18.75">
      <c r="A1" s="38" t="s">
        <v>114</v>
      </c>
    </row>
    <row r="2" spans="1:14">
      <c r="E2" s="3"/>
      <c r="F2" s="3" t="s">
        <v>181</v>
      </c>
      <c r="G2" s="3"/>
      <c r="H2" s="3" t="s">
        <v>98</v>
      </c>
      <c r="I2" s="3"/>
      <c r="J2" s="3" t="s">
        <v>12</v>
      </c>
    </row>
    <row r="3" spans="1:14">
      <c r="A3" s="185" t="s">
        <v>196</v>
      </c>
      <c r="B3" s="185"/>
      <c r="C3" s="81"/>
      <c r="E3" s="3"/>
      <c r="F3" s="3" t="s">
        <v>99</v>
      </c>
      <c r="G3" s="3"/>
      <c r="H3" s="3" t="s">
        <v>100</v>
      </c>
      <c r="I3" s="3"/>
      <c r="J3" s="3" t="s">
        <v>101</v>
      </c>
    </row>
    <row r="4" spans="1:14">
      <c r="A4" s="30"/>
      <c r="B4" s="30"/>
      <c r="E4" s="3" t="s">
        <v>103</v>
      </c>
      <c r="F4" s="3" t="s">
        <v>102</v>
      </c>
      <c r="G4" s="3"/>
      <c r="H4" s="3" t="s">
        <v>102</v>
      </c>
      <c r="I4" s="3"/>
      <c r="J4" s="3" t="s">
        <v>52</v>
      </c>
    </row>
    <row r="5" spans="1:14">
      <c r="A5" s="28" t="s">
        <v>30</v>
      </c>
      <c r="B5" s="31">
        <f>C31</f>
        <v>-14894</v>
      </c>
      <c r="E5" s="68"/>
      <c r="F5" s="22"/>
      <c r="G5" s="32"/>
      <c r="H5" s="32"/>
      <c r="I5" s="32"/>
      <c r="J5" s="22"/>
    </row>
    <row r="6" spans="1:14">
      <c r="A6" s="30"/>
      <c r="B6" s="30"/>
      <c r="E6" s="68">
        <v>286</v>
      </c>
      <c r="F6" s="143">
        <f>'Att GG True Up '!F286</f>
        <v>26537317.317923464</v>
      </c>
      <c r="G6" s="32"/>
      <c r="H6" s="195">
        <f>F6/$F$15</f>
        <v>0.78061237371343206</v>
      </c>
      <c r="I6" s="32"/>
      <c r="J6" s="22">
        <f t="shared" ref="J6:J14" si="0">ROUND(H6*$B$5,1)</f>
        <v>-11626.4</v>
      </c>
      <c r="L6" s="194"/>
      <c r="N6" s="21"/>
    </row>
    <row r="7" spans="1:14">
      <c r="A7" s="30"/>
      <c r="B7" s="30"/>
      <c r="E7" s="68">
        <v>2178</v>
      </c>
      <c r="F7" s="22">
        <f>'Att GG True Up '!F536</f>
        <v>531225.59874088969</v>
      </c>
      <c r="G7" s="32"/>
      <c r="H7" s="195">
        <f t="shared" ref="H7:H13" si="1">F7/$F$15</f>
        <v>1.5626344993447654E-2</v>
      </c>
      <c r="I7" s="32"/>
      <c r="J7" s="22">
        <f t="shared" si="0"/>
        <v>-232.7</v>
      </c>
      <c r="L7" s="194"/>
      <c r="N7" s="21"/>
    </row>
    <row r="8" spans="1:14" s="172" customFormat="1">
      <c r="A8" s="30"/>
      <c r="B8" s="30"/>
      <c r="E8" s="68">
        <v>1285</v>
      </c>
      <c r="F8" s="22">
        <f>'Att GG True Up '!F578</f>
        <v>2837920.2582707624</v>
      </c>
      <c r="G8" s="32"/>
      <c r="H8" s="195">
        <f t="shared" si="1"/>
        <v>8.347926215292073E-2</v>
      </c>
      <c r="I8" s="32"/>
      <c r="J8" s="22">
        <f t="shared" si="0"/>
        <v>-1243.3</v>
      </c>
      <c r="L8" s="194"/>
      <c r="N8" s="21"/>
    </row>
    <row r="9" spans="1:14" s="172" customFormat="1">
      <c r="A9" s="30"/>
      <c r="B9" s="30"/>
      <c r="E9" s="68">
        <v>2307</v>
      </c>
      <c r="F9" s="22">
        <f>'Att GG True Up '!F620</f>
        <v>-1140903.26</v>
      </c>
      <c r="G9" s="32"/>
      <c r="H9" s="195">
        <f t="shared" si="1"/>
        <v>-3.3560408209177731E-2</v>
      </c>
      <c r="I9" s="32"/>
      <c r="J9" s="22">
        <f t="shared" si="0"/>
        <v>499.8</v>
      </c>
      <c r="L9" s="194"/>
      <c r="N9" s="21"/>
    </row>
    <row r="10" spans="1:14" s="172" customFormat="1">
      <c r="A10" s="30"/>
      <c r="B10" s="30"/>
      <c r="E10" s="68">
        <v>3312</v>
      </c>
      <c r="F10" s="22">
        <f>'Att GG True Up '!F711</f>
        <v>2349407.8268624637</v>
      </c>
      <c r="G10" s="32"/>
      <c r="H10" s="195">
        <f t="shared" si="1"/>
        <v>6.9109352636385166E-2</v>
      </c>
      <c r="I10" s="32"/>
      <c r="J10" s="22">
        <f t="shared" si="0"/>
        <v>-1029.3</v>
      </c>
      <c r="L10" s="194"/>
      <c r="N10" s="21"/>
    </row>
    <row r="11" spans="1:14" s="172" customFormat="1">
      <c r="A11" s="30"/>
      <c r="B11" s="30"/>
      <c r="E11" s="68">
        <v>3317</v>
      </c>
      <c r="F11" s="22">
        <f>'Att GG True Up '!F757</f>
        <v>2319897.9245423088</v>
      </c>
      <c r="G11" s="32"/>
      <c r="H11" s="195">
        <f t="shared" si="1"/>
        <v>6.8241299749870185E-2</v>
      </c>
      <c r="I11" s="32"/>
      <c r="J11" s="22">
        <f t="shared" si="0"/>
        <v>-1016.4</v>
      </c>
      <c r="L11" s="194"/>
      <c r="N11" s="21"/>
    </row>
    <row r="12" spans="1:14" s="172" customFormat="1">
      <c r="A12" s="30"/>
      <c r="B12" s="30"/>
      <c r="E12" s="68">
        <v>3775</v>
      </c>
      <c r="F12" s="22">
        <f>'Att GG True Up '!F803</f>
        <v>567402.13411479548</v>
      </c>
      <c r="G12" s="32"/>
      <c r="H12" s="195">
        <f t="shared" si="1"/>
        <v>1.6690501208359371E-2</v>
      </c>
      <c r="I12" s="32"/>
      <c r="J12" s="22">
        <f t="shared" si="0"/>
        <v>-248.6</v>
      </c>
      <c r="L12" s="194"/>
      <c r="N12" s="21"/>
    </row>
    <row r="13" spans="1:14">
      <c r="A13" s="30"/>
      <c r="B13" s="30"/>
      <c r="E13" s="68">
        <v>9523</v>
      </c>
      <c r="F13" s="22">
        <f>'Att GG True Up '!F856</f>
        <v>-6755.6387156628862</v>
      </c>
      <c r="G13" s="32"/>
      <c r="H13" s="195">
        <f t="shared" si="1"/>
        <v>-1.9872148757938654E-4</v>
      </c>
      <c r="I13" s="32"/>
      <c r="J13" s="22">
        <f t="shared" si="0"/>
        <v>3</v>
      </c>
      <c r="L13" s="194"/>
      <c r="N13" s="21"/>
    </row>
    <row r="14" spans="1:14">
      <c r="A14" s="30"/>
      <c r="B14" s="30"/>
      <c r="E14" s="68"/>
      <c r="F14" s="22"/>
      <c r="G14" s="32"/>
      <c r="H14" s="195">
        <f>F14/$F$15</f>
        <v>0</v>
      </c>
      <c r="I14" s="32"/>
      <c r="J14" s="22">
        <f t="shared" si="0"/>
        <v>0</v>
      </c>
      <c r="L14" s="194"/>
      <c r="N14" s="21"/>
    </row>
    <row r="15" spans="1:14" ht="16.5" thickBot="1">
      <c r="A15" s="30"/>
      <c r="B15" s="30"/>
      <c r="F15" s="62">
        <f>ROUND(SUM(F5:F14),0)</f>
        <v>33995512</v>
      </c>
      <c r="G15" s="64"/>
      <c r="H15" s="193">
        <f>SUM(H5:H14)</f>
        <v>1.000000004757658</v>
      </c>
      <c r="I15" s="64"/>
      <c r="J15" s="189">
        <f>SUM(J6:J14)</f>
        <v>-14893.9</v>
      </c>
    </row>
    <row r="16" spans="1:14" ht="16.5" thickTop="1">
      <c r="A16" s="30"/>
      <c r="B16" s="30"/>
    </row>
    <row r="17" spans="1:38">
      <c r="A17" s="30"/>
      <c r="B17" s="30"/>
      <c r="F17" s="31">
        <f>'Att GG True Up '!F870</f>
        <v>33995512.161739022</v>
      </c>
    </row>
    <row r="18" spans="1:38">
      <c r="A18" s="30"/>
      <c r="B18" s="30"/>
      <c r="F18" s="21"/>
    </row>
    <row r="20" spans="1:38">
      <c r="A20" s="2" t="s">
        <v>104</v>
      </c>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row>
    <row r="21" spans="1:38">
      <c r="B21" s="37" t="s">
        <v>154</v>
      </c>
      <c r="E21" s="30"/>
      <c r="F21" s="30"/>
      <c r="G21" s="30"/>
      <c r="H21" s="30"/>
      <c r="I21" s="30"/>
      <c r="J21" s="63"/>
      <c r="K21" s="30"/>
      <c r="L21" s="30"/>
      <c r="M21" s="63"/>
      <c r="N21" s="30"/>
      <c r="O21" s="30"/>
      <c r="P21" s="63"/>
      <c r="Q21" s="30"/>
      <c r="R21" s="30"/>
      <c r="S21" s="63"/>
      <c r="T21" s="30"/>
      <c r="U21" s="30"/>
      <c r="V21" s="63"/>
      <c r="W21" s="30"/>
      <c r="X21" s="30"/>
      <c r="Y21" s="63"/>
      <c r="Z21" s="30"/>
      <c r="AA21" s="30"/>
      <c r="AB21" s="63"/>
      <c r="AC21" s="30"/>
      <c r="AD21" s="30"/>
      <c r="AE21" s="30"/>
      <c r="AF21" s="30"/>
      <c r="AG21" s="30"/>
      <c r="AH21" s="30"/>
      <c r="AI21" s="30"/>
      <c r="AJ21" s="30"/>
      <c r="AK21" s="30"/>
      <c r="AL21" s="30"/>
    </row>
    <row r="22" spans="1:38">
      <c r="B22" s="36" t="s">
        <v>105</v>
      </c>
      <c r="C22" s="3" t="s">
        <v>52</v>
      </c>
      <c r="E22" s="63"/>
      <c r="F22" s="30"/>
      <c r="G22" s="30"/>
      <c r="H22" s="30"/>
      <c r="I22" s="30"/>
      <c r="J22" s="63"/>
      <c r="K22" s="63"/>
      <c r="L22" s="30"/>
      <c r="M22" s="63"/>
      <c r="N22" s="63"/>
      <c r="O22" s="30"/>
      <c r="P22" s="63"/>
      <c r="Q22" s="63"/>
      <c r="R22" s="30"/>
      <c r="S22" s="63"/>
      <c r="T22" s="63"/>
      <c r="U22" s="30"/>
      <c r="V22" s="63"/>
      <c r="W22" s="63"/>
      <c r="X22" s="30"/>
      <c r="Y22" s="63"/>
      <c r="Z22" s="63"/>
      <c r="AA22" s="30"/>
      <c r="AB22" s="63"/>
      <c r="AC22" s="63"/>
      <c r="AD22" s="30"/>
      <c r="AE22" s="30"/>
      <c r="AF22" s="30"/>
      <c r="AG22" s="30"/>
      <c r="AH22" s="30"/>
      <c r="AI22" s="30"/>
      <c r="AJ22" s="30"/>
      <c r="AK22" s="30"/>
      <c r="AL22" s="30"/>
    </row>
    <row r="23" spans="1:38">
      <c r="A23" s="562" t="s">
        <v>534</v>
      </c>
      <c r="B23" s="187">
        <f>'Att GG True Up '!K283+'Att GG True Up '!K533+'Att GG True Up '!K575+'Att GG True Up '!K617+'Att GG True Up '!K708+'Att GG True Up '!K754+'Att GG True Up '!K800+'Att GG True Up '!K853</f>
        <v>-1544946.1155324173</v>
      </c>
      <c r="C23" s="33">
        <f>ROUND(B23*$C$33/4,0)</f>
        <v>-1854</v>
      </c>
      <c r="E23" s="66"/>
      <c r="F23" s="30"/>
      <c r="G23" s="30"/>
      <c r="H23" s="30"/>
      <c r="I23" s="30"/>
      <c r="J23" s="66"/>
      <c r="K23" s="66"/>
      <c r="L23" s="30"/>
      <c r="M23" s="66"/>
      <c r="N23" s="66"/>
      <c r="O23" s="30"/>
      <c r="P23" s="66"/>
      <c r="Q23" s="66"/>
      <c r="R23" s="30"/>
      <c r="S23" s="66"/>
      <c r="T23" s="66"/>
      <c r="U23" s="30"/>
      <c r="V23" s="66"/>
      <c r="W23" s="66"/>
      <c r="X23" s="30"/>
      <c r="Y23" s="66"/>
      <c r="Z23" s="66"/>
      <c r="AA23" s="30"/>
      <c r="AB23" s="66"/>
      <c r="AC23" s="66"/>
      <c r="AD23" s="30"/>
      <c r="AE23" s="30"/>
      <c r="AF23" s="30"/>
      <c r="AG23" s="30"/>
      <c r="AH23" s="30"/>
      <c r="AI23" s="30"/>
      <c r="AJ23" s="30"/>
      <c r="AK23" s="30"/>
      <c r="AL23" s="30"/>
    </row>
    <row r="24" spans="1:38">
      <c r="A24" s="562" t="s">
        <v>535</v>
      </c>
      <c r="B24" s="33">
        <f t="shared" ref="B24:B30" si="2">B23+C23</f>
        <v>-1546800.1155324173</v>
      </c>
      <c r="C24" s="33">
        <f t="shared" ref="C24:C30" si="3">ROUND(B24*$C$33/4,0)</f>
        <v>-1856</v>
      </c>
      <c r="E24" s="66"/>
      <c r="F24" s="30"/>
      <c r="G24" s="30"/>
      <c r="H24" s="30"/>
      <c r="I24" s="30"/>
      <c r="J24" s="66"/>
      <c r="K24" s="66"/>
      <c r="L24" s="30"/>
      <c r="M24" s="66"/>
      <c r="N24" s="66"/>
      <c r="O24" s="30"/>
      <c r="P24" s="66"/>
      <c r="Q24" s="66"/>
      <c r="R24" s="30"/>
      <c r="S24" s="66"/>
      <c r="T24" s="66"/>
      <c r="U24" s="30"/>
      <c r="V24" s="66"/>
      <c r="W24" s="66"/>
      <c r="X24" s="30"/>
      <c r="Y24" s="66"/>
      <c r="Z24" s="66"/>
      <c r="AA24" s="30"/>
      <c r="AB24" s="66"/>
      <c r="AC24" s="66"/>
      <c r="AD24" s="30"/>
      <c r="AE24" s="30"/>
      <c r="AF24" s="30"/>
      <c r="AG24" s="30"/>
      <c r="AH24" s="30"/>
      <c r="AI24" s="30"/>
      <c r="AJ24" s="30"/>
      <c r="AK24" s="30"/>
      <c r="AL24" s="30"/>
    </row>
    <row r="25" spans="1:38">
      <c r="A25" s="562" t="s">
        <v>536</v>
      </c>
      <c r="B25" s="33">
        <f t="shared" si="2"/>
        <v>-1548656.1155324173</v>
      </c>
      <c r="C25" s="33">
        <f t="shared" si="3"/>
        <v>-1858</v>
      </c>
      <c r="E25" s="66"/>
      <c r="F25" s="30"/>
      <c r="G25" s="30"/>
      <c r="H25" s="30"/>
      <c r="I25" s="30"/>
      <c r="J25" s="66"/>
      <c r="K25" s="66"/>
      <c r="L25" s="30"/>
      <c r="M25" s="66"/>
      <c r="N25" s="66"/>
      <c r="O25" s="30"/>
      <c r="P25" s="66"/>
      <c r="Q25" s="66"/>
      <c r="R25" s="30"/>
      <c r="S25" s="66"/>
      <c r="T25" s="66"/>
      <c r="U25" s="30"/>
      <c r="V25" s="66"/>
      <c r="W25" s="66"/>
      <c r="X25" s="30"/>
      <c r="Y25" s="66"/>
      <c r="Z25" s="66"/>
      <c r="AA25" s="30"/>
      <c r="AB25" s="66"/>
      <c r="AC25" s="66"/>
      <c r="AD25" s="30"/>
      <c r="AE25" s="30"/>
      <c r="AF25" s="30"/>
      <c r="AG25" s="30"/>
      <c r="AH25" s="30"/>
      <c r="AI25" s="30"/>
      <c r="AJ25" s="30"/>
      <c r="AK25" s="30"/>
      <c r="AL25" s="30"/>
    </row>
    <row r="26" spans="1:38">
      <c r="A26" s="562" t="s">
        <v>537</v>
      </c>
      <c r="B26" s="33">
        <f t="shared" si="2"/>
        <v>-1550514.1155324173</v>
      </c>
      <c r="C26" s="33">
        <f t="shared" si="3"/>
        <v>-1861</v>
      </c>
      <c r="E26" s="66"/>
      <c r="F26" s="30"/>
      <c r="G26" s="30"/>
      <c r="H26" s="30"/>
      <c r="I26" s="30"/>
      <c r="J26" s="66"/>
      <c r="K26" s="66"/>
      <c r="L26" s="30"/>
      <c r="M26" s="66"/>
      <c r="N26" s="66"/>
      <c r="O26" s="30"/>
      <c r="P26" s="66"/>
      <c r="Q26" s="66"/>
      <c r="R26" s="30"/>
      <c r="S26" s="66"/>
      <c r="T26" s="66"/>
      <c r="U26" s="30"/>
      <c r="V26" s="66"/>
      <c r="W26" s="66"/>
      <c r="X26" s="30"/>
      <c r="Y26" s="66"/>
      <c r="Z26" s="66"/>
      <c r="AA26" s="30"/>
      <c r="AB26" s="66"/>
      <c r="AC26" s="66"/>
      <c r="AD26" s="30"/>
      <c r="AE26" s="30"/>
      <c r="AF26" s="30"/>
      <c r="AG26" s="30"/>
      <c r="AH26" s="30"/>
      <c r="AI26" s="30"/>
      <c r="AJ26" s="30"/>
      <c r="AK26" s="30"/>
      <c r="AL26" s="30"/>
    </row>
    <row r="27" spans="1:38">
      <c r="A27" s="562" t="s">
        <v>576</v>
      </c>
      <c r="B27" s="33">
        <f t="shared" si="2"/>
        <v>-1552375.1155324173</v>
      </c>
      <c r="C27" s="33">
        <f t="shared" si="3"/>
        <v>-1863</v>
      </c>
      <c r="E27" s="66"/>
      <c r="F27" s="30"/>
      <c r="G27" s="30"/>
      <c r="H27" s="30"/>
      <c r="I27" s="30"/>
      <c r="J27" s="66"/>
      <c r="K27" s="66"/>
      <c r="L27" s="30"/>
      <c r="M27" s="66"/>
      <c r="N27" s="66"/>
      <c r="O27" s="30"/>
      <c r="P27" s="66"/>
      <c r="Q27" s="66"/>
      <c r="R27" s="30"/>
      <c r="S27" s="66"/>
      <c r="T27" s="66"/>
      <c r="U27" s="30"/>
      <c r="V27" s="66"/>
      <c r="W27" s="66"/>
      <c r="X27" s="30"/>
      <c r="Y27" s="66"/>
      <c r="Z27" s="66"/>
      <c r="AA27" s="30"/>
      <c r="AB27" s="66"/>
      <c r="AC27" s="66"/>
      <c r="AD27" s="30"/>
      <c r="AE27" s="30"/>
      <c r="AF27" s="30"/>
      <c r="AG27" s="30"/>
      <c r="AH27" s="30"/>
      <c r="AI27" s="30"/>
      <c r="AJ27" s="30"/>
      <c r="AK27" s="30"/>
      <c r="AL27" s="30"/>
    </row>
    <row r="28" spans="1:38">
      <c r="A28" s="562" t="s">
        <v>577</v>
      </c>
      <c r="B28" s="33">
        <f t="shared" si="2"/>
        <v>-1554238.1155324173</v>
      </c>
      <c r="C28" s="33">
        <f t="shared" si="3"/>
        <v>-1865</v>
      </c>
      <c r="E28" s="66"/>
      <c r="F28" s="30"/>
      <c r="G28" s="30"/>
      <c r="H28" s="30"/>
      <c r="I28" s="30"/>
      <c r="J28" s="66"/>
      <c r="K28" s="66"/>
      <c r="L28" s="30"/>
      <c r="M28" s="66"/>
      <c r="N28" s="66"/>
      <c r="O28" s="30"/>
      <c r="P28" s="66"/>
      <c r="Q28" s="66"/>
      <c r="R28" s="30"/>
      <c r="S28" s="66"/>
      <c r="T28" s="66"/>
      <c r="U28" s="30"/>
      <c r="V28" s="66"/>
      <c r="W28" s="66"/>
      <c r="X28" s="30"/>
      <c r="Y28" s="66"/>
      <c r="Z28" s="66"/>
      <c r="AA28" s="30"/>
      <c r="AB28" s="66"/>
      <c r="AC28" s="66"/>
      <c r="AD28" s="30"/>
      <c r="AE28" s="30"/>
      <c r="AF28" s="30"/>
      <c r="AG28" s="30"/>
      <c r="AH28" s="30"/>
      <c r="AI28" s="30"/>
      <c r="AJ28" s="30"/>
      <c r="AK28" s="30"/>
      <c r="AL28" s="30"/>
    </row>
    <row r="29" spans="1:38">
      <c r="A29" s="562" t="s">
        <v>578</v>
      </c>
      <c r="B29" s="33">
        <f t="shared" si="2"/>
        <v>-1556103.1155324173</v>
      </c>
      <c r="C29" s="33">
        <f t="shared" si="3"/>
        <v>-1867</v>
      </c>
      <c r="E29" s="66"/>
      <c r="F29" s="30"/>
      <c r="G29" s="30"/>
      <c r="H29" s="30"/>
      <c r="I29" s="30"/>
      <c r="J29" s="66"/>
      <c r="K29" s="66"/>
      <c r="L29" s="30"/>
      <c r="M29" s="66"/>
      <c r="N29" s="66"/>
      <c r="O29" s="30"/>
      <c r="P29" s="66"/>
      <c r="Q29" s="66"/>
      <c r="R29" s="30"/>
      <c r="S29" s="66"/>
      <c r="T29" s="66"/>
      <c r="U29" s="30"/>
      <c r="V29" s="66"/>
      <c r="W29" s="66"/>
      <c r="X29" s="30"/>
      <c r="Y29" s="66"/>
      <c r="Z29" s="66"/>
      <c r="AA29" s="30"/>
      <c r="AB29" s="66"/>
      <c r="AC29" s="66"/>
      <c r="AD29" s="30"/>
      <c r="AE29" s="30"/>
      <c r="AF29" s="30"/>
      <c r="AG29" s="30"/>
      <c r="AH29" s="30"/>
      <c r="AI29" s="30"/>
      <c r="AJ29" s="30"/>
      <c r="AK29" s="30"/>
      <c r="AL29" s="30"/>
    </row>
    <row r="30" spans="1:38">
      <c r="A30" s="562" t="s">
        <v>579</v>
      </c>
      <c r="B30" s="33">
        <f t="shared" si="2"/>
        <v>-1557970.1155324173</v>
      </c>
      <c r="C30" s="33">
        <f t="shared" si="3"/>
        <v>-1870</v>
      </c>
      <c r="E30" s="66"/>
      <c r="F30" s="30"/>
      <c r="G30" s="30"/>
      <c r="H30" s="30"/>
      <c r="I30" s="30"/>
      <c r="J30" s="66"/>
      <c r="K30" s="66"/>
      <c r="L30" s="30"/>
      <c r="M30" s="66"/>
      <c r="N30" s="66"/>
      <c r="O30" s="30"/>
      <c r="P30" s="66"/>
      <c r="Q30" s="66"/>
      <c r="R30" s="30"/>
      <c r="S30" s="66"/>
      <c r="T30" s="66"/>
      <c r="U30" s="30"/>
      <c r="V30" s="66"/>
      <c r="W30" s="66"/>
      <c r="X30" s="30"/>
      <c r="Y30" s="66"/>
      <c r="Z30" s="66"/>
      <c r="AA30" s="30"/>
      <c r="AB30" s="66"/>
      <c r="AC30" s="66"/>
      <c r="AD30" s="30"/>
      <c r="AE30" s="30"/>
      <c r="AF30" s="30"/>
      <c r="AG30" s="30"/>
      <c r="AH30" s="30"/>
      <c r="AI30" s="30"/>
      <c r="AJ30" s="30"/>
      <c r="AK30" s="30"/>
      <c r="AL30" s="30"/>
    </row>
    <row r="31" spans="1:38">
      <c r="A31" s="2" t="s">
        <v>106</v>
      </c>
      <c r="B31" s="34"/>
      <c r="C31" s="35">
        <f>SUM(C23:C30)</f>
        <v>-14894</v>
      </c>
      <c r="E31" s="67"/>
      <c r="F31" s="30"/>
      <c r="G31" s="30"/>
      <c r="H31" s="30"/>
      <c r="I31" s="30"/>
      <c r="J31" s="67"/>
      <c r="K31" s="67"/>
      <c r="L31" s="30"/>
      <c r="M31" s="67"/>
      <c r="N31" s="67"/>
      <c r="O31" s="30"/>
      <c r="P31" s="67"/>
      <c r="Q31" s="67"/>
      <c r="R31" s="30"/>
      <c r="S31" s="67"/>
      <c r="T31" s="67"/>
      <c r="U31" s="30"/>
      <c r="V31" s="67"/>
      <c r="W31" s="67"/>
      <c r="X31" s="30"/>
      <c r="Y31" s="67"/>
      <c r="Z31" s="67"/>
      <c r="AA31" s="30"/>
      <c r="AB31" s="67"/>
      <c r="AC31" s="67"/>
      <c r="AD31" s="30"/>
      <c r="AE31" s="30"/>
      <c r="AF31" s="30"/>
      <c r="AG31" s="30"/>
      <c r="AH31" s="30"/>
      <c r="AI31" s="30"/>
      <c r="AJ31" s="30"/>
      <c r="AK31" s="30"/>
      <c r="AL31" s="30"/>
    </row>
    <row r="32" spans="1:38">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row>
    <row r="33" spans="1:38">
      <c r="A33" s="2" t="s">
        <v>193</v>
      </c>
      <c r="C33" s="690">
        <v>4.7999999999999996E-3</v>
      </c>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row>
    <row r="35" spans="1:38">
      <c r="A35" s="74"/>
    </row>
    <row r="37" spans="1:38">
      <c r="B37" s="34"/>
    </row>
  </sheetData>
  <phoneticPr fontId="4" type="noConversion"/>
  <pageMargins left="0.5" right="0.25" top="1" bottom="0.5" header="0.5" footer="0.5"/>
  <pageSetup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8F"/>
    <pageSetUpPr fitToPage="1"/>
  </sheetPr>
  <dimension ref="A1:AL36"/>
  <sheetViews>
    <sheetView showGridLines="0" zoomScaleNormal="100" workbookViewId="0">
      <selection activeCell="C36" sqref="C36"/>
    </sheetView>
  </sheetViews>
  <sheetFormatPr defaultRowHeight="15.75"/>
  <cols>
    <col min="1" max="1" width="18.125" style="2" customWidth="1"/>
    <col min="2" max="2" width="12.625" style="2" bestFit="1" customWidth="1"/>
    <col min="3" max="3" width="10.625" style="2" bestFit="1" customWidth="1"/>
    <col min="4" max="4" width="2.375" style="2" customWidth="1"/>
    <col min="5" max="5" width="9" style="2"/>
    <col min="6" max="6" width="14.75" style="2" bestFit="1" customWidth="1"/>
    <col min="7" max="7" width="1.625" style="2" customWidth="1"/>
    <col min="8" max="8" width="11.125" style="2" bestFit="1" customWidth="1"/>
    <col min="9" max="9" width="1.625" style="2" customWidth="1"/>
    <col min="10" max="10" width="12.875" style="2" customWidth="1"/>
    <col min="11" max="11" width="9" style="2"/>
    <col min="12" max="12" width="10.125" style="2" bestFit="1" customWidth="1"/>
    <col min="13" max="16384" width="9" style="2"/>
  </cols>
  <sheetData>
    <row r="1" spans="1:16" ht="18.75">
      <c r="A1" s="38" t="s">
        <v>114</v>
      </c>
    </row>
    <row r="2" spans="1:16">
      <c r="E2" s="3"/>
      <c r="F2" s="3" t="s">
        <v>97</v>
      </c>
      <c r="G2" s="3"/>
      <c r="H2" s="3" t="s">
        <v>98</v>
      </c>
      <c r="I2" s="3"/>
      <c r="J2" s="3" t="s">
        <v>12</v>
      </c>
    </row>
    <row r="3" spans="1:16">
      <c r="A3" s="2" t="s">
        <v>155</v>
      </c>
      <c r="E3" s="3"/>
      <c r="F3" s="3" t="s">
        <v>99</v>
      </c>
      <c r="G3" s="3"/>
      <c r="H3" s="3" t="s">
        <v>100</v>
      </c>
      <c r="I3" s="3"/>
      <c r="J3" s="3" t="s">
        <v>101</v>
      </c>
    </row>
    <row r="4" spans="1:16">
      <c r="A4" s="30"/>
      <c r="B4" s="30"/>
      <c r="E4" s="3" t="s">
        <v>103</v>
      </c>
      <c r="F4" s="3" t="s">
        <v>102</v>
      </c>
      <c r="G4" s="3"/>
      <c r="H4" s="3" t="s">
        <v>102</v>
      </c>
      <c r="I4" s="3"/>
      <c r="J4" s="3" t="s">
        <v>52</v>
      </c>
    </row>
    <row r="5" spans="1:16">
      <c r="A5" s="28" t="s">
        <v>30</v>
      </c>
      <c r="B5" s="31">
        <f>ROUND(C34,0)</f>
        <v>35834</v>
      </c>
      <c r="E5" s="98">
        <v>1366</v>
      </c>
      <c r="F5" s="143">
        <f>'Att GG True Up '!F81</f>
        <v>930790.55077103665</v>
      </c>
      <c r="G5" s="32"/>
      <c r="H5" s="192">
        <f t="shared" ref="H5:H15" si="0">F5/F$18</f>
        <v>2.4822795796841469E-2</v>
      </c>
      <c r="I5" s="32"/>
      <c r="J5" s="22">
        <f t="shared" ref="J5:J15" si="1">ROUND(H5*$B$5,2)</f>
        <v>889.5</v>
      </c>
      <c r="L5" s="232"/>
      <c r="P5" s="21"/>
    </row>
    <row r="6" spans="1:16">
      <c r="A6" s="28"/>
      <c r="B6" s="31"/>
      <c r="E6" s="98">
        <v>1456</v>
      </c>
      <c r="F6" s="143">
        <f>'Att GG True Up '!F121</f>
        <v>459778.48317807046</v>
      </c>
      <c r="G6" s="32"/>
      <c r="H6" s="192">
        <f t="shared" si="0"/>
        <v>1.2261606427199551E-2</v>
      </c>
      <c r="I6" s="32"/>
      <c r="J6" s="22">
        <f t="shared" si="1"/>
        <v>439.38</v>
      </c>
      <c r="L6" s="232"/>
      <c r="P6" s="21"/>
    </row>
    <row r="7" spans="1:16">
      <c r="A7" s="28"/>
      <c r="B7" s="31"/>
      <c r="E7" s="98">
        <v>1457</v>
      </c>
      <c r="F7" s="143">
        <f>'Att GG True Up '!F161</f>
        <v>617972.19631568203</v>
      </c>
      <c r="G7" s="32"/>
      <c r="H7" s="192">
        <f t="shared" si="0"/>
        <v>1.6480396824573276E-2</v>
      </c>
      <c r="I7" s="32"/>
      <c r="J7" s="22">
        <f t="shared" si="1"/>
        <v>590.55999999999995</v>
      </c>
      <c r="L7" s="232"/>
      <c r="P7" s="21"/>
    </row>
    <row r="8" spans="1:16">
      <c r="A8" s="28"/>
      <c r="B8" s="31"/>
      <c r="E8" s="98">
        <v>1953</v>
      </c>
      <c r="F8" s="143">
        <f>'Att GG True Up '!F203</f>
        <v>1096978.1575125768</v>
      </c>
      <c r="G8" s="32"/>
      <c r="H8" s="192">
        <f t="shared" si="0"/>
        <v>2.9254771414442906E-2</v>
      </c>
      <c r="I8" s="32"/>
      <c r="J8" s="22">
        <f t="shared" si="1"/>
        <v>1048.32</v>
      </c>
      <c r="L8" s="232"/>
      <c r="P8" s="21"/>
    </row>
    <row r="9" spans="1:16">
      <c r="A9" s="28"/>
      <c r="B9" s="31"/>
      <c r="E9" s="98">
        <v>279</v>
      </c>
      <c r="F9" s="143">
        <f>'Att GG True Up '!F243</f>
        <v>4031377.3474604078</v>
      </c>
      <c r="G9" s="32"/>
      <c r="H9" s="192">
        <f t="shared" si="0"/>
        <v>0.10751082141210752</v>
      </c>
      <c r="I9" s="32"/>
      <c r="J9" s="22">
        <f t="shared" si="1"/>
        <v>3852.54</v>
      </c>
      <c r="L9" s="232"/>
      <c r="P9" s="21"/>
    </row>
    <row r="10" spans="1:16">
      <c r="A10" s="28"/>
      <c r="B10" s="31"/>
      <c r="E10" s="98">
        <v>1024</v>
      </c>
      <c r="F10" s="143">
        <f>'Att GG True Up '!F327</f>
        <v>30197018.764985129</v>
      </c>
      <c r="G10" s="32"/>
      <c r="H10" s="192">
        <f t="shared" si="0"/>
        <v>0.80530945426518652</v>
      </c>
      <c r="I10" s="32"/>
      <c r="J10" s="22">
        <f t="shared" si="1"/>
        <v>28857.46</v>
      </c>
      <c r="L10" s="232"/>
      <c r="P10" s="21"/>
    </row>
    <row r="11" spans="1:16">
      <c r="A11" s="28"/>
      <c r="B11" s="31"/>
      <c r="E11" s="98">
        <v>1458</v>
      </c>
      <c r="F11" s="143">
        <f>'Att GG True Up '!F367</f>
        <v>64828.948989303288</v>
      </c>
      <c r="G11" s="32"/>
      <c r="H11" s="192">
        <f t="shared" si="0"/>
        <v>1.7288913828704955E-3</v>
      </c>
      <c r="I11" s="32"/>
      <c r="J11" s="22">
        <f t="shared" si="1"/>
        <v>61.95</v>
      </c>
      <c r="L11" s="232"/>
      <c r="P11" s="21"/>
    </row>
    <row r="12" spans="1:16">
      <c r="A12" s="28"/>
      <c r="B12" s="31"/>
      <c r="E12" s="98">
        <v>2765</v>
      </c>
      <c r="F12" s="143">
        <f>'Att GG True Up '!F409</f>
        <v>17235.548651717618</v>
      </c>
      <c r="G12" s="32"/>
      <c r="H12" s="192">
        <f t="shared" si="0"/>
        <v>4.5964637723675705E-4</v>
      </c>
      <c r="I12" s="32"/>
      <c r="J12" s="22">
        <f t="shared" si="1"/>
        <v>16.47</v>
      </c>
      <c r="L12" s="232"/>
      <c r="P12" s="21"/>
    </row>
    <row r="13" spans="1:16">
      <c r="A13" s="28"/>
      <c r="B13" s="31"/>
      <c r="E13" s="98">
        <v>2109</v>
      </c>
      <c r="F13" s="143">
        <f>'Att GG True Up '!F451</f>
        <v>5599.663552114197</v>
      </c>
      <c r="G13" s="32"/>
      <c r="H13" s="192">
        <f t="shared" si="0"/>
        <v>1.4933467552931661E-4</v>
      </c>
      <c r="I13" s="32"/>
      <c r="J13" s="22">
        <f t="shared" si="1"/>
        <v>5.35</v>
      </c>
      <c r="L13" s="232"/>
      <c r="P13" s="21"/>
    </row>
    <row r="14" spans="1:16">
      <c r="A14" s="28"/>
      <c r="B14" s="31"/>
      <c r="E14" s="98">
        <v>2119</v>
      </c>
      <c r="F14" s="143">
        <f>'Att GG True Up '!F493</f>
        <v>27808.504480376574</v>
      </c>
      <c r="G14" s="32"/>
      <c r="H14" s="192">
        <f t="shared" si="0"/>
        <v>7.4161134055360711E-4</v>
      </c>
      <c r="I14" s="32"/>
      <c r="J14" s="22">
        <f t="shared" si="1"/>
        <v>26.57</v>
      </c>
      <c r="L14" s="232"/>
      <c r="P14" s="21"/>
    </row>
    <row r="15" spans="1:16">
      <c r="A15" s="28"/>
      <c r="B15" s="31"/>
      <c r="E15" s="98">
        <v>3104</v>
      </c>
      <c r="F15" s="143">
        <f>'Att GG True Up '!F664</f>
        <v>48021.811164804829</v>
      </c>
      <c r="G15" s="32"/>
      <c r="H15" s="192">
        <f t="shared" si="0"/>
        <v>1.2806700834586133E-3</v>
      </c>
      <c r="I15" s="32"/>
      <c r="J15" s="22">
        <f t="shared" si="1"/>
        <v>45.89</v>
      </c>
      <c r="L15" s="232"/>
      <c r="P15" s="21"/>
    </row>
    <row r="16" spans="1:16" s="172" customFormat="1">
      <c r="A16" s="28"/>
      <c r="B16" s="31"/>
      <c r="E16" s="98"/>
      <c r="F16" s="143"/>
      <c r="G16" s="32"/>
      <c r="H16" s="192">
        <f t="shared" ref="H16" si="2">F16/F$18</f>
        <v>0</v>
      </c>
      <c r="I16" s="32"/>
      <c r="J16" s="22">
        <f t="shared" ref="J16" si="3">ROUND(H16*$B$5,2)</f>
        <v>0</v>
      </c>
      <c r="L16" s="232"/>
      <c r="P16" s="21"/>
    </row>
    <row r="17" spans="1:38">
      <c r="A17" s="30"/>
      <c r="B17" s="30"/>
      <c r="E17" s="98"/>
      <c r="F17" s="143"/>
      <c r="G17" s="32"/>
      <c r="H17" s="192"/>
      <c r="I17" s="32"/>
      <c r="J17" s="22"/>
      <c r="L17" s="232"/>
    </row>
    <row r="18" spans="1:38" ht="16.5" thickBot="1">
      <c r="A18" s="30"/>
      <c r="B18" s="30"/>
      <c r="F18" s="62">
        <f>SUM(F5:F17)</f>
        <v>37497409.97706122</v>
      </c>
      <c r="G18" s="64"/>
      <c r="H18" s="193">
        <f>SUM(H5:H17)</f>
        <v>1</v>
      </c>
      <c r="I18" s="64"/>
      <c r="J18" s="189">
        <f>SUM(J5:J17)</f>
        <v>35833.99</v>
      </c>
    </row>
    <row r="19" spans="1:38" ht="16.5" thickTop="1">
      <c r="A19" s="30"/>
      <c r="B19" s="30"/>
    </row>
    <row r="20" spans="1:38">
      <c r="A20" s="30"/>
      <c r="B20" s="30"/>
      <c r="F20" s="31">
        <f>'Att GG True Up '!F869</f>
        <v>37497409.97706122</v>
      </c>
    </row>
    <row r="21" spans="1:38">
      <c r="A21" s="30"/>
      <c r="B21" s="30"/>
    </row>
    <row r="22" spans="1:38">
      <c r="H22" s="161"/>
    </row>
    <row r="23" spans="1:38">
      <c r="A23" s="2" t="s">
        <v>104</v>
      </c>
      <c r="E23" s="30"/>
      <c r="F23" s="30"/>
      <c r="G23" s="30"/>
      <c r="H23" s="162"/>
      <c r="I23" s="30"/>
      <c r="J23" s="30"/>
      <c r="K23" s="30"/>
      <c r="L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row>
    <row r="24" spans="1:38">
      <c r="B24" s="37" t="s">
        <v>154</v>
      </c>
      <c r="E24" s="30"/>
      <c r="F24" s="30"/>
      <c r="G24" s="30"/>
      <c r="H24" s="162"/>
      <c r="I24" s="30"/>
      <c r="J24" s="63"/>
      <c r="K24" s="30"/>
      <c r="L24" s="30"/>
      <c r="O24" s="30"/>
      <c r="P24" s="63"/>
      <c r="Q24" s="30"/>
      <c r="R24" s="30"/>
      <c r="S24" s="63"/>
      <c r="T24" s="30"/>
      <c r="U24" s="30"/>
      <c r="V24" s="63"/>
      <c r="W24" s="30"/>
      <c r="X24" s="30"/>
      <c r="Y24" s="63"/>
      <c r="Z24" s="30"/>
      <c r="AA24" s="30"/>
      <c r="AB24" s="63"/>
      <c r="AC24" s="30"/>
      <c r="AD24" s="30"/>
      <c r="AE24" s="30"/>
      <c r="AF24" s="30"/>
      <c r="AG24" s="30"/>
      <c r="AH24" s="30"/>
      <c r="AI24" s="30"/>
      <c r="AJ24" s="30"/>
      <c r="AK24" s="30"/>
      <c r="AL24" s="30"/>
    </row>
    <row r="25" spans="1:38">
      <c r="B25" s="36" t="s">
        <v>105</v>
      </c>
      <c r="C25" s="3" t="s">
        <v>52</v>
      </c>
      <c r="E25" s="63"/>
      <c r="F25" s="30"/>
      <c r="G25" s="30"/>
      <c r="H25" s="162"/>
      <c r="I25" s="30"/>
      <c r="J25" s="63"/>
      <c r="K25" s="63"/>
      <c r="L25" s="30"/>
      <c r="O25" s="30"/>
      <c r="P25" s="63"/>
      <c r="Q25" s="63"/>
      <c r="R25" s="30"/>
      <c r="S25" s="63"/>
      <c r="T25" s="63"/>
      <c r="U25" s="30"/>
      <c r="V25" s="63"/>
      <c r="W25" s="63"/>
      <c r="X25" s="30"/>
      <c r="Y25" s="63"/>
      <c r="Z25" s="63"/>
      <c r="AA25" s="30"/>
      <c r="AB25" s="63"/>
      <c r="AC25" s="63"/>
      <c r="AD25" s="30"/>
      <c r="AE25" s="30"/>
      <c r="AF25" s="30"/>
      <c r="AG25" s="30"/>
      <c r="AH25" s="30"/>
      <c r="AI25" s="30"/>
      <c r="AJ25" s="30"/>
      <c r="AK25" s="30"/>
      <c r="AL25" s="30"/>
    </row>
    <row r="26" spans="1:38">
      <c r="A26" s="562" t="s">
        <v>534</v>
      </c>
      <c r="B26" s="33">
        <f>'Att GG True Up '!K79+'Att GG True Up '!K119+'Att GG True Up '!K159+'Att GG True Up '!K201+'Att GG True Up '!K241+'Att GG True Up '!K325+'Att GG True Up '!K365+'Att GG True Up '!K407+'Att GG True Up '!K449+'Att GG True Up '!K491+'Att GG True Up '!K662</f>
        <v>527459.05202496133</v>
      </c>
      <c r="C26" s="33">
        <f t="shared" ref="C26:C33" si="4">ROUND(B26*$C$36/4,0)</f>
        <v>4352</v>
      </c>
      <c r="E26" s="66"/>
      <c r="F26" s="30"/>
      <c r="G26" s="30"/>
      <c r="H26" s="163"/>
      <c r="I26" s="30"/>
      <c r="J26" s="66"/>
      <c r="K26" s="66"/>
      <c r="L26" s="30"/>
      <c r="O26" s="30"/>
      <c r="P26" s="66"/>
      <c r="Q26" s="66"/>
      <c r="R26" s="30"/>
      <c r="S26" s="66"/>
      <c r="T26" s="66"/>
      <c r="U26" s="30"/>
      <c r="V26" s="66"/>
      <c r="W26" s="66"/>
      <c r="X26" s="30"/>
      <c r="Y26" s="66"/>
      <c r="Z26" s="66"/>
      <c r="AA26" s="30"/>
      <c r="AB26" s="66"/>
      <c r="AC26" s="66"/>
      <c r="AD26" s="30"/>
      <c r="AE26" s="30"/>
      <c r="AF26" s="30"/>
      <c r="AG26" s="30"/>
      <c r="AH26" s="30"/>
      <c r="AI26" s="30"/>
      <c r="AJ26" s="30"/>
      <c r="AK26" s="30"/>
      <c r="AL26" s="30"/>
    </row>
    <row r="27" spans="1:38">
      <c r="A27" s="562" t="s">
        <v>535</v>
      </c>
      <c r="B27" s="33">
        <f t="shared" ref="B27:B33" si="5">B26+C26</f>
        <v>531811.05202496133</v>
      </c>
      <c r="C27" s="33">
        <f t="shared" si="4"/>
        <v>4387</v>
      </c>
      <c r="E27" s="66"/>
      <c r="F27" s="30"/>
      <c r="G27" s="30"/>
      <c r="H27" s="30"/>
      <c r="I27" s="30"/>
      <c r="J27" s="66"/>
      <c r="K27" s="66"/>
      <c r="L27" s="30"/>
      <c r="O27" s="30"/>
      <c r="P27" s="66"/>
      <c r="Q27" s="66"/>
      <c r="R27" s="30"/>
      <c r="S27" s="66"/>
      <c r="T27" s="66"/>
      <c r="U27" s="30"/>
      <c r="V27" s="66"/>
      <c r="W27" s="66"/>
      <c r="X27" s="30"/>
      <c r="Y27" s="66"/>
      <c r="Z27" s="66"/>
      <c r="AA27" s="30"/>
      <c r="AB27" s="66"/>
      <c r="AC27" s="66"/>
      <c r="AD27" s="30"/>
      <c r="AE27" s="30"/>
      <c r="AF27" s="30"/>
      <c r="AG27" s="30"/>
      <c r="AH27" s="30"/>
      <c r="AI27" s="30"/>
      <c r="AJ27" s="30"/>
      <c r="AK27" s="30"/>
      <c r="AL27" s="30"/>
    </row>
    <row r="28" spans="1:38">
      <c r="A28" s="562" t="s">
        <v>536</v>
      </c>
      <c r="B28" s="33">
        <f t="shared" si="5"/>
        <v>536198.05202496133</v>
      </c>
      <c r="C28" s="33">
        <f t="shared" si="4"/>
        <v>4424</v>
      </c>
      <c r="E28" s="66"/>
      <c r="F28" s="30"/>
      <c r="G28" s="30"/>
      <c r="H28" s="30"/>
      <c r="I28" s="30"/>
      <c r="J28" s="66"/>
      <c r="K28" s="66"/>
      <c r="L28" s="30"/>
      <c r="O28" s="30"/>
      <c r="P28" s="66"/>
      <c r="Q28" s="66"/>
      <c r="R28" s="30"/>
      <c r="S28" s="66"/>
      <c r="T28" s="66"/>
      <c r="U28" s="30"/>
      <c r="V28" s="66"/>
      <c r="W28" s="66"/>
      <c r="X28" s="30"/>
      <c r="Y28" s="66"/>
      <c r="Z28" s="66"/>
      <c r="AA28" s="30"/>
      <c r="AB28" s="66"/>
      <c r="AC28" s="66"/>
      <c r="AD28" s="30"/>
      <c r="AE28" s="30"/>
      <c r="AF28" s="30"/>
      <c r="AG28" s="30"/>
      <c r="AH28" s="30"/>
      <c r="AI28" s="30"/>
      <c r="AJ28" s="30"/>
      <c r="AK28" s="30"/>
      <c r="AL28" s="30"/>
    </row>
    <row r="29" spans="1:38">
      <c r="A29" s="562" t="s">
        <v>537</v>
      </c>
      <c r="B29" s="33">
        <f t="shared" si="5"/>
        <v>540622.05202496133</v>
      </c>
      <c r="C29" s="33">
        <f t="shared" si="4"/>
        <v>4460</v>
      </c>
      <c r="E29" s="66"/>
      <c r="F29" s="30"/>
      <c r="G29" s="30"/>
      <c r="H29" s="30"/>
      <c r="I29" s="30"/>
      <c r="J29" s="66"/>
      <c r="K29" s="66"/>
      <c r="L29" s="30"/>
      <c r="O29" s="30"/>
      <c r="P29" s="66"/>
      <c r="Q29" s="66"/>
      <c r="R29" s="30"/>
      <c r="S29" s="66"/>
      <c r="T29" s="66"/>
      <c r="U29" s="30"/>
      <c r="V29" s="66"/>
      <c r="W29" s="66"/>
      <c r="X29" s="30"/>
      <c r="Y29" s="66"/>
      <c r="Z29" s="66"/>
      <c r="AA29" s="30"/>
      <c r="AB29" s="66"/>
      <c r="AC29" s="66"/>
      <c r="AD29" s="30"/>
      <c r="AE29" s="30"/>
      <c r="AF29" s="30"/>
      <c r="AG29" s="30"/>
      <c r="AH29" s="30"/>
      <c r="AI29" s="30"/>
      <c r="AJ29" s="30"/>
      <c r="AK29" s="30"/>
      <c r="AL29" s="30"/>
    </row>
    <row r="30" spans="1:38">
      <c r="A30" s="562" t="s">
        <v>576</v>
      </c>
      <c r="B30" s="33">
        <f t="shared" si="5"/>
        <v>545082.05202496133</v>
      </c>
      <c r="C30" s="33">
        <f t="shared" si="4"/>
        <v>4497</v>
      </c>
      <c r="E30" s="66"/>
      <c r="F30" s="30"/>
      <c r="G30" s="30"/>
      <c r="H30" s="30"/>
      <c r="I30" s="30"/>
      <c r="J30" s="66"/>
      <c r="K30" s="66"/>
      <c r="L30" s="30"/>
      <c r="O30" s="30"/>
      <c r="P30" s="66"/>
      <c r="Q30" s="66"/>
      <c r="R30" s="30"/>
      <c r="S30" s="66"/>
      <c r="T30" s="66"/>
      <c r="U30" s="30"/>
      <c r="V30" s="66"/>
      <c r="W30" s="66"/>
      <c r="X30" s="30"/>
      <c r="Y30" s="66"/>
      <c r="Z30" s="66"/>
      <c r="AA30" s="30"/>
      <c r="AB30" s="66"/>
      <c r="AC30" s="66"/>
      <c r="AD30" s="30"/>
      <c r="AE30" s="30"/>
      <c r="AF30" s="30"/>
      <c r="AG30" s="30"/>
      <c r="AH30" s="30"/>
      <c r="AI30" s="30"/>
      <c r="AJ30" s="30"/>
      <c r="AK30" s="30"/>
      <c r="AL30" s="30"/>
    </row>
    <row r="31" spans="1:38">
      <c r="A31" s="562" t="s">
        <v>577</v>
      </c>
      <c r="B31" s="33">
        <f t="shared" si="5"/>
        <v>549579.05202496133</v>
      </c>
      <c r="C31" s="33">
        <f t="shared" si="4"/>
        <v>4534</v>
      </c>
      <c r="E31" s="66"/>
      <c r="F31" s="30"/>
      <c r="G31" s="30"/>
      <c r="H31" s="30"/>
      <c r="I31" s="30"/>
      <c r="J31" s="66"/>
      <c r="K31" s="66"/>
      <c r="L31" s="30"/>
      <c r="O31" s="30"/>
      <c r="P31" s="66"/>
      <c r="Q31" s="66"/>
      <c r="R31" s="30"/>
      <c r="S31" s="66"/>
      <c r="T31" s="66"/>
      <c r="U31" s="30"/>
      <c r="V31" s="66"/>
      <c r="W31" s="66"/>
      <c r="X31" s="30"/>
      <c r="Y31" s="66"/>
      <c r="Z31" s="66"/>
      <c r="AA31" s="30"/>
      <c r="AB31" s="66"/>
      <c r="AC31" s="66"/>
      <c r="AD31" s="30"/>
      <c r="AE31" s="30"/>
      <c r="AF31" s="30"/>
      <c r="AG31" s="30"/>
      <c r="AH31" s="30"/>
      <c r="AI31" s="30"/>
      <c r="AJ31" s="30"/>
      <c r="AK31" s="30"/>
      <c r="AL31" s="30"/>
    </row>
    <row r="32" spans="1:38">
      <c r="A32" s="562" t="s">
        <v>578</v>
      </c>
      <c r="B32" s="33">
        <f t="shared" si="5"/>
        <v>554113.05202496133</v>
      </c>
      <c r="C32" s="33">
        <f t="shared" si="4"/>
        <v>4571</v>
      </c>
      <c r="E32" s="66"/>
      <c r="F32" s="30"/>
      <c r="G32" s="30"/>
      <c r="H32" s="30"/>
      <c r="I32" s="30"/>
      <c r="J32" s="66"/>
      <c r="K32" s="66"/>
      <c r="L32" s="30"/>
      <c r="O32" s="30"/>
      <c r="P32" s="66"/>
      <c r="Q32" s="66"/>
      <c r="R32" s="30"/>
      <c r="S32" s="66"/>
      <c r="T32" s="66"/>
      <c r="U32" s="30"/>
      <c r="V32" s="66"/>
      <c r="W32" s="66"/>
      <c r="X32" s="30"/>
      <c r="Y32" s="66"/>
      <c r="Z32" s="66"/>
      <c r="AA32" s="30"/>
      <c r="AB32" s="66"/>
      <c r="AC32" s="66"/>
      <c r="AD32" s="30"/>
      <c r="AE32" s="30"/>
      <c r="AF32" s="30"/>
      <c r="AG32" s="30"/>
      <c r="AH32" s="30"/>
      <c r="AI32" s="30"/>
      <c r="AJ32" s="30"/>
      <c r="AK32" s="30"/>
      <c r="AL32" s="30"/>
    </row>
    <row r="33" spans="1:38">
      <c r="A33" s="562" t="s">
        <v>579</v>
      </c>
      <c r="B33" s="33">
        <f t="shared" si="5"/>
        <v>558684.05202496133</v>
      </c>
      <c r="C33" s="33">
        <f t="shared" si="4"/>
        <v>4609</v>
      </c>
      <c r="E33" s="66"/>
      <c r="F33" s="30"/>
      <c r="G33" s="30"/>
      <c r="H33" s="30"/>
      <c r="I33" s="30"/>
      <c r="J33" s="66"/>
      <c r="K33" s="66"/>
      <c r="L33" s="30"/>
      <c r="O33" s="30"/>
      <c r="P33" s="66"/>
      <c r="Q33" s="66"/>
      <c r="R33" s="30"/>
      <c r="S33" s="66"/>
      <c r="T33" s="66"/>
      <c r="U33" s="30"/>
      <c r="V33" s="66"/>
      <c r="W33" s="66"/>
      <c r="X33" s="30"/>
      <c r="Y33" s="66"/>
      <c r="Z33" s="66"/>
      <c r="AA33" s="30"/>
      <c r="AB33" s="66"/>
      <c r="AC33" s="66"/>
      <c r="AD33" s="30"/>
      <c r="AE33" s="30"/>
      <c r="AF33" s="30"/>
      <c r="AG33" s="30"/>
      <c r="AH33" s="30"/>
      <c r="AI33" s="30"/>
      <c r="AJ33" s="30"/>
      <c r="AK33" s="30"/>
      <c r="AL33" s="30"/>
    </row>
    <row r="34" spans="1:38">
      <c r="A34" s="2" t="s">
        <v>106</v>
      </c>
      <c r="B34" s="34"/>
      <c r="C34" s="35">
        <f>SUM(C26:C33)</f>
        <v>35834</v>
      </c>
      <c r="E34" s="67"/>
      <c r="F34" s="67"/>
      <c r="G34" s="30"/>
      <c r="H34" s="30"/>
      <c r="I34" s="30"/>
      <c r="J34" s="67"/>
      <c r="K34" s="67"/>
      <c r="L34" s="30"/>
      <c r="O34" s="30"/>
      <c r="P34" s="67"/>
      <c r="Q34" s="67"/>
      <c r="R34" s="30"/>
      <c r="S34" s="67"/>
      <c r="T34" s="67"/>
      <c r="U34" s="30"/>
      <c r="V34" s="67"/>
      <c r="W34" s="67"/>
      <c r="X34" s="30"/>
      <c r="Y34" s="67"/>
      <c r="Z34" s="67"/>
      <c r="AA34" s="30"/>
      <c r="AB34" s="67"/>
      <c r="AC34" s="67"/>
      <c r="AD34" s="30"/>
      <c r="AE34" s="30"/>
      <c r="AF34" s="30"/>
      <c r="AG34" s="30"/>
      <c r="AH34" s="30"/>
      <c r="AI34" s="30"/>
      <c r="AJ34" s="30"/>
      <c r="AK34" s="30"/>
      <c r="AL34" s="30"/>
    </row>
    <row r="35" spans="1:38">
      <c r="E35" s="30"/>
      <c r="F35" s="30"/>
      <c r="G35" s="30"/>
      <c r="H35" s="30"/>
      <c r="I35" s="30"/>
      <c r="J35" s="30"/>
      <c r="K35" s="30"/>
      <c r="L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row>
    <row r="36" spans="1:38">
      <c r="A36" s="2" t="s">
        <v>156</v>
      </c>
      <c r="C36" s="73">
        <v>3.3000000000000002E-2</v>
      </c>
      <c r="E36" s="30"/>
      <c r="F36" s="30"/>
      <c r="G36" s="30"/>
      <c r="H36" s="30"/>
      <c r="I36" s="30"/>
      <c r="J36" s="30"/>
      <c r="K36" s="30"/>
      <c r="L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row>
  </sheetData>
  <phoneticPr fontId="4" type="noConversion"/>
  <pageMargins left="0.5" right="0.25" top="1" bottom="1" header="0.5" footer="0.5"/>
  <pageSetup scale="9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8F"/>
  </sheetPr>
  <dimension ref="A1:BM307"/>
  <sheetViews>
    <sheetView showGridLines="0" topLeftCell="G59" zoomScale="80" zoomScaleNormal="80" zoomScaleSheetLayoutView="85" workbookViewId="0">
      <selection activeCell="R101" sqref="R101"/>
    </sheetView>
  </sheetViews>
  <sheetFormatPr defaultRowHeight="12.75"/>
  <cols>
    <col min="1" max="1" width="6.75" style="233" customWidth="1"/>
    <col min="2" max="2" width="1.625" style="233" customWidth="1"/>
    <col min="3" max="3" width="44" style="233" customWidth="1"/>
    <col min="4" max="4" width="13.5" style="233" customWidth="1"/>
    <col min="5" max="5" width="16.25" style="233" customWidth="1"/>
    <col min="6" max="6" width="13.375" style="233" customWidth="1"/>
    <col min="7" max="7" width="15.875" style="233" customWidth="1"/>
    <col min="8" max="8" width="15.625" style="233" customWidth="1"/>
    <col min="9" max="9" width="14.375" style="233" customWidth="1"/>
    <col min="10" max="10" width="16.25" style="233" customWidth="1"/>
    <col min="11" max="11" width="15.25" style="233" customWidth="1"/>
    <col min="12" max="12" width="17.25" style="233" customWidth="1"/>
    <col min="13" max="13" width="14.375" style="233" customWidth="1"/>
    <col min="14" max="14" width="15.625" style="233" customWidth="1"/>
    <col min="15" max="15" width="2.125" style="233" customWidth="1"/>
    <col min="16" max="16" width="15.625" style="233" customWidth="1"/>
    <col min="17" max="17" width="3.125" style="233" customWidth="1"/>
    <col min="18" max="18" width="16.5" style="233" bestFit="1" customWidth="1"/>
    <col min="19" max="16384" width="9" style="233"/>
  </cols>
  <sheetData>
    <row r="1" spans="1:65" ht="15" customHeight="1">
      <c r="N1" s="234"/>
    </row>
    <row r="2" spans="1:65" ht="15" customHeight="1">
      <c r="N2" s="234"/>
    </row>
    <row r="3" spans="1:65" ht="15" customHeight="1"/>
    <row r="4" spans="1:65" ht="15" customHeight="1">
      <c r="N4" s="234" t="s">
        <v>44</v>
      </c>
    </row>
    <row r="5" spans="1:65" ht="15" customHeight="1">
      <c r="C5" s="235" t="s">
        <v>293</v>
      </c>
      <c r="D5" s="235"/>
      <c r="E5" s="235"/>
      <c r="F5" s="235"/>
      <c r="G5" s="236" t="s">
        <v>294</v>
      </c>
      <c r="H5" s="235"/>
      <c r="I5" s="235"/>
      <c r="J5" s="235"/>
      <c r="K5" s="237"/>
      <c r="M5" s="238"/>
      <c r="N5" s="239" t="s">
        <v>603</v>
      </c>
      <c r="O5" s="240"/>
      <c r="P5" s="241"/>
      <c r="Q5" s="241"/>
      <c r="R5" s="240"/>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row>
    <row r="6" spans="1:65" ht="15" customHeight="1">
      <c r="C6" s="235"/>
      <c r="D6" s="235"/>
      <c r="E6" s="243" t="s">
        <v>295</v>
      </c>
      <c r="F6" s="243"/>
      <c r="G6" s="243" t="s">
        <v>296</v>
      </c>
      <c r="H6" s="243"/>
      <c r="I6" s="243"/>
      <c r="J6" s="243"/>
      <c r="K6" s="237"/>
      <c r="M6" s="238"/>
      <c r="N6" s="237"/>
      <c r="O6" s="240"/>
      <c r="P6" s="244"/>
      <c r="Q6" s="241"/>
      <c r="R6" s="240"/>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row>
    <row r="7" spans="1:65" ht="15" customHeight="1">
      <c r="C7" s="238"/>
      <c r="D7" s="238"/>
      <c r="E7" s="238"/>
      <c r="F7" s="238"/>
      <c r="G7" s="238"/>
      <c r="H7" s="238"/>
      <c r="I7" s="238"/>
      <c r="J7" s="238"/>
      <c r="K7" s="238"/>
      <c r="M7" s="238"/>
      <c r="N7" s="238" t="s">
        <v>297</v>
      </c>
      <c r="O7" s="240"/>
      <c r="P7" s="241"/>
      <c r="Q7" s="241"/>
      <c r="R7" s="240"/>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c r="BC7" s="242"/>
      <c r="BD7" s="242"/>
      <c r="BE7" s="242"/>
      <c r="BF7" s="242"/>
      <c r="BG7" s="242"/>
      <c r="BH7" s="242"/>
      <c r="BI7" s="242"/>
      <c r="BJ7" s="242"/>
      <c r="BK7" s="242"/>
      <c r="BL7" s="242"/>
      <c r="BM7" s="242"/>
    </row>
    <row r="8" spans="1:65" ht="15" customHeight="1">
      <c r="A8" s="245"/>
      <c r="C8" s="238"/>
      <c r="D8" s="238"/>
      <c r="E8" s="238"/>
      <c r="F8" s="246"/>
      <c r="G8" s="247" t="s">
        <v>298</v>
      </c>
      <c r="H8" s="246"/>
      <c r="I8" s="238"/>
      <c r="J8" s="238"/>
      <c r="K8" s="238"/>
      <c r="L8" s="238"/>
      <c r="M8" s="238"/>
      <c r="N8" s="238"/>
      <c r="O8" s="240"/>
      <c r="P8" s="241"/>
      <c r="Q8" s="241"/>
      <c r="R8" s="240"/>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242"/>
      <c r="BJ8" s="242"/>
      <c r="BK8" s="242"/>
      <c r="BL8" s="242"/>
      <c r="BM8" s="242"/>
    </row>
    <row r="9" spans="1:65" ht="15" customHeight="1">
      <c r="A9" s="245"/>
      <c r="C9" s="238"/>
      <c r="D9" s="238"/>
      <c r="E9" s="238"/>
      <c r="F9" s="238"/>
      <c r="G9" s="248"/>
      <c r="H9" s="238"/>
      <c r="I9" s="238"/>
      <c r="J9" s="238"/>
      <c r="K9" s="238"/>
      <c r="L9" s="238"/>
      <c r="M9" s="238"/>
      <c r="N9" s="238"/>
      <c r="O9" s="240"/>
      <c r="P9" s="241"/>
      <c r="Q9" s="241"/>
      <c r="R9" s="240"/>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c r="BH9" s="242"/>
      <c r="BI9" s="242"/>
      <c r="BJ9" s="242"/>
      <c r="BK9" s="242"/>
      <c r="BL9" s="242"/>
      <c r="BM9" s="242"/>
    </row>
    <row r="10" spans="1:65" ht="15" customHeight="1">
      <c r="A10" s="245"/>
      <c r="C10" s="238" t="s">
        <v>299</v>
      </c>
      <c r="D10" s="238"/>
      <c r="E10" s="238"/>
      <c r="F10" s="238"/>
      <c r="G10" s="248"/>
      <c r="H10" s="238"/>
      <c r="I10" s="238"/>
      <c r="J10" s="238"/>
      <c r="K10" s="238"/>
      <c r="L10" s="238"/>
      <c r="M10" s="238"/>
      <c r="N10" s="238"/>
      <c r="O10" s="240"/>
      <c r="P10" s="241"/>
      <c r="Q10" s="241"/>
      <c r="R10" s="240"/>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242"/>
      <c r="BK10" s="242"/>
      <c r="BL10" s="242"/>
      <c r="BM10" s="242"/>
    </row>
    <row r="11" spans="1:65" ht="15" customHeight="1">
      <c r="A11" s="245"/>
      <c r="C11" s="238"/>
      <c r="D11" s="238"/>
      <c r="E11" s="238"/>
      <c r="F11" s="238"/>
      <c r="G11" s="248"/>
      <c r="L11" s="238"/>
      <c r="M11" s="238"/>
      <c r="N11" s="238"/>
      <c r="O11" s="240"/>
      <c r="P11" s="240"/>
      <c r="Q11" s="240"/>
      <c r="R11" s="240"/>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2"/>
      <c r="BI11" s="242"/>
      <c r="BJ11" s="242"/>
      <c r="BK11" s="242"/>
      <c r="BL11" s="242"/>
      <c r="BM11" s="242"/>
    </row>
    <row r="12" spans="1:65" ht="15" customHeight="1">
      <c r="A12" s="245"/>
      <c r="C12" s="238"/>
      <c r="D12" s="238"/>
      <c r="E12" s="238"/>
      <c r="F12" s="238"/>
      <c r="G12" s="238"/>
      <c r="L12" s="249"/>
      <c r="M12" s="238"/>
      <c r="N12" s="238"/>
      <c r="O12" s="240"/>
      <c r="P12" s="240"/>
      <c r="Q12" s="240"/>
      <c r="R12" s="240"/>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2"/>
      <c r="BH12" s="242"/>
      <c r="BI12" s="242"/>
      <c r="BJ12" s="242"/>
      <c r="BK12" s="242"/>
      <c r="BL12" s="242"/>
      <c r="BM12" s="242"/>
    </row>
    <row r="13" spans="1:65" ht="15" customHeight="1">
      <c r="C13" s="250" t="s">
        <v>300</v>
      </c>
      <c r="D13" s="250"/>
      <c r="E13" s="250" t="s">
        <v>301</v>
      </c>
      <c r="F13" s="250"/>
      <c r="G13" s="250" t="s">
        <v>302</v>
      </c>
      <c r="L13" s="251" t="s">
        <v>303</v>
      </c>
      <c r="M13" s="243"/>
      <c r="N13" s="251"/>
      <c r="O13" s="252"/>
      <c r="P13" s="251"/>
      <c r="Q13" s="252"/>
      <c r="R13" s="253"/>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242"/>
      <c r="BH13" s="242"/>
      <c r="BI13" s="242"/>
      <c r="BJ13" s="242"/>
      <c r="BK13" s="242"/>
      <c r="BL13" s="242"/>
      <c r="BM13" s="242"/>
    </row>
    <row r="14" spans="1:65" ht="15" customHeight="1">
      <c r="C14" s="254"/>
      <c r="D14" s="254"/>
      <c r="E14" s="255" t="s">
        <v>304</v>
      </c>
      <c r="F14" s="255"/>
      <c r="G14" s="243"/>
      <c r="M14" s="243"/>
      <c r="O14" s="252"/>
      <c r="P14" s="256"/>
      <c r="Q14" s="256"/>
      <c r="R14" s="253"/>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242"/>
      <c r="AZ14" s="242"/>
      <c r="BA14" s="242"/>
      <c r="BB14" s="242"/>
      <c r="BC14" s="242"/>
      <c r="BD14" s="242"/>
      <c r="BE14" s="242"/>
      <c r="BF14" s="242"/>
      <c r="BG14" s="242"/>
      <c r="BH14" s="242"/>
      <c r="BI14" s="242"/>
      <c r="BJ14" s="242"/>
      <c r="BK14" s="242"/>
      <c r="BL14" s="242"/>
      <c r="BM14" s="242"/>
    </row>
    <row r="15" spans="1:65" ht="15" customHeight="1">
      <c r="A15" s="245" t="s">
        <v>305</v>
      </c>
      <c r="C15" s="254"/>
      <c r="D15" s="254"/>
      <c r="E15" s="257" t="s">
        <v>306</v>
      </c>
      <c r="F15" s="257"/>
      <c r="G15" s="258" t="s">
        <v>307</v>
      </c>
      <c r="L15" s="258" t="s">
        <v>308</v>
      </c>
      <c r="M15" s="243"/>
      <c r="O15" s="240"/>
      <c r="P15" s="259"/>
      <c r="Q15" s="256"/>
      <c r="R15" s="253"/>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2"/>
      <c r="BL15" s="242"/>
      <c r="BM15" s="242"/>
    </row>
    <row r="16" spans="1:65" ht="15" customHeight="1">
      <c r="A16" s="245" t="s">
        <v>309</v>
      </c>
      <c r="C16" s="260"/>
      <c r="D16" s="260"/>
      <c r="E16" s="243"/>
      <c r="F16" s="243"/>
      <c r="G16" s="243"/>
      <c r="L16" s="243"/>
      <c r="M16" s="243"/>
      <c r="N16" s="243"/>
      <c r="O16" s="240"/>
      <c r="P16" s="252"/>
      <c r="Q16" s="252"/>
      <c r="R16" s="253"/>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row>
    <row r="17" spans="1:65" ht="15" customHeight="1">
      <c r="A17" s="261"/>
      <c r="C17" s="254"/>
      <c r="D17" s="254"/>
      <c r="E17" s="243"/>
      <c r="F17" s="243"/>
      <c r="G17" s="243"/>
      <c r="L17" s="243"/>
      <c r="M17" s="243"/>
      <c r="N17" s="243"/>
      <c r="O17" s="240"/>
      <c r="P17" s="252"/>
      <c r="Q17" s="252"/>
      <c r="R17" s="253"/>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242"/>
      <c r="BG17" s="242"/>
      <c r="BH17" s="242"/>
      <c r="BI17" s="242"/>
      <c r="BJ17" s="242"/>
      <c r="BK17" s="242"/>
      <c r="BL17" s="242"/>
      <c r="BM17" s="242"/>
    </row>
    <row r="18" spans="1:65" ht="15" customHeight="1">
      <c r="A18" s="262">
        <v>1</v>
      </c>
      <c r="C18" s="254" t="s">
        <v>310</v>
      </c>
      <c r="D18" s="254"/>
      <c r="E18" s="263" t="s">
        <v>311</v>
      </c>
      <c r="F18" s="263"/>
      <c r="G18" s="264">
        <v>3952228206.9005342</v>
      </c>
      <c r="M18" s="243"/>
      <c r="N18" s="243"/>
      <c r="O18" s="240"/>
      <c r="P18" s="252"/>
      <c r="Q18" s="252"/>
      <c r="R18" s="253"/>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row>
    <row r="19" spans="1:65" ht="15" customHeight="1">
      <c r="A19" s="262">
        <v>2</v>
      </c>
      <c r="C19" s="254" t="s">
        <v>312</v>
      </c>
      <c r="D19" s="254"/>
      <c r="E19" s="263" t="s">
        <v>313</v>
      </c>
      <c r="F19" s="263"/>
      <c r="G19" s="264">
        <v>3003267449.6138339</v>
      </c>
      <c r="M19" s="243"/>
      <c r="N19" s="243"/>
      <c r="O19" s="240"/>
      <c r="P19" s="252"/>
      <c r="Q19" s="252"/>
      <c r="R19" s="253"/>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c r="BG19" s="242"/>
      <c r="BH19" s="242"/>
      <c r="BI19" s="242"/>
      <c r="BJ19" s="242"/>
      <c r="BK19" s="242"/>
      <c r="BL19" s="242"/>
      <c r="BM19" s="242"/>
    </row>
    <row r="20" spans="1:65" ht="15" customHeight="1">
      <c r="A20" s="262"/>
      <c r="E20" s="263"/>
      <c r="F20" s="263"/>
      <c r="M20" s="243"/>
      <c r="N20" s="243"/>
      <c r="O20" s="240"/>
      <c r="P20" s="252"/>
      <c r="Q20" s="252"/>
      <c r="R20" s="253"/>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c r="BH20" s="242"/>
      <c r="BI20" s="242"/>
      <c r="BJ20" s="242"/>
      <c r="BK20" s="242"/>
      <c r="BL20" s="242"/>
      <c r="BM20" s="242"/>
    </row>
    <row r="21" spans="1:65" ht="15" customHeight="1">
      <c r="A21" s="262"/>
      <c r="C21" s="254" t="s">
        <v>314</v>
      </c>
      <c r="D21" s="254"/>
      <c r="E21" s="263"/>
      <c r="F21" s="263"/>
      <c r="G21" s="243"/>
      <c r="L21" s="243"/>
      <c r="M21" s="243"/>
      <c r="N21" s="243"/>
      <c r="O21" s="252"/>
      <c r="P21" s="252"/>
      <c r="Q21" s="252"/>
      <c r="R21" s="253"/>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242"/>
      <c r="BL21" s="242"/>
      <c r="BM21" s="242"/>
    </row>
    <row r="22" spans="1:65" ht="15" customHeight="1">
      <c r="A22" s="262">
        <v>3</v>
      </c>
      <c r="C22" s="254" t="s">
        <v>315</v>
      </c>
      <c r="D22" s="254"/>
      <c r="E22" s="263" t="s">
        <v>316</v>
      </c>
      <c r="F22" s="263"/>
      <c r="G22" s="265">
        <v>62124765.792302936</v>
      </c>
      <c r="M22" s="243"/>
      <c r="N22" s="243"/>
      <c r="O22" s="252"/>
      <c r="P22" s="252"/>
      <c r="Q22" s="252"/>
      <c r="R22" s="253"/>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c r="BG22" s="242"/>
      <c r="BH22" s="242"/>
      <c r="BI22" s="242"/>
      <c r="BJ22" s="242"/>
      <c r="BK22" s="242"/>
      <c r="BL22" s="242"/>
      <c r="BM22" s="242"/>
    </row>
    <row r="23" spans="1:65" ht="15" customHeight="1">
      <c r="A23" s="262">
        <v>4</v>
      </c>
      <c r="C23" s="254" t="s">
        <v>317</v>
      </c>
      <c r="D23" s="254"/>
      <c r="E23" s="263" t="s">
        <v>318</v>
      </c>
      <c r="F23" s="263"/>
      <c r="G23" s="266">
        <f>IF(G22=0,0,G22/G18)</f>
        <v>1.571892171707949E-2</v>
      </c>
      <c r="L23" s="267">
        <f>G23</f>
        <v>1.571892171707949E-2</v>
      </c>
      <c r="M23" s="243"/>
      <c r="N23" s="268"/>
      <c r="O23" s="269"/>
      <c r="P23" s="270"/>
      <c r="Q23" s="252"/>
      <c r="R23" s="253"/>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242"/>
      <c r="BG23" s="242"/>
      <c r="BH23" s="242"/>
      <c r="BI23" s="242"/>
      <c r="BJ23" s="242"/>
      <c r="BK23" s="242"/>
      <c r="BL23" s="242"/>
      <c r="BM23" s="242"/>
    </row>
    <row r="24" spans="1:65" ht="15" customHeight="1">
      <c r="A24" s="262"/>
      <c r="C24" s="254"/>
      <c r="D24" s="254"/>
      <c r="E24" s="263"/>
      <c r="F24" s="263"/>
      <c r="G24" s="266"/>
      <c r="L24" s="271"/>
      <c r="M24" s="243"/>
      <c r="N24" s="268"/>
      <c r="O24" s="269"/>
      <c r="P24" s="270"/>
      <c r="Q24" s="252"/>
      <c r="R24" s="253"/>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row>
    <row r="25" spans="1:65" ht="15" customHeight="1">
      <c r="A25" s="272"/>
      <c r="B25" s="242"/>
      <c r="C25" s="254" t="s">
        <v>319</v>
      </c>
      <c r="D25" s="254"/>
      <c r="E25" s="273"/>
      <c r="F25" s="273"/>
      <c r="G25" s="243"/>
      <c r="I25" s="242"/>
      <c r="J25" s="242"/>
      <c r="K25" s="242"/>
      <c r="L25" s="243"/>
      <c r="M25" s="243"/>
      <c r="N25" s="268"/>
      <c r="O25" s="269"/>
      <c r="P25" s="270"/>
      <c r="Q25" s="252"/>
      <c r="R25" s="253"/>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row>
    <row r="26" spans="1:65" ht="15" customHeight="1">
      <c r="A26" s="272" t="s">
        <v>320</v>
      </c>
      <c r="B26" s="242"/>
      <c r="C26" s="254" t="s">
        <v>321</v>
      </c>
      <c r="D26" s="254"/>
      <c r="E26" s="263" t="s">
        <v>322</v>
      </c>
      <c r="F26" s="263"/>
      <c r="G26" s="265">
        <v>4078981.5272018611</v>
      </c>
      <c r="I26" s="242"/>
      <c r="J26" s="242"/>
      <c r="K26" s="242"/>
      <c r="L26" s="242"/>
      <c r="M26" s="243"/>
      <c r="N26" s="268"/>
      <c r="O26" s="269"/>
      <c r="P26" s="270"/>
      <c r="Q26" s="252"/>
      <c r="R26" s="253"/>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242"/>
      <c r="BG26" s="242"/>
      <c r="BH26" s="242"/>
      <c r="BI26" s="242"/>
      <c r="BJ26" s="242"/>
      <c r="BK26" s="242"/>
      <c r="BL26" s="242"/>
      <c r="BM26" s="242"/>
    </row>
    <row r="27" spans="1:65" ht="15" customHeight="1">
      <c r="A27" s="272" t="s">
        <v>323</v>
      </c>
      <c r="B27" s="242"/>
      <c r="C27" s="254" t="s">
        <v>324</v>
      </c>
      <c r="D27" s="254"/>
      <c r="E27" s="263" t="s">
        <v>325</v>
      </c>
      <c r="F27" s="263"/>
      <c r="G27" s="266">
        <f>IF(G26=0,0,G26/G18)</f>
        <v>1.0320713566286525E-3</v>
      </c>
      <c r="I27" s="242"/>
      <c r="J27" s="242"/>
      <c r="K27" s="242"/>
      <c r="L27" s="267">
        <f>G27</f>
        <v>1.0320713566286525E-3</v>
      </c>
      <c r="M27" s="243"/>
      <c r="N27" s="268"/>
      <c r="O27" s="269"/>
      <c r="P27" s="270"/>
      <c r="Q27" s="252"/>
      <c r="R27" s="253"/>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row>
    <row r="28" spans="1:65" ht="15" customHeight="1">
      <c r="A28" s="262"/>
      <c r="C28" s="254"/>
      <c r="D28" s="254"/>
      <c r="E28" s="263"/>
      <c r="F28" s="263"/>
      <c r="G28" s="266"/>
      <c r="L28" s="271"/>
      <c r="M28" s="243"/>
      <c r="N28" s="268"/>
      <c r="O28" s="269"/>
      <c r="P28" s="270"/>
      <c r="Q28" s="252"/>
      <c r="R28" s="253"/>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2"/>
      <c r="BL28" s="242"/>
      <c r="BM28" s="242"/>
    </row>
    <row r="29" spans="1:65" ht="15" customHeight="1">
      <c r="A29" s="274"/>
      <c r="C29" s="254" t="s">
        <v>326</v>
      </c>
      <c r="D29" s="254"/>
      <c r="E29" s="273"/>
      <c r="F29" s="273"/>
      <c r="G29" s="243"/>
      <c r="L29" s="243"/>
      <c r="M29" s="243"/>
      <c r="N29" s="243"/>
      <c r="O29" s="252"/>
      <c r="P29" s="243"/>
      <c r="Q29" s="252"/>
      <c r="R29" s="253"/>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row>
    <row r="30" spans="1:65" ht="15" customHeight="1">
      <c r="A30" s="274" t="s">
        <v>327</v>
      </c>
      <c r="C30" s="254" t="s">
        <v>328</v>
      </c>
      <c r="D30" s="254"/>
      <c r="E30" s="263" t="s">
        <v>329</v>
      </c>
      <c r="F30" s="263"/>
      <c r="G30" s="265">
        <v>40849467.28888163</v>
      </c>
      <c r="M30" s="243"/>
      <c r="N30" s="275"/>
      <c r="O30" s="252"/>
      <c r="P30" s="276"/>
      <c r="Q30" s="256"/>
      <c r="R30" s="253"/>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c r="BH30" s="242"/>
      <c r="BI30" s="242"/>
      <c r="BJ30" s="242"/>
      <c r="BK30" s="242"/>
      <c r="BL30" s="242"/>
      <c r="BM30" s="242"/>
    </row>
    <row r="31" spans="1:65" ht="15" customHeight="1">
      <c r="A31" s="274" t="s">
        <v>330</v>
      </c>
      <c r="C31" s="254" t="s">
        <v>331</v>
      </c>
      <c r="D31" s="254"/>
      <c r="E31" s="263" t="s">
        <v>332</v>
      </c>
      <c r="F31" s="263"/>
      <c r="G31" s="266">
        <f>IF(G30=0,0,G30/G18)</f>
        <v>1.0335806828552825E-2</v>
      </c>
      <c r="L31" s="267">
        <f>G31</f>
        <v>1.0335806828552825E-2</v>
      </c>
      <c r="M31" s="243"/>
      <c r="N31" s="268"/>
      <c r="O31" s="252"/>
      <c r="P31" s="270"/>
      <c r="Q31" s="256"/>
      <c r="R31" s="253"/>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row>
    <row r="32" spans="1:65" ht="15" customHeight="1">
      <c r="A32" s="274"/>
      <c r="C32" s="254"/>
      <c r="D32" s="254"/>
      <c r="E32" s="263"/>
      <c r="F32" s="263"/>
      <c r="G32" s="243"/>
      <c r="L32" s="243"/>
      <c r="M32" s="243"/>
      <c r="Q32" s="252"/>
      <c r="R32" s="253"/>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row>
    <row r="33" spans="1:65" ht="15" customHeight="1">
      <c r="A33" s="277" t="s">
        <v>333</v>
      </c>
      <c r="B33" s="278"/>
      <c r="C33" s="260" t="s">
        <v>334</v>
      </c>
      <c r="D33" s="260"/>
      <c r="E33" s="255" t="s">
        <v>335</v>
      </c>
      <c r="F33" s="255"/>
      <c r="G33" s="279"/>
      <c r="L33" s="280">
        <f>L23+L27+L31</f>
        <v>2.7086799902260969E-2</v>
      </c>
      <c r="M33" s="243"/>
      <c r="Q33" s="252"/>
      <c r="R33" s="253"/>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row>
    <row r="34" spans="1:65" ht="15" customHeight="1">
      <c r="A34" s="274"/>
      <c r="C34" s="254"/>
      <c r="D34" s="254"/>
      <c r="E34" s="263"/>
      <c r="F34" s="263"/>
      <c r="G34" s="243"/>
      <c r="L34" s="243"/>
      <c r="M34" s="243"/>
      <c r="N34" s="243"/>
      <c r="O34" s="252"/>
      <c r="P34" s="281"/>
      <c r="Q34" s="252"/>
      <c r="R34" s="253"/>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row>
    <row r="35" spans="1:65" ht="15" customHeight="1">
      <c r="A35" s="272"/>
      <c r="B35" s="282"/>
      <c r="C35" s="243" t="s">
        <v>336</v>
      </c>
      <c r="D35" s="243"/>
      <c r="E35" s="263"/>
      <c r="F35" s="263"/>
      <c r="G35" s="243"/>
      <c r="L35" s="243"/>
      <c r="M35" s="283"/>
      <c r="N35" s="282"/>
      <c r="Q35" s="256"/>
      <c r="R35" s="252" t="s">
        <v>295</v>
      </c>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row>
    <row r="36" spans="1:65" ht="15" customHeight="1">
      <c r="A36" s="274" t="s">
        <v>337</v>
      </c>
      <c r="B36" s="282"/>
      <c r="C36" s="243" t="s">
        <v>338</v>
      </c>
      <c r="D36" s="243"/>
      <c r="E36" s="263" t="s">
        <v>339</v>
      </c>
      <c r="F36" s="263"/>
      <c r="G36" s="265">
        <v>109724193.77589448</v>
      </c>
      <c r="L36" s="243"/>
      <c r="M36" s="283"/>
      <c r="N36" s="282"/>
      <c r="Q36" s="256"/>
      <c r="R36" s="25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row>
    <row r="37" spans="1:65" ht="15" customHeight="1">
      <c r="A37" s="274" t="s">
        <v>340</v>
      </c>
      <c r="B37" s="282"/>
      <c r="C37" s="243" t="s">
        <v>341</v>
      </c>
      <c r="D37" s="243"/>
      <c r="E37" s="263" t="s">
        <v>342</v>
      </c>
      <c r="F37" s="263"/>
      <c r="G37" s="266">
        <f>IF(G36=0,0,G36/G19)</f>
        <v>3.6534939234267344E-2</v>
      </c>
      <c r="L37" s="267">
        <f>G37</f>
        <v>3.6534939234267344E-2</v>
      </c>
      <c r="M37" s="283"/>
      <c r="N37" s="282"/>
      <c r="O37" s="252"/>
      <c r="P37" s="252"/>
      <c r="Q37" s="256"/>
      <c r="R37" s="25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row>
    <row r="38" spans="1:65" ht="15" customHeight="1">
      <c r="A38" s="274"/>
      <c r="C38" s="243"/>
      <c r="D38" s="243"/>
      <c r="E38" s="263"/>
      <c r="F38" s="263"/>
      <c r="G38" s="243"/>
      <c r="L38" s="243"/>
      <c r="M38" s="243"/>
      <c r="O38" s="240"/>
      <c r="P38" s="252"/>
      <c r="Q38" s="240"/>
      <c r="R38" s="253"/>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row>
    <row r="39" spans="1:65" ht="15" customHeight="1">
      <c r="A39" s="274"/>
      <c r="C39" s="254" t="s">
        <v>343</v>
      </c>
      <c r="D39" s="254"/>
      <c r="E39" s="284"/>
      <c r="F39" s="284"/>
      <c r="M39" s="243"/>
      <c r="O39" s="252"/>
      <c r="P39" s="252"/>
      <c r="Q39" s="252"/>
      <c r="R39" s="253"/>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row>
    <row r="40" spans="1:65" ht="15" customHeight="1">
      <c r="A40" s="274" t="s">
        <v>344</v>
      </c>
      <c r="C40" s="254" t="s">
        <v>345</v>
      </c>
      <c r="D40" s="254"/>
      <c r="E40" s="263" t="s">
        <v>346</v>
      </c>
      <c r="F40" s="263"/>
      <c r="G40" s="265">
        <v>212254210.03916329</v>
      </c>
      <c r="L40" s="243"/>
      <c r="M40" s="243"/>
      <c r="O40" s="252"/>
      <c r="P40" s="252"/>
      <c r="Q40" s="252"/>
      <c r="R40" s="253"/>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row>
    <row r="41" spans="1:65" ht="15" customHeight="1">
      <c r="A41" s="274" t="s">
        <v>347</v>
      </c>
      <c r="B41" s="282"/>
      <c r="C41" s="243" t="s">
        <v>348</v>
      </c>
      <c r="D41" s="243"/>
      <c r="E41" s="263" t="s">
        <v>349</v>
      </c>
      <c r="F41" s="263"/>
      <c r="G41" s="285">
        <f>IF(G40=0,0,G40/G19)</f>
        <v>7.06744283019001E-2</v>
      </c>
      <c r="L41" s="267">
        <f>G41</f>
        <v>7.06744283019001E-2</v>
      </c>
      <c r="M41" s="243"/>
      <c r="P41" s="286"/>
      <c r="Q41" s="256"/>
      <c r="R41" s="25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row>
    <row r="42" spans="1:65" ht="15" customHeight="1">
      <c r="A42" s="274"/>
      <c r="C42" s="254"/>
      <c r="D42" s="254"/>
      <c r="E42" s="263"/>
      <c r="F42" s="263"/>
      <c r="G42" s="243"/>
      <c r="L42" s="243"/>
      <c r="M42" s="243"/>
      <c r="N42" s="284"/>
      <c r="O42" s="252"/>
      <c r="P42" s="252"/>
      <c r="Q42" s="252"/>
      <c r="R42" s="253"/>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row>
    <row r="43" spans="1:65" ht="15" customHeight="1">
      <c r="A43" s="277" t="s">
        <v>350</v>
      </c>
      <c r="B43" s="278"/>
      <c r="C43" s="260" t="s">
        <v>351</v>
      </c>
      <c r="D43" s="260"/>
      <c r="E43" s="255" t="s">
        <v>352</v>
      </c>
      <c r="F43" s="255"/>
      <c r="G43" s="279"/>
      <c r="L43" s="280">
        <f>L37+L41</f>
        <v>0.10720936753616744</v>
      </c>
      <c r="M43" s="243"/>
      <c r="N43" s="284"/>
      <c r="O43" s="252"/>
      <c r="P43" s="252"/>
      <c r="Q43" s="252"/>
      <c r="R43" s="253"/>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row>
    <row r="44" spans="1:65" ht="15" customHeight="1">
      <c r="M44" s="287"/>
      <c r="N44" s="287"/>
      <c r="O44" s="252"/>
      <c r="P44" s="252"/>
      <c r="Q44" s="252"/>
      <c r="R44" s="253"/>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row>
    <row r="45" spans="1:65" ht="15" customHeight="1">
      <c r="M45" s="287"/>
      <c r="N45" s="287"/>
      <c r="O45" s="252"/>
      <c r="P45" s="252"/>
      <c r="Q45" s="252"/>
      <c r="R45" s="253"/>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row>
    <row r="46" spans="1:65" ht="15" customHeight="1">
      <c r="M46" s="287"/>
      <c r="N46" s="287"/>
      <c r="O46" s="252"/>
      <c r="P46" s="252"/>
      <c r="Q46" s="252"/>
      <c r="R46" s="253"/>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row>
    <row r="47" spans="1:65" ht="15" customHeight="1">
      <c r="M47" s="238"/>
      <c r="N47" s="238"/>
      <c r="O47" s="253"/>
      <c r="P47" s="253"/>
      <c r="Q47" s="253"/>
      <c r="R47" s="253"/>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row>
    <row r="48" spans="1:65" ht="15" customHeight="1">
      <c r="M48" s="243"/>
      <c r="N48" s="243"/>
      <c r="O48" s="252"/>
      <c r="P48" s="240"/>
      <c r="Q48" s="252"/>
      <c r="R48" s="253"/>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row>
    <row r="49" spans="1:65" ht="15" customHeight="1">
      <c r="M49" s="243"/>
      <c r="N49" s="268"/>
      <c r="O49" s="252"/>
      <c r="P49" s="252"/>
      <c r="Q49" s="276"/>
      <c r="R49" s="25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row>
    <row r="50" spans="1:65" ht="15" customHeight="1">
      <c r="M50" s="243"/>
      <c r="N50" s="268"/>
      <c r="O50" s="252"/>
      <c r="P50" s="252"/>
      <c r="Q50" s="276"/>
      <c r="R50" s="25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row>
    <row r="51" spans="1:65" ht="15" customHeight="1">
      <c r="M51" s="243"/>
      <c r="N51" s="268"/>
      <c r="O51" s="252"/>
      <c r="P51" s="252"/>
      <c r="Q51" s="276"/>
      <c r="R51" s="25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row>
    <row r="52" spans="1:65" ht="15" customHeight="1">
      <c r="A52" s="272"/>
      <c r="B52" s="282"/>
      <c r="C52" s="288"/>
      <c r="D52" s="288"/>
      <c r="E52" s="273"/>
      <c r="F52" s="273"/>
      <c r="G52" s="243"/>
      <c r="H52" s="288"/>
      <c r="I52" s="288"/>
      <c r="J52" s="266"/>
      <c r="K52" s="288"/>
      <c r="L52" s="243"/>
      <c r="M52" s="243"/>
      <c r="N52" s="268"/>
      <c r="O52" s="252"/>
      <c r="P52" s="252"/>
      <c r="Q52" s="276"/>
      <c r="R52" s="25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row>
    <row r="53" spans="1:65" ht="15" customHeight="1">
      <c r="A53" s="272"/>
      <c r="B53" s="282"/>
      <c r="C53" s="288"/>
      <c r="D53" s="288"/>
      <c r="E53" s="273"/>
      <c r="F53" s="273"/>
      <c r="G53" s="243"/>
      <c r="H53" s="288"/>
      <c r="I53" s="288"/>
      <c r="J53" s="266"/>
      <c r="K53" s="288"/>
      <c r="L53" s="243"/>
      <c r="M53" s="243"/>
      <c r="N53" s="268"/>
      <c r="O53" s="252"/>
      <c r="P53" s="252"/>
      <c r="Q53" s="276"/>
      <c r="R53" s="25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row>
    <row r="54" spans="1:65" ht="15" customHeight="1">
      <c r="A54" s="289"/>
      <c r="B54" s="242"/>
      <c r="C54" s="272"/>
      <c r="D54" s="272"/>
      <c r="E54" s="273"/>
      <c r="F54" s="273"/>
      <c r="G54" s="243"/>
      <c r="H54" s="288"/>
      <c r="I54" s="288"/>
      <c r="J54" s="266"/>
      <c r="K54" s="288"/>
      <c r="M54" s="243"/>
      <c r="N54" s="290"/>
      <c r="O54" s="291"/>
      <c r="P54" s="252"/>
      <c r="Q54" s="276"/>
      <c r="R54" s="25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c r="BJ54" s="242"/>
      <c r="BK54" s="242"/>
      <c r="BL54" s="242"/>
      <c r="BM54" s="242"/>
    </row>
    <row r="55" spans="1:65" ht="15" customHeight="1">
      <c r="A55" s="289"/>
      <c r="B55" s="242"/>
      <c r="C55" s="272"/>
      <c r="D55" s="272"/>
      <c r="E55" s="273"/>
      <c r="F55" s="273"/>
      <c r="G55" s="243"/>
      <c r="H55" s="288"/>
      <c r="I55" s="288"/>
      <c r="J55" s="266"/>
      <c r="K55" s="288"/>
      <c r="M55" s="243"/>
      <c r="N55" s="268"/>
      <c r="O55" s="291"/>
      <c r="P55" s="252"/>
      <c r="Q55" s="276"/>
      <c r="R55" s="25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2"/>
      <c r="AY55" s="242"/>
      <c r="AZ55" s="242"/>
      <c r="BA55" s="242"/>
      <c r="BB55" s="242"/>
      <c r="BC55" s="242"/>
      <c r="BD55" s="242"/>
      <c r="BE55" s="242"/>
      <c r="BF55" s="242"/>
      <c r="BG55" s="242"/>
      <c r="BH55" s="242"/>
      <c r="BI55" s="242"/>
      <c r="BJ55" s="242"/>
      <c r="BK55" s="242"/>
      <c r="BL55" s="242"/>
      <c r="BM55" s="242"/>
    </row>
    <row r="56" spans="1:65" ht="15" customHeight="1">
      <c r="A56" s="292"/>
      <c r="B56" s="242"/>
      <c r="C56" s="272"/>
      <c r="D56" s="272"/>
      <c r="E56" s="273"/>
      <c r="F56" s="273"/>
      <c r="G56" s="243"/>
      <c r="H56" s="288"/>
      <c r="I56" s="288"/>
      <c r="J56" s="266"/>
      <c r="K56" s="288"/>
      <c r="M56" s="243"/>
      <c r="N56" s="268"/>
      <c r="O56" s="291"/>
      <c r="P56" s="252"/>
      <c r="Q56" s="276"/>
      <c r="R56" s="25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row>
    <row r="57" spans="1:65" ht="15" customHeight="1">
      <c r="A57" s="245"/>
      <c r="C57" s="288"/>
      <c r="D57" s="288"/>
      <c r="E57" s="288"/>
      <c r="F57" s="288"/>
      <c r="G57" s="243"/>
      <c r="H57" s="288"/>
      <c r="I57" s="288"/>
      <c r="J57" s="288"/>
      <c r="K57" s="288"/>
      <c r="M57" s="243"/>
      <c r="N57" s="243"/>
      <c r="O57" s="252"/>
      <c r="P57" s="252"/>
      <c r="Q57" s="256"/>
      <c r="R57" s="252" t="s">
        <v>295</v>
      </c>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2"/>
      <c r="AY57" s="242"/>
      <c r="AZ57" s="242"/>
      <c r="BA57" s="242"/>
      <c r="BB57" s="242"/>
      <c r="BC57" s="242"/>
      <c r="BD57" s="242"/>
      <c r="BE57" s="242"/>
      <c r="BF57" s="242"/>
      <c r="BG57" s="242"/>
      <c r="BH57" s="242"/>
      <c r="BI57" s="242"/>
      <c r="BJ57" s="242"/>
      <c r="BK57" s="242"/>
      <c r="BL57" s="242"/>
      <c r="BM57" s="242"/>
    </row>
    <row r="58" spans="1:65" ht="15" customHeight="1">
      <c r="N58" s="234"/>
    </row>
    <row r="59" spans="1:65" ht="15" customHeight="1">
      <c r="N59" s="234"/>
    </row>
    <row r="60" spans="1:65" ht="15" customHeight="1"/>
    <row r="61" spans="1:65" ht="15.75">
      <c r="A61" s="245"/>
      <c r="C61" s="288"/>
      <c r="D61" s="288"/>
      <c r="E61" s="288"/>
      <c r="F61" s="288"/>
      <c r="G61" s="243"/>
      <c r="H61" s="288"/>
      <c r="I61" s="288"/>
      <c r="J61" s="288"/>
      <c r="K61" s="288"/>
      <c r="M61" s="243"/>
      <c r="N61" s="234" t="s">
        <v>44</v>
      </c>
      <c r="O61" s="252"/>
      <c r="P61" s="240"/>
      <c r="Q61" s="252"/>
      <c r="R61" s="253"/>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2"/>
      <c r="AY61" s="242"/>
      <c r="AZ61" s="242"/>
      <c r="BA61" s="242"/>
      <c r="BB61" s="242"/>
      <c r="BC61" s="242"/>
      <c r="BD61" s="242"/>
      <c r="BE61" s="242"/>
      <c r="BF61" s="242"/>
      <c r="BG61" s="242"/>
      <c r="BH61" s="242"/>
      <c r="BI61" s="242"/>
      <c r="BJ61" s="242"/>
      <c r="BK61" s="242"/>
      <c r="BL61" s="242"/>
      <c r="BM61" s="242"/>
    </row>
    <row r="62" spans="1:65" ht="15.75">
      <c r="A62" s="245"/>
      <c r="C62" s="254" t="str">
        <f>C5</f>
        <v>Formula Rate calculation</v>
      </c>
      <c r="D62" s="254"/>
      <c r="E62" s="288"/>
      <c r="F62" s="288"/>
      <c r="G62" s="288" t="str">
        <f>G5</f>
        <v xml:space="preserve">     Rate Formula Template</v>
      </c>
      <c r="H62" s="288"/>
      <c r="I62" s="288"/>
      <c r="J62" s="288"/>
      <c r="K62" s="288"/>
      <c r="M62" s="243"/>
      <c r="N62" s="293" t="str">
        <f>N5</f>
        <v>For  the 12 months ended 12/31/15</v>
      </c>
      <c r="O62" s="252"/>
      <c r="P62" s="240"/>
      <c r="Q62" s="252"/>
      <c r="R62" s="253"/>
      <c r="S62" s="242"/>
      <c r="T62" s="242"/>
      <c r="U62" s="242"/>
      <c r="V62" s="242"/>
      <c r="W62" s="242"/>
      <c r="X62" s="242"/>
      <c r="Y62" s="242"/>
      <c r="Z62" s="242"/>
      <c r="AA62" s="242"/>
      <c r="AB62" s="242"/>
      <c r="AC62" s="242"/>
      <c r="AD62" s="242"/>
      <c r="AE62" s="242"/>
      <c r="AF62" s="242"/>
      <c r="AG62" s="242"/>
      <c r="AH62" s="242"/>
      <c r="AI62" s="242"/>
      <c r="AJ62" s="242"/>
      <c r="AK62" s="242"/>
      <c r="AL62" s="242"/>
      <c r="AM62" s="242"/>
      <c r="AN62" s="242"/>
      <c r="AO62" s="242"/>
      <c r="AP62" s="242"/>
      <c r="AQ62" s="242"/>
      <c r="AR62" s="242"/>
      <c r="AS62" s="242"/>
      <c r="AT62" s="242"/>
      <c r="AU62" s="242"/>
      <c r="AV62" s="242"/>
      <c r="AW62" s="242"/>
      <c r="AX62" s="242"/>
      <c r="AY62" s="242"/>
      <c r="AZ62" s="242"/>
      <c r="BA62" s="242"/>
      <c r="BB62" s="242"/>
      <c r="BC62" s="242"/>
      <c r="BD62" s="242"/>
      <c r="BE62" s="242"/>
      <c r="BF62" s="242"/>
      <c r="BG62" s="242"/>
      <c r="BH62" s="242"/>
      <c r="BI62" s="242"/>
      <c r="BJ62" s="242"/>
      <c r="BK62" s="242"/>
      <c r="BL62" s="242"/>
      <c r="BM62" s="242"/>
    </row>
    <row r="63" spans="1:65" ht="15.75">
      <c r="A63" s="245"/>
      <c r="C63" s="254"/>
      <c r="D63" s="254"/>
      <c r="E63" s="288"/>
      <c r="F63" s="288"/>
      <c r="G63" s="288" t="str">
        <f>G6</f>
        <v xml:space="preserve"> Utilizing Attachment O Data</v>
      </c>
      <c r="H63" s="288"/>
      <c r="I63" s="288"/>
      <c r="J63" s="288"/>
      <c r="K63" s="288"/>
      <c r="L63" s="243"/>
      <c r="M63" s="243"/>
      <c r="O63" s="252"/>
      <c r="P63" s="240"/>
      <c r="Q63" s="252"/>
      <c r="R63" s="253"/>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2"/>
      <c r="AY63" s="242"/>
      <c r="AZ63" s="242"/>
      <c r="BA63" s="242"/>
      <c r="BB63" s="242"/>
      <c r="BC63" s="242"/>
      <c r="BD63" s="242"/>
      <c r="BE63" s="242"/>
      <c r="BF63" s="242"/>
      <c r="BG63" s="242"/>
      <c r="BH63" s="242"/>
      <c r="BI63" s="242"/>
      <c r="BJ63" s="242"/>
      <c r="BK63" s="242"/>
      <c r="BL63" s="242"/>
      <c r="BM63" s="242"/>
    </row>
    <row r="64" spans="1:65" ht="14.25" customHeight="1">
      <c r="A64" s="245"/>
      <c r="C64" s="288"/>
      <c r="D64" s="288"/>
      <c r="E64" s="288"/>
      <c r="F64" s="288"/>
      <c r="G64" s="288"/>
      <c r="H64" s="288"/>
      <c r="I64" s="288"/>
      <c r="J64" s="288"/>
      <c r="K64" s="288"/>
      <c r="M64" s="243"/>
      <c r="N64" s="288" t="s">
        <v>353</v>
      </c>
      <c r="O64" s="252"/>
      <c r="P64" s="240"/>
      <c r="Q64" s="252"/>
      <c r="R64" s="253"/>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row>
    <row r="65" spans="1:65" ht="15.75">
      <c r="A65" s="245"/>
      <c r="E65" s="288"/>
      <c r="F65" s="677" t="str">
        <f>G8</f>
        <v>Northern States Power Companies</v>
      </c>
      <c r="G65" s="677"/>
      <c r="H65" s="677"/>
      <c r="I65" s="288"/>
      <c r="J65" s="288"/>
      <c r="K65" s="288"/>
      <c r="L65" s="288"/>
      <c r="M65" s="243"/>
      <c r="N65" s="243"/>
      <c r="O65" s="252"/>
      <c r="P65" s="240"/>
      <c r="Q65" s="252"/>
      <c r="R65" s="253"/>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c r="BA65" s="242"/>
      <c r="BB65" s="242"/>
      <c r="BC65" s="242"/>
      <c r="BD65" s="242"/>
      <c r="BE65" s="242"/>
      <c r="BF65" s="242"/>
      <c r="BG65" s="242"/>
      <c r="BH65" s="242"/>
      <c r="BI65" s="242"/>
      <c r="BJ65" s="242"/>
      <c r="BK65" s="242"/>
      <c r="BL65" s="242"/>
      <c r="BM65" s="242"/>
    </row>
    <row r="66" spans="1:65" ht="15.75">
      <c r="A66" s="245"/>
      <c r="E66" s="254"/>
      <c r="F66" s="254"/>
      <c r="G66" s="254"/>
      <c r="H66" s="254"/>
      <c r="I66" s="254"/>
      <c r="J66" s="254"/>
      <c r="K66" s="254"/>
      <c r="L66" s="254"/>
      <c r="M66" s="254"/>
      <c r="N66" s="254"/>
      <c r="O66" s="252"/>
      <c r="P66" s="240"/>
      <c r="Q66" s="252"/>
      <c r="R66" s="253"/>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2"/>
      <c r="AY66" s="242"/>
      <c r="AZ66" s="242"/>
      <c r="BA66" s="242"/>
      <c r="BB66" s="242"/>
      <c r="BC66" s="242"/>
      <c r="BD66" s="242"/>
      <c r="BE66" s="242"/>
      <c r="BF66" s="242"/>
      <c r="BG66" s="242"/>
      <c r="BH66" s="242"/>
      <c r="BI66" s="242"/>
      <c r="BJ66" s="242"/>
      <c r="BK66" s="242"/>
      <c r="BL66" s="242"/>
      <c r="BM66" s="242"/>
    </row>
    <row r="67" spans="1:65" ht="15.75">
      <c r="A67" s="245"/>
      <c r="C67" s="288"/>
      <c r="D67" s="288"/>
      <c r="E67" s="260" t="s">
        <v>354</v>
      </c>
      <c r="F67" s="260"/>
      <c r="H67" s="238"/>
      <c r="I67" s="238"/>
      <c r="J67" s="238"/>
      <c r="K67" s="238"/>
      <c r="L67" s="238"/>
      <c r="M67" s="243"/>
      <c r="N67" s="243"/>
      <c r="O67" s="252"/>
      <c r="P67" s="240"/>
      <c r="Q67" s="252"/>
      <c r="R67" s="253"/>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2"/>
      <c r="AP67" s="242"/>
      <c r="AQ67" s="242"/>
      <c r="AR67" s="242"/>
      <c r="AS67" s="242"/>
      <c r="AT67" s="242"/>
      <c r="AU67" s="242"/>
      <c r="AV67" s="242"/>
      <c r="AW67" s="242"/>
      <c r="AX67" s="242"/>
      <c r="AY67" s="242"/>
      <c r="AZ67" s="242"/>
      <c r="BA67" s="242"/>
      <c r="BB67" s="242"/>
      <c r="BC67" s="242"/>
      <c r="BD67" s="242"/>
      <c r="BE67" s="242"/>
      <c r="BF67" s="242"/>
      <c r="BG67" s="242"/>
      <c r="BH67" s="242"/>
      <c r="BI67" s="242"/>
      <c r="BJ67" s="242"/>
      <c r="BK67" s="242"/>
      <c r="BL67" s="242"/>
      <c r="BM67" s="242"/>
    </row>
    <row r="68" spans="1:65" ht="15.75">
      <c r="A68" s="245"/>
      <c r="C68" s="288"/>
      <c r="D68" s="288"/>
      <c r="E68" s="260"/>
      <c r="F68" s="260"/>
      <c r="H68" s="238"/>
      <c r="I68" s="238"/>
      <c r="J68" s="238"/>
      <c r="K68" s="238"/>
      <c r="L68" s="238"/>
      <c r="M68" s="243"/>
      <c r="N68" s="243"/>
      <c r="O68" s="252"/>
      <c r="P68" s="240"/>
      <c r="Q68" s="252"/>
      <c r="R68" s="253"/>
      <c r="S68" s="242"/>
      <c r="T68" s="242"/>
      <c r="U68" s="242"/>
      <c r="V68" s="242"/>
      <c r="W68" s="242"/>
      <c r="X68" s="242"/>
      <c r="Y68" s="242"/>
      <c r="Z68" s="242"/>
      <c r="AA68" s="242"/>
      <c r="AB68" s="242"/>
      <c r="AC68" s="242"/>
      <c r="AD68" s="242"/>
      <c r="AE68" s="242"/>
      <c r="AF68" s="242"/>
      <c r="AG68" s="242"/>
      <c r="AH68" s="242"/>
      <c r="AI68" s="242"/>
      <c r="AJ68" s="242"/>
      <c r="AK68" s="242"/>
      <c r="AL68" s="242"/>
      <c r="AM68" s="242"/>
      <c r="AN68" s="242"/>
      <c r="AO68" s="242"/>
      <c r="AP68" s="242"/>
      <c r="AQ68" s="242"/>
      <c r="AR68" s="242"/>
      <c r="AS68" s="242"/>
      <c r="AT68" s="242"/>
      <c r="AU68" s="242"/>
      <c r="AV68" s="242"/>
      <c r="AW68" s="242"/>
      <c r="AX68" s="242"/>
      <c r="AY68" s="242"/>
      <c r="AZ68" s="242"/>
      <c r="BA68" s="242"/>
      <c r="BB68" s="242"/>
      <c r="BC68" s="242"/>
      <c r="BD68" s="242"/>
      <c r="BE68" s="242"/>
      <c r="BF68" s="242"/>
      <c r="BG68" s="242"/>
      <c r="BH68" s="242"/>
      <c r="BI68" s="242"/>
      <c r="BJ68" s="242"/>
      <c r="BK68" s="242"/>
      <c r="BL68" s="242"/>
      <c r="BM68" s="242"/>
    </row>
    <row r="69" spans="1:65" ht="15.75">
      <c r="A69" s="245"/>
      <c r="C69" s="294">
        <v>-1</v>
      </c>
      <c r="D69" s="294">
        <v>-2</v>
      </c>
      <c r="E69" s="294">
        <v>-3</v>
      </c>
      <c r="F69" s="294">
        <v>-4</v>
      </c>
      <c r="G69" s="294">
        <v>-5</v>
      </c>
      <c r="H69" s="294">
        <v>-6</v>
      </c>
      <c r="I69" s="294">
        <v>-7</v>
      </c>
      <c r="J69" s="294">
        <v>-8</v>
      </c>
      <c r="K69" s="294">
        <v>-9</v>
      </c>
      <c r="L69" s="294">
        <v>-10</v>
      </c>
      <c r="M69" s="294">
        <v>-11</v>
      </c>
      <c r="N69" s="294">
        <v>-12</v>
      </c>
      <c r="O69" s="252"/>
      <c r="P69" s="240"/>
      <c r="Q69" s="252"/>
      <c r="R69" s="253"/>
      <c r="S69" s="242"/>
      <c r="T69" s="242"/>
      <c r="U69" s="242"/>
      <c r="V69" s="242"/>
      <c r="W69" s="242"/>
      <c r="X69" s="242"/>
      <c r="Y69" s="242"/>
      <c r="Z69" s="242"/>
      <c r="AA69" s="242"/>
      <c r="AB69" s="242"/>
      <c r="AC69" s="242"/>
      <c r="AD69" s="242"/>
      <c r="AE69" s="242"/>
      <c r="AF69" s="242"/>
      <c r="AG69" s="242"/>
      <c r="AH69" s="242"/>
      <c r="AI69" s="242"/>
      <c r="AJ69" s="242"/>
      <c r="AK69" s="242"/>
      <c r="AL69" s="242"/>
      <c r="AM69" s="242"/>
      <c r="AN69" s="242"/>
      <c r="AO69" s="242"/>
      <c r="AP69" s="242"/>
      <c r="AQ69" s="242"/>
      <c r="AR69" s="242"/>
      <c r="AS69" s="242"/>
      <c r="AT69" s="242"/>
      <c r="AU69" s="242"/>
      <c r="AV69" s="242"/>
      <c r="AW69" s="242"/>
      <c r="AX69" s="242"/>
      <c r="AY69" s="242"/>
      <c r="AZ69" s="242"/>
      <c r="BA69" s="242"/>
      <c r="BB69" s="242"/>
      <c r="BC69" s="242"/>
      <c r="BD69" s="242"/>
      <c r="BE69" s="242"/>
      <c r="BF69" s="242"/>
      <c r="BG69" s="242"/>
      <c r="BH69" s="242"/>
      <c r="BI69" s="242"/>
      <c r="BJ69" s="242"/>
      <c r="BK69" s="242"/>
      <c r="BL69" s="242"/>
      <c r="BM69" s="242"/>
    </row>
    <row r="70" spans="1:65" ht="63">
      <c r="A70" s="295" t="s">
        <v>355</v>
      </c>
      <c r="B70" s="296"/>
      <c r="C70" s="296" t="s">
        <v>356</v>
      </c>
      <c r="D70" s="297" t="s">
        <v>357</v>
      </c>
      <c r="E70" s="298" t="s">
        <v>358</v>
      </c>
      <c r="F70" s="298" t="s">
        <v>334</v>
      </c>
      <c r="G70" s="299" t="s">
        <v>359</v>
      </c>
      <c r="H70" s="298" t="s">
        <v>360</v>
      </c>
      <c r="I70" s="298" t="s">
        <v>351</v>
      </c>
      <c r="J70" s="299" t="s">
        <v>361</v>
      </c>
      <c r="K70" s="298" t="s">
        <v>362</v>
      </c>
      <c r="L70" s="300" t="s">
        <v>363</v>
      </c>
      <c r="M70" s="301" t="s">
        <v>364</v>
      </c>
      <c r="N70" s="300" t="s">
        <v>365</v>
      </c>
      <c r="O70" s="269"/>
      <c r="P70" s="240"/>
      <c r="Q70" s="252"/>
      <c r="R70" s="253"/>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2"/>
      <c r="AY70" s="242"/>
      <c r="AZ70" s="242"/>
      <c r="BA70" s="242"/>
      <c r="BB70" s="242"/>
      <c r="BC70" s="242"/>
      <c r="BD70" s="242"/>
      <c r="BE70" s="242"/>
      <c r="BF70" s="242"/>
      <c r="BG70" s="242"/>
      <c r="BH70" s="242"/>
      <c r="BI70" s="242"/>
      <c r="BJ70" s="242"/>
      <c r="BK70" s="242"/>
      <c r="BL70" s="242"/>
      <c r="BM70" s="242"/>
    </row>
    <row r="71" spans="1:65" ht="46.5" customHeight="1">
      <c r="A71" s="302"/>
      <c r="B71" s="303"/>
      <c r="C71" s="303"/>
      <c r="D71" s="303"/>
      <c r="E71" s="304" t="s">
        <v>366</v>
      </c>
      <c r="F71" s="304" t="s">
        <v>367</v>
      </c>
      <c r="G71" s="305" t="s">
        <v>368</v>
      </c>
      <c r="H71" s="304" t="s">
        <v>369</v>
      </c>
      <c r="I71" s="304" t="s">
        <v>370</v>
      </c>
      <c r="J71" s="305" t="s">
        <v>371</v>
      </c>
      <c r="K71" s="304" t="s">
        <v>372</v>
      </c>
      <c r="L71" s="305" t="s">
        <v>373</v>
      </c>
      <c r="M71" s="306" t="s">
        <v>374</v>
      </c>
      <c r="N71" s="307" t="s">
        <v>375</v>
      </c>
      <c r="O71" s="252"/>
      <c r="P71" s="308" t="s">
        <v>376</v>
      </c>
      <c r="Q71" s="309"/>
      <c r="R71" s="253"/>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row>
    <row r="72" spans="1:65" ht="15.75">
      <c r="A72" s="310"/>
      <c r="B72" s="238"/>
      <c r="C72" s="238"/>
      <c r="D72" s="238"/>
      <c r="E72" s="238"/>
      <c r="F72" s="238"/>
      <c r="G72" s="311"/>
      <c r="H72" s="238"/>
      <c r="I72" s="238"/>
      <c r="J72" s="311"/>
      <c r="K72" s="238"/>
      <c r="L72" s="311"/>
      <c r="M72" s="243"/>
      <c r="N72" s="312"/>
      <c r="O72" s="252"/>
      <c r="P72" s="313"/>
      <c r="Q72" s="309"/>
      <c r="R72" s="253"/>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2"/>
      <c r="AZ72" s="242"/>
      <c r="BA72" s="242"/>
      <c r="BB72" s="242"/>
      <c r="BC72" s="242"/>
      <c r="BD72" s="242"/>
      <c r="BE72" s="242"/>
      <c r="BF72" s="242"/>
      <c r="BG72" s="242"/>
      <c r="BH72" s="242"/>
      <c r="BI72" s="242"/>
      <c r="BJ72" s="242"/>
      <c r="BK72" s="242"/>
      <c r="BL72" s="242"/>
      <c r="BM72" s="242"/>
    </row>
    <row r="73" spans="1:65" s="439" customFormat="1" ht="14.25">
      <c r="A73" s="438" t="s">
        <v>377</v>
      </c>
      <c r="C73" s="402" t="s">
        <v>378</v>
      </c>
      <c r="D73" s="440" t="s">
        <v>145</v>
      </c>
      <c r="E73" s="441">
        <v>7072818.700000002</v>
      </c>
      <c r="F73" s="442">
        <f>ROUND(L33,10)</f>
        <v>2.70867999E-2</v>
      </c>
      <c r="G73" s="592">
        <f t="shared" ref="G73:G83" si="0">E73*F73</f>
        <v>191580.02485587818</v>
      </c>
      <c r="H73" s="441">
        <v>5749325.7200000007</v>
      </c>
      <c r="I73" s="442">
        <f>ROUND(L43,10)</f>
        <v>0.1072093675</v>
      </c>
      <c r="J73" s="592">
        <f t="shared" ref="J73:J85" si="1">H73*I73</f>
        <v>616381.57399268216</v>
      </c>
      <c r="K73" s="441">
        <v>185753.40000000002</v>
      </c>
      <c r="L73" s="592">
        <f t="shared" ref="L73:L85" si="2">G73+J73+K73</f>
        <v>993714.99884856038</v>
      </c>
      <c r="M73" s="441">
        <v>-103644.36971524201</v>
      </c>
      <c r="N73" s="593">
        <f t="shared" ref="N73:N85" si="3">L73+M73</f>
        <v>890070.62913331832</v>
      </c>
      <c r="O73" s="444"/>
      <c r="P73" s="594">
        <v>930790.55077103665</v>
      </c>
      <c r="Q73" s="445"/>
      <c r="R73" s="598">
        <f>N73-P73</f>
        <v>-40719.921637718333</v>
      </c>
      <c r="S73" s="444"/>
      <c r="T73" s="444"/>
      <c r="U73" s="444"/>
    </row>
    <row r="74" spans="1:65" s="439" customFormat="1" ht="14.25">
      <c r="A74" s="438" t="s">
        <v>379</v>
      </c>
      <c r="C74" s="402" t="s">
        <v>380</v>
      </c>
      <c r="D74" s="440" t="s">
        <v>146</v>
      </c>
      <c r="E74" s="441">
        <v>3487897.5099999984</v>
      </c>
      <c r="F74" s="442">
        <f>F73</f>
        <v>2.70867999E-2</v>
      </c>
      <c r="G74" s="592">
        <f t="shared" si="0"/>
        <v>94475.981925078202</v>
      </c>
      <c r="H74" s="441">
        <v>2842862.5299999993</v>
      </c>
      <c r="I74" s="442">
        <f>I73</f>
        <v>0.1072093675</v>
      </c>
      <c r="J74" s="592">
        <f t="shared" si="1"/>
        <v>304781.4937307497</v>
      </c>
      <c r="K74" s="441">
        <v>91602.60000000002</v>
      </c>
      <c r="L74" s="592">
        <f t="shared" si="2"/>
        <v>490860.07565582794</v>
      </c>
      <c r="M74" s="441">
        <v>-51178.530182609997</v>
      </c>
      <c r="N74" s="593">
        <f t="shared" si="3"/>
        <v>439681.54547321796</v>
      </c>
      <c r="O74" s="444"/>
      <c r="P74" s="594">
        <v>459778.48317807046</v>
      </c>
      <c r="Q74" s="445"/>
      <c r="R74" s="598">
        <f t="shared" ref="R74:R91" si="4">N74-P74</f>
        <v>-20096.937704852491</v>
      </c>
      <c r="S74" s="444"/>
      <c r="T74" s="444"/>
      <c r="U74" s="444"/>
    </row>
    <row r="75" spans="1:65" s="439" customFormat="1" ht="14.25">
      <c r="A75" s="438" t="s">
        <v>381</v>
      </c>
      <c r="C75" s="402" t="s">
        <v>382</v>
      </c>
      <c r="D75" s="440" t="s">
        <v>147</v>
      </c>
      <c r="E75" s="441">
        <v>4462295.25</v>
      </c>
      <c r="F75" s="442">
        <f t="shared" ref="F75:F91" si="5">F74</f>
        <v>2.70867999E-2</v>
      </c>
      <c r="G75" s="592">
        <f t="shared" si="0"/>
        <v>120869.29853147047</v>
      </c>
      <c r="H75" s="441">
        <v>3930042.5250000008</v>
      </c>
      <c r="I75" s="442">
        <f t="shared" ref="I75:I91" si="6">I74</f>
        <v>0.1072093675</v>
      </c>
      <c r="J75" s="592">
        <f t="shared" si="1"/>
        <v>421337.373353353</v>
      </c>
      <c r="K75" s="441">
        <v>117193.25999999997</v>
      </c>
      <c r="L75" s="592">
        <f t="shared" si="2"/>
        <v>659399.93188482348</v>
      </c>
      <c r="M75" s="441">
        <v>-67763.547145100398</v>
      </c>
      <c r="N75" s="593">
        <f t="shared" si="3"/>
        <v>591636.38473972306</v>
      </c>
      <c r="O75" s="444"/>
      <c r="P75" s="594">
        <v>617972.19631568203</v>
      </c>
      <c r="Q75" s="445"/>
      <c r="R75" s="598">
        <f t="shared" si="4"/>
        <v>-26335.811575958971</v>
      </c>
      <c r="S75" s="444"/>
      <c r="T75" s="444"/>
      <c r="U75" s="444"/>
    </row>
    <row r="76" spans="1:65" s="439" customFormat="1" ht="14.25">
      <c r="A76" s="438" t="s">
        <v>383</v>
      </c>
      <c r="C76" s="402" t="s">
        <v>384</v>
      </c>
      <c r="D76" s="440" t="s">
        <v>148</v>
      </c>
      <c r="E76" s="441">
        <v>7706681.2699999968</v>
      </c>
      <c r="F76" s="442">
        <f t="shared" si="5"/>
        <v>2.70867999E-2</v>
      </c>
      <c r="G76" s="592">
        <f t="shared" si="0"/>
        <v>208749.33345356779</v>
      </c>
      <c r="H76" s="441">
        <v>6787445.5699999994</v>
      </c>
      <c r="I76" s="442">
        <f t="shared" si="6"/>
        <v>0.1072093675</v>
      </c>
      <c r="J76" s="592">
        <f t="shared" si="1"/>
        <v>727677.74650037696</v>
      </c>
      <c r="K76" s="441">
        <v>202400.51999999993</v>
      </c>
      <c r="L76" s="592">
        <f t="shared" si="2"/>
        <v>1138827.5999539448</v>
      </c>
      <c r="M76" s="441">
        <v>-87333.144568247197</v>
      </c>
      <c r="N76" s="593">
        <f t="shared" si="3"/>
        <v>1051494.4553856975</v>
      </c>
      <c r="O76" s="444"/>
      <c r="P76" s="594">
        <v>1096978.1575125768</v>
      </c>
      <c r="Q76" s="445"/>
      <c r="R76" s="598">
        <f t="shared" si="4"/>
        <v>-45483.702126879245</v>
      </c>
      <c r="S76" s="444"/>
      <c r="T76" s="444"/>
      <c r="U76" s="444"/>
    </row>
    <row r="77" spans="1:65" s="439" customFormat="1" ht="14.25">
      <c r="A77" s="438" t="s">
        <v>385</v>
      </c>
      <c r="C77" s="402" t="s">
        <v>604</v>
      </c>
      <c r="D77" s="440" t="s">
        <v>149</v>
      </c>
      <c r="E77" s="441">
        <v>30467969.233377036</v>
      </c>
      <c r="F77" s="442">
        <f t="shared" si="5"/>
        <v>2.70867999E-2</v>
      </c>
      <c r="G77" s="592">
        <f t="shared" si="0"/>
        <v>825279.78598384012</v>
      </c>
      <c r="H77" s="441">
        <v>28799435.749663021</v>
      </c>
      <c r="I77" s="442">
        <f t="shared" si="6"/>
        <v>0.1072093675</v>
      </c>
      <c r="J77" s="592">
        <f t="shared" si="1"/>
        <v>3087569.2910782606</v>
      </c>
      <c r="K77" s="441">
        <v>620842.40731188073</v>
      </c>
      <c r="L77" s="592">
        <f t="shared" si="2"/>
        <v>4533691.4843739811</v>
      </c>
      <c r="M77" s="441">
        <v>-588785.26190426399</v>
      </c>
      <c r="N77" s="593">
        <f t="shared" si="3"/>
        <v>3944906.2224697173</v>
      </c>
      <c r="O77" s="444"/>
      <c r="P77" s="594">
        <v>4031377.3474604078</v>
      </c>
      <c r="Q77" s="445"/>
      <c r="R77" s="598">
        <f t="shared" si="4"/>
        <v>-86471.1249906905</v>
      </c>
      <c r="S77" s="444"/>
      <c r="T77" s="444"/>
      <c r="U77" s="444"/>
    </row>
    <row r="78" spans="1:65" s="439" customFormat="1" ht="14.25">
      <c r="A78" s="438" t="s">
        <v>386</v>
      </c>
      <c r="C78" s="437" t="s">
        <v>605</v>
      </c>
      <c r="D78" s="440" t="s">
        <v>286</v>
      </c>
      <c r="E78" s="441">
        <v>209865072.19226155</v>
      </c>
      <c r="F78" s="442">
        <f t="shared" si="5"/>
        <v>2.70867999E-2</v>
      </c>
      <c r="G78" s="592">
        <f t="shared" si="0"/>
        <v>5684573.2164708432</v>
      </c>
      <c r="H78" s="441">
        <v>205550836.71487892</v>
      </c>
      <c r="I78" s="442">
        <f t="shared" si="6"/>
        <v>0.1072093675</v>
      </c>
      <c r="J78" s="592">
        <f t="shared" si="1"/>
        <v>22036975.193297945</v>
      </c>
      <c r="K78" s="441">
        <v>3448602.4663119847</v>
      </c>
      <c r="L78" s="592">
        <f t="shared" si="2"/>
        <v>31170150.876080774</v>
      </c>
      <c r="M78" s="441">
        <v>-4632833.5581573099</v>
      </c>
      <c r="N78" s="593">
        <f t="shared" si="3"/>
        <v>26537317.317923464</v>
      </c>
      <c r="O78" s="444"/>
      <c r="P78" s="594">
        <v>25380850.073435321</v>
      </c>
      <c r="Q78" s="445"/>
      <c r="R78" s="598">
        <f t="shared" si="4"/>
        <v>1156467.2444881424</v>
      </c>
      <c r="S78" s="444"/>
      <c r="T78" s="444"/>
      <c r="U78" s="444"/>
    </row>
    <row r="79" spans="1:65" s="439" customFormat="1" ht="14.25">
      <c r="A79" s="438" t="s">
        <v>387</v>
      </c>
      <c r="C79" s="402" t="s">
        <v>606</v>
      </c>
      <c r="D79" s="440" t="s">
        <v>150</v>
      </c>
      <c r="E79" s="441">
        <v>209105083.39906746</v>
      </c>
      <c r="F79" s="442">
        <f t="shared" si="5"/>
        <v>2.70867999E-2</v>
      </c>
      <c r="G79" s="592">
        <f t="shared" si="0"/>
        <v>5663987.5521033518</v>
      </c>
      <c r="H79" s="441">
        <v>208329602.25100598</v>
      </c>
      <c r="I79" s="442">
        <f t="shared" si="6"/>
        <v>0.1072093675</v>
      </c>
      <c r="J79" s="592">
        <f t="shared" si="1"/>
        <v>22334884.888856929</v>
      </c>
      <c r="K79" s="441">
        <v>1609713.0496918831</v>
      </c>
      <c r="L79" s="592">
        <f t="shared" si="2"/>
        <v>29608585.490652163</v>
      </c>
      <c r="M79" s="441">
        <v>658975.289992937</v>
      </c>
      <c r="N79" s="593">
        <f t="shared" si="3"/>
        <v>30267560.780645099</v>
      </c>
      <c r="O79" s="444"/>
      <c r="P79" s="594">
        <v>30197018.764985129</v>
      </c>
      <c r="Q79" s="445"/>
      <c r="R79" s="598">
        <f t="shared" si="4"/>
        <v>70542.0156599693</v>
      </c>
      <c r="S79" s="444"/>
      <c r="T79" s="444"/>
      <c r="U79" s="444"/>
    </row>
    <row r="80" spans="1:65" s="439" customFormat="1" ht="14.25">
      <c r="A80" s="438" t="s">
        <v>388</v>
      </c>
      <c r="C80" s="317" t="s">
        <v>389</v>
      </c>
      <c r="D80" s="440" t="s">
        <v>151</v>
      </c>
      <c r="E80" s="441">
        <v>468201.81000000023</v>
      </c>
      <c r="F80" s="442">
        <f t="shared" si="5"/>
        <v>2.70867999E-2</v>
      </c>
      <c r="G80" s="592">
        <f t="shared" si="0"/>
        <v>12682.088740287825</v>
      </c>
      <c r="H80" s="441">
        <v>412533.12000000011</v>
      </c>
      <c r="I80" s="442">
        <f t="shared" si="6"/>
        <v>0.1072093675</v>
      </c>
      <c r="J80" s="592">
        <f t="shared" si="1"/>
        <v>44227.414868001615</v>
      </c>
      <c r="K80" s="441">
        <v>12296.400000000003</v>
      </c>
      <c r="L80" s="592">
        <f t="shared" si="2"/>
        <v>69205.903608289445</v>
      </c>
      <c r="M80" s="441">
        <v>-7140.5910761163796</v>
      </c>
      <c r="N80" s="593">
        <f t="shared" si="3"/>
        <v>62065.312532173062</v>
      </c>
      <c r="O80" s="444"/>
      <c r="P80" s="594">
        <v>64828.948989303288</v>
      </c>
      <c r="Q80" s="445"/>
      <c r="R80" s="598">
        <f t="shared" si="4"/>
        <v>-2763.6364571302256</v>
      </c>
      <c r="S80" s="444"/>
      <c r="T80" s="444"/>
      <c r="U80" s="444"/>
    </row>
    <row r="81" spans="1:21" s="439" customFormat="1" ht="14.25">
      <c r="A81" s="438" t="s">
        <v>390</v>
      </c>
      <c r="C81" s="317" t="s">
        <v>153</v>
      </c>
      <c r="D81" s="440" t="s">
        <v>152</v>
      </c>
      <c r="E81" s="441">
        <v>127736.33000000006</v>
      </c>
      <c r="F81" s="442">
        <f t="shared" si="5"/>
        <v>2.70867999E-2</v>
      </c>
      <c r="G81" s="592">
        <f t="shared" si="0"/>
        <v>3459.9684106703685</v>
      </c>
      <c r="H81" s="441">
        <v>108073.01</v>
      </c>
      <c r="I81" s="442">
        <f t="shared" si="6"/>
        <v>0.1072093675</v>
      </c>
      <c r="J81" s="592">
        <f t="shared" si="1"/>
        <v>11586.439045921174</v>
      </c>
      <c r="K81" s="441">
        <v>3354.72</v>
      </c>
      <c r="L81" s="592">
        <f t="shared" si="2"/>
        <v>18401.127456591541</v>
      </c>
      <c r="M81" s="441">
        <v>-1910.0233761693401</v>
      </c>
      <c r="N81" s="593">
        <f t="shared" si="3"/>
        <v>16491.104080422199</v>
      </c>
      <c r="O81" s="444"/>
      <c r="P81" s="594">
        <v>17235.548651717618</v>
      </c>
      <c r="Q81" s="445"/>
      <c r="R81" s="598">
        <f t="shared" si="4"/>
        <v>-744.44457129541843</v>
      </c>
      <c r="S81" s="444"/>
      <c r="T81" s="444"/>
      <c r="U81" s="444"/>
    </row>
    <row r="82" spans="1:21" s="439" customFormat="1" ht="14.25">
      <c r="A82" s="438" t="s">
        <v>391</v>
      </c>
      <c r="C82" s="318" t="s">
        <v>392</v>
      </c>
      <c r="D82" s="440" t="s">
        <v>191</v>
      </c>
      <c r="E82" s="441">
        <v>47486.62999999999</v>
      </c>
      <c r="F82" s="442">
        <f t="shared" si="5"/>
        <v>2.70867999E-2</v>
      </c>
      <c r="G82" s="592">
        <f t="shared" si="0"/>
        <v>1286.2608447353368</v>
      </c>
      <c r="H82" s="441">
        <v>37994.179999999978</v>
      </c>
      <c r="I82" s="442">
        <f t="shared" si="6"/>
        <v>0.1072093675</v>
      </c>
      <c r="J82" s="592">
        <f t="shared" si="1"/>
        <v>4073.3320064811478</v>
      </c>
      <c r="K82" s="441">
        <v>1118.04</v>
      </c>
      <c r="L82" s="592">
        <f t="shared" si="2"/>
        <v>6477.6328512164846</v>
      </c>
      <c r="M82" s="441">
        <v>-1150.0683825400599</v>
      </c>
      <c r="N82" s="593">
        <f t="shared" si="3"/>
        <v>5327.5644686764244</v>
      </c>
      <c r="O82" s="444"/>
      <c r="P82" s="594">
        <v>5599.663552114197</v>
      </c>
      <c r="Q82" s="445"/>
      <c r="R82" s="598">
        <f t="shared" si="4"/>
        <v>-272.09908343777261</v>
      </c>
      <c r="S82" s="444"/>
      <c r="T82" s="444"/>
      <c r="U82" s="444"/>
    </row>
    <row r="83" spans="1:21" s="439" customFormat="1" ht="14.25">
      <c r="A83" s="438" t="s">
        <v>393</v>
      </c>
      <c r="C83" s="318" t="s">
        <v>394</v>
      </c>
      <c r="D83" s="440" t="s">
        <v>192</v>
      </c>
      <c r="E83" s="441">
        <v>230828.43999999997</v>
      </c>
      <c r="F83" s="442">
        <f t="shared" si="5"/>
        <v>2.70867999E-2</v>
      </c>
      <c r="G83" s="592">
        <f t="shared" si="0"/>
        <v>6252.4037655091552</v>
      </c>
      <c r="H83" s="441">
        <v>195265.30999999994</v>
      </c>
      <c r="I83" s="442">
        <f t="shared" si="6"/>
        <v>0.1072093675</v>
      </c>
      <c r="J83" s="592">
        <f t="shared" si="1"/>
        <v>20934.270379791418</v>
      </c>
      <c r="K83" s="441">
        <v>4957.2000000000007</v>
      </c>
      <c r="L83" s="592">
        <f t="shared" si="2"/>
        <v>32143.874145300575</v>
      </c>
      <c r="M83" s="441">
        <v>-5680.5685788686797</v>
      </c>
      <c r="N83" s="593">
        <f t="shared" si="3"/>
        <v>26463.305566431896</v>
      </c>
      <c r="O83" s="444"/>
      <c r="P83" s="594">
        <v>27808.504480376574</v>
      </c>
      <c r="Q83" s="445"/>
      <c r="R83" s="598">
        <f t="shared" si="4"/>
        <v>-1345.1989139446778</v>
      </c>
      <c r="S83" s="444"/>
      <c r="T83" s="444"/>
      <c r="U83" s="444"/>
    </row>
    <row r="84" spans="1:21" s="439" customFormat="1" ht="14.25">
      <c r="A84" s="438" t="s">
        <v>395</v>
      </c>
      <c r="C84" s="318" t="s">
        <v>607</v>
      </c>
      <c r="D84" s="440" t="s">
        <v>287</v>
      </c>
      <c r="E84" s="441">
        <v>4271571.8538461542</v>
      </c>
      <c r="F84" s="442">
        <f t="shared" si="5"/>
        <v>2.70867999E-2</v>
      </c>
      <c r="G84" s="592">
        <f>E84*F84</f>
        <v>115703.21206360283</v>
      </c>
      <c r="H84" s="441">
        <v>3999108.0483576558</v>
      </c>
      <c r="I84" s="442">
        <f t="shared" si="6"/>
        <v>0.1072093675</v>
      </c>
      <c r="J84" s="592">
        <f t="shared" si="1"/>
        <v>428741.84442858369</v>
      </c>
      <c r="K84" s="441">
        <v>79739.239002379269</v>
      </c>
      <c r="L84" s="592">
        <f t="shared" si="2"/>
        <v>624184.29549456574</v>
      </c>
      <c r="M84" s="441">
        <v>-92958.696753676093</v>
      </c>
      <c r="N84" s="593">
        <f t="shared" si="3"/>
        <v>531225.59874088969</v>
      </c>
      <c r="O84" s="444"/>
      <c r="P84" s="594">
        <v>498661.60408780497</v>
      </c>
      <c r="Q84" s="445"/>
      <c r="R84" s="598">
        <f t="shared" si="4"/>
        <v>32563.994653084723</v>
      </c>
      <c r="S84" s="444"/>
      <c r="T84" s="444"/>
      <c r="U84" s="444"/>
    </row>
    <row r="85" spans="1:21" s="439" customFormat="1" ht="14.25">
      <c r="A85" s="438" t="s">
        <v>396</v>
      </c>
      <c r="C85" s="318" t="s">
        <v>608</v>
      </c>
      <c r="D85" s="440" t="s">
        <v>288</v>
      </c>
      <c r="E85" s="441">
        <v>22205323.592186477</v>
      </c>
      <c r="F85" s="442">
        <f t="shared" si="5"/>
        <v>2.70867999E-2</v>
      </c>
      <c r="G85" s="592">
        <f>E85*F85</f>
        <v>601471.15685630427</v>
      </c>
      <c r="H85" s="441">
        <v>21365945.542465482</v>
      </c>
      <c r="I85" s="442">
        <f t="shared" si="6"/>
        <v>0.1072093675</v>
      </c>
      <c r="J85" s="592">
        <f t="shared" si="1"/>
        <v>2290629.5076471688</v>
      </c>
      <c r="K85" s="441">
        <v>448533.87118964962</v>
      </c>
      <c r="L85" s="592">
        <f t="shared" si="2"/>
        <v>3340634.5356931225</v>
      </c>
      <c r="M85" s="441">
        <v>-502714.27742236003</v>
      </c>
      <c r="N85" s="593">
        <f t="shared" si="3"/>
        <v>2837920.2582707624</v>
      </c>
      <c r="O85" s="444"/>
      <c r="P85" s="594">
        <v>2684714.3544206335</v>
      </c>
      <c r="Q85" s="445"/>
      <c r="R85" s="598">
        <f t="shared" si="4"/>
        <v>153205.90385012887</v>
      </c>
      <c r="S85" s="444"/>
      <c r="T85" s="444"/>
      <c r="U85" s="444"/>
    </row>
    <row r="86" spans="1:21" s="439" customFormat="1" ht="14.25">
      <c r="A86" s="438" t="s">
        <v>397</v>
      </c>
      <c r="C86" s="318" t="s">
        <v>264</v>
      </c>
      <c r="D86" s="440" t="s">
        <v>290</v>
      </c>
      <c r="E86" s="441">
        <v>309681</v>
      </c>
      <c r="F86" s="442">
        <f t="shared" si="5"/>
        <v>2.70867999E-2</v>
      </c>
      <c r="G86" s="592">
        <f t="shared" ref="G86:G87" si="7">E86*F86</f>
        <v>8388.2672798318999</v>
      </c>
      <c r="H86" s="441">
        <v>272404.58499999996</v>
      </c>
      <c r="I86" s="442">
        <f t="shared" si="6"/>
        <v>0.1072093675</v>
      </c>
      <c r="J86" s="592">
        <f t="shared" ref="J86:J87" si="8">H86*I86</f>
        <v>29204.323261949983</v>
      </c>
      <c r="K86" s="441">
        <v>8602.2500000000018</v>
      </c>
      <c r="L86" s="592">
        <f t="shared" ref="L86:L87" si="9">G86+J86+K86</f>
        <v>46194.840541781887</v>
      </c>
      <c r="M86" s="441">
        <v>0</v>
      </c>
      <c r="N86" s="593">
        <f t="shared" ref="N86:N87" si="10">L86+M86</f>
        <v>46194.840541781887</v>
      </c>
      <c r="O86" s="444"/>
      <c r="P86" s="594">
        <v>48021.811164804829</v>
      </c>
      <c r="Q86" s="445"/>
      <c r="R86" s="598">
        <f t="shared" si="4"/>
        <v>-1826.9706230229422</v>
      </c>
      <c r="S86" s="444"/>
      <c r="T86" s="444"/>
      <c r="U86" s="444"/>
    </row>
    <row r="87" spans="1:21" s="439" customFormat="1" ht="14.25">
      <c r="A87" s="438" t="s">
        <v>398</v>
      </c>
      <c r="C87" s="318" t="s">
        <v>570</v>
      </c>
      <c r="D87" s="440" t="s">
        <v>571</v>
      </c>
      <c r="E87" s="441">
        <v>15310378.909999998</v>
      </c>
      <c r="F87" s="442">
        <f t="shared" si="5"/>
        <v>2.70867999E-2</v>
      </c>
      <c r="G87" s="592">
        <f t="shared" si="7"/>
        <v>414709.16992835008</v>
      </c>
      <c r="H87" s="441">
        <v>15070488.132122535</v>
      </c>
      <c r="I87" s="442">
        <f t="shared" si="6"/>
        <v>0.1072093675</v>
      </c>
      <c r="J87" s="592">
        <f t="shared" si="8"/>
        <v>1615697.5005611135</v>
      </c>
      <c r="K87" s="441">
        <v>319001.15637300047</v>
      </c>
      <c r="L87" s="592">
        <f t="shared" si="9"/>
        <v>2349407.8268624637</v>
      </c>
      <c r="M87" s="441">
        <v>0</v>
      </c>
      <c r="N87" s="593">
        <f t="shared" si="10"/>
        <v>2349407.8268624637</v>
      </c>
      <c r="O87" s="444"/>
      <c r="P87" s="594">
        <v>2233119.8122608294</v>
      </c>
      <c r="Q87" s="445"/>
      <c r="R87" s="598">
        <f t="shared" si="4"/>
        <v>116288.01460163435</v>
      </c>
      <c r="S87" s="444"/>
      <c r="T87" s="444"/>
      <c r="U87" s="444"/>
    </row>
    <row r="88" spans="1:21" s="439" customFormat="1" ht="14.25">
      <c r="A88" s="438" t="s">
        <v>609</v>
      </c>
      <c r="C88" s="444" t="s">
        <v>572</v>
      </c>
      <c r="D88" s="440" t="s">
        <v>573</v>
      </c>
      <c r="E88" s="441">
        <v>15144481.17</v>
      </c>
      <c r="F88" s="442">
        <f t="shared" si="5"/>
        <v>2.70867999E-2</v>
      </c>
      <c r="G88" s="592">
        <f>E88*F88</f>
        <v>410215.5310411079</v>
      </c>
      <c r="H88" s="441">
        <v>14949524.592528481</v>
      </c>
      <c r="I88" s="442">
        <f t="shared" si="6"/>
        <v>0.1072093675</v>
      </c>
      <c r="J88" s="592">
        <f>H88*I88</f>
        <v>1602729.0759906736</v>
      </c>
      <c r="K88" s="441">
        <v>306953.3175105275</v>
      </c>
      <c r="L88" s="592">
        <f>G88+J88+K88</f>
        <v>2319897.9245423088</v>
      </c>
      <c r="M88" s="441">
        <v>0</v>
      </c>
      <c r="N88" s="593">
        <f>L88+M88</f>
        <v>2319897.9245423088</v>
      </c>
      <c r="O88" s="444"/>
      <c r="P88" s="594">
        <v>1916027.3773732749</v>
      </c>
      <c r="Q88" s="445"/>
      <c r="R88" s="598">
        <f t="shared" si="4"/>
        <v>403870.5471690339</v>
      </c>
      <c r="S88" s="444"/>
      <c r="T88" s="444"/>
      <c r="U88" s="444"/>
    </row>
    <row r="89" spans="1:21" s="439" customFormat="1" ht="14.25">
      <c r="A89" s="438" t="s">
        <v>610</v>
      </c>
      <c r="C89" s="444" t="s">
        <v>611</v>
      </c>
      <c r="D89" s="440" t="s">
        <v>601</v>
      </c>
      <c r="E89" s="441">
        <v>3828067.4076923076</v>
      </c>
      <c r="F89" s="442">
        <f t="shared" si="5"/>
        <v>2.70867999E-2</v>
      </c>
      <c r="G89" s="592">
        <f>E89*F89</f>
        <v>103690.09587587326</v>
      </c>
      <c r="H89" s="441">
        <v>3818427.1355644134</v>
      </c>
      <c r="I89" s="442">
        <f t="shared" si="6"/>
        <v>0.1072093675</v>
      </c>
      <c r="J89" s="592">
        <f>H89*I89</f>
        <v>409371.15804869751</v>
      </c>
      <c r="K89" s="441">
        <v>54340.880190224765</v>
      </c>
      <c r="L89" s="592">
        <f>G89+J89+K89</f>
        <v>567402.13411479548</v>
      </c>
      <c r="M89" s="441">
        <v>0</v>
      </c>
      <c r="N89" s="593">
        <f>L89+M89</f>
        <v>567402.13411479548</v>
      </c>
      <c r="O89" s="444"/>
      <c r="P89" s="594">
        <v>485755.60347227211</v>
      </c>
      <c r="Q89" s="445"/>
      <c r="R89" s="598">
        <f t="shared" si="4"/>
        <v>81646.530642523372</v>
      </c>
      <c r="S89" s="444"/>
      <c r="T89" s="444"/>
      <c r="U89" s="444"/>
    </row>
    <row r="90" spans="1:21" s="439" customFormat="1" ht="14.25">
      <c r="A90" s="438" t="s">
        <v>612</v>
      </c>
      <c r="C90" s="402" t="s">
        <v>613</v>
      </c>
      <c r="D90" s="440" t="s">
        <v>602</v>
      </c>
      <c r="E90" s="441">
        <v>-38759.01538461529</v>
      </c>
      <c r="F90" s="442">
        <f t="shared" si="5"/>
        <v>2.70867999E-2</v>
      </c>
      <c r="G90" s="592">
        <f t="shared" ref="G90" si="11">E90*F90</f>
        <v>-1049.857694044096</v>
      </c>
      <c r="H90" s="441">
        <v>-39574.737769801402</v>
      </c>
      <c r="I90" s="442">
        <f t="shared" si="6"/>
        <v>0.1072093675</v>
      </c>
      <c r="J90" s="592">
        <f t="shared" ref="J90" si="12">H90*I90</f>
        <v>-4242.7826052787686</v>
      </c>
      <c r="K90" s="441">
        <v>-1462.9984163400211</v>
      </c>
      <c r="L90" s="592">
        <f t="shared" ref="L90" si="13">G90+J90+K90</f>
        <v>-6755.6387156628862</v>
      </c>
      <c r="M90" s="441">
        <v>0</v>
      </c>
      <c r="N90" s="593">
        <f t="shared" ref="N90" si="14">L90+M90</f>
        <v>-6755.6387156628862</v>
      </c>
      <c r="O90" s="444"/>
      <c r="P90" s="594"/>
      <c r="Q90" s="445"/>
      <c r="R90" s="598">
        <f t="shared" si="4"/>
        <v>-6755.6387156628862</v>
      </c>
      <c r="S90" s="444"/>
      <c r="T90" s="444"/>
      <c r="U90" s="444"/>
    </row>
    <row r="91" spans="1:21" s="439" customFormat="1" ht="14.25">
      <c r="A91" s="438" t="s">
        <v>614</v>
      </c>
      <c r="C91" s="402" t="s">
        <v>615</v>
      </c>
      <c r="D91" s="440" t="s">
        <v>289</v>
      </c>
      <c r="E91" s="441"/>
      <c r="F91" s="442">
        <f t="shared" si="5"/>
        <v>2.70867999E-2</v>
      </c>
      <c r="G91" s="592">
        <f t="shared" ref="G91" si="15">E91*F91</f>
        <v>0</v>
      </c>
      <c r="H91" s="441"/>
      <c r="I91" s="442">
        <f t="shared" si="6"/>
        <v>0.1072093675</v>
      </c>
      <c r="J91" s="592">
        <f t="shared" ref="J91" si="16">H91*I91</f>
        <v>0</v>
      </c>
      <c r="K91" s="441"/>
      <c r="L91" s="592">
        <f t="shared" ref="L91" si="17">G91+J91+K91</f>
        <v>0</v>
      </c>
      <c r="M91" s="441">
        <v>-1140903.26</v>
      </c>
      <c r="N91" s="593">
        <f t="shared" ref="N91" si="18">L91+M91</f>
        <v>-1140903.26</v>
      </c>
      <c r="O91" s="444"/>
      <c r="P91" s="594">
        <v>-1140903.26</v>
      </c>
      <c r="Q91" s="445"/>
      <c r="R91" s="598">
        <f t="shared" si="4"/>
        <v>0</v>
      </c>
      <c r="S91" s="444"/>
      <c r="T91" s="444"/>
      <c r="U91" s="444"/>
    </row>
    <row r="92" spans="1:21" ht="15.75">
      <c r="A92" s="314"/>
      <c r="C92" s="315"/>
      <c r="D92" s="315"/>
      <c r="E92" s="315"/>
      <c r="F92" s="315"/>
      <c r="G92" s="319"/>
      <c r="H92" s="315"/>
      <c r="I92" s="315"/>
      <c r="J92" s="319"/>
      <c r="K92" s="315"/>
      <c r="L92" s="319"/>
      <c r="M92" s="315"/>
      <c r="N92" s="319"/>
      <c r="O92" s="315"/>
      <c r="P92" s="316"/>
      <c r="Q92" s="316"/>
      <c r="R92" s="253"/>
      <c r="S92" s="315"/>
      <c r="T92" s="315"/>
      <c r="U92" s="315"/>
    </row>
    <row r="93" spans="1:21" ht="15.75">
      <c r="A93" s="314"/>
      <c r="C93" s="315"/>
      <c r="D93" s="315"/>
      <c r="E93" s="315"/>
      <c r="F93" s="315"/>
      <c r="G93" s="319"/>
      <c r="H93" s="315"/>
      <c r="I93" s="315"/>
      <c r="J93" s="319"/>
      <c r="K93" s="315"/>
      <c r="L93" s="319"/>
      <c r="M93" s="315"/>
      <c r="N93" s="319"/>
      <c r="O93" s="315"/>
      <c r="P93" s="316"/>
      <c r="Q93" s="316"/>
      <c r="R93" s="253"/>
      <c r="S93" s="315"/>
      <c r="T93" s="315"/>
      <c r="U93" s="315"/>
    </row>
    <row r="94" spans="1:21" ht="15.75">
      <c r="A94" s="320"/>
      <c r="B94" s="321"/>
      <c r="C94" s="322"/>
      <c r="D94" s="322"/>
      <c r="E94" s="322"/>
      <c r="F94" s="322"/>
      <c r="G94" s="323"/>
      <c r="H94" s="322"/>
      <c r="I94" s="322"/>
      <c r="J94" s="323"/>
      <c r="K94" s="322"/>
      <c r="L94" s="323"/>
      <c r="M94" s="322"/>
      <c r="N94" s="323"/>
      <c r="O94" s="315"/>
      <c r="P94" s="316"/>
      <c r="Q94" s="316"/>
      <c r="R94" s="253"/>
      <c r="S94" s="315"/>
      <c r="T94" s="315"/>
      <c r="U94" s="315"/>
    </row>
    <row r="95" spans="1:21" ht="15.75">
      <c r="A95" s="251" t="s">
        <v>399</v>
      </c>
      <c r="B95" s="282"/>
      <c r="C95" s="254" t="s">
        <v>400</v>
      </c>
      <c r="D95" s="254"/>
      <c r="E95" s="595">
        <f>SUM(E73:E94)</f>
        <v>534072815.68304634</v>
      </c>
      <c r="F95" s="273"/>
      <c r="G95" s="243"/>
      <c r="H95" s="595">
        <f>SUM(H73:H94)</f>
        <v>522179739.97881669</v>
      </c>
      <c r="I95" s="243"/>
      <c r="J95" s="243"/>
      <c r="K95" s="243"/>
      <c r="L95" s="243">
        <f>SUM(L73:L94)</f>
        <v>77962424.914044857</v>
      </c>
      <c r="M95" s="324">
        <f>SUM(M73:M94)</f>
        <v>-6625020.6072695674</v>
      </c>
      <c r="N95" s="325">
        <f>SUM(N73:N94)</f>
        <v>71337404.306775272</v>
      </c>
      <c r="O95" s="315"/>
      <c r="P95" s="326">
        <f>SUM(P73:P94)</f>
        <v>69555635.542111367</v>
      </c>
      <c r="Q95" s="316"/>
      <c r="R95" s="599">
        <f>SUM(R73:R94)</f>
        <v>1781768.7646639235</v>
      </c>
      <c r="S95" s="315"/>
      <c r="T95" s="315"/>
      <c r="U95" s="315"/>
    </row>
    <row r="96" spans="1:21" ht="15.75">
      <c r="A96" s="327"/>
      <c r="B96" s="315"/>
      <c r="C96" s="315"/>
      <c r="D96" s="315"/>
      <c r="E96" s="315"/>
      <c r="F96" s="315"/>
      <c r="G96" s="315"/>
      <c r="H96" s="315"/>
      <c r="I96" s="315"/>
      <c r="J96" s="315"/>
      <c r="K96" s="315"/>
      <c r="L96" s="315"/>
      <c r="M96" s="315"/>
      <c r="N96" s="315"/>
      <c r="O96" s="315"/>
      <c r="P96" s="328"/>
      <c r="Q96" s="328"/>
      <c r="R96" s="253"/>
      <c r="S96" s="315"/>
      <c r="T96" s="315"/>
      <c r="U96" s="315"/>
    </row>
    <row r="97" spans="1:21" ht="15.75">
      <c r="A97" s="329">
        <v>3</v>
      </c>
      <c r="B97" s="315"/>
      <c r="C97" s="288" t="s">
        <v>401</v>
      </c>
      <c r="D97" s="315"/>
      <c r="E97" s="315"/>
      <c r="F97" s="315"/>
      <c r="G97" s="315"/>
      <c r="H97" s="315"/>
      <c r="I97" s="315"/>
      <c r="J97" s="315"/>
      <c r="K97" s="315"/>
      <c r="L97" s="330">
        <f>L95</f>
        <v>77962424.914044857</v>
      </c>
      <c r="M97" s="331" t="s">
        <v>616</v>
      </c>
      <c r="O97" s="315"/>
      <c r="P97" s="315"/>
      <c r="Q97" s="315"/>
      <c r="R97" s="253"/>
      <c r="S97" s="315"/>
      <c r="T97" s="315"/>
      <c r="U97" s="315"/>
    </row>
    <row r="98" spans="1:21">
      <c r="A98" s="315"/>
      <c r="B98" s="315"/>
      <c r="C98" s="315"/>
      <c r="D98" s="315"/>
      <c r="E98" s="315"/>
      <c r="F98" s="315"/>
      <c r="G98" s="315"/>
      <c r="H98" s="315"/>
      <c r="I98" s="315"/>
      <c r="J98" s="315"/>
      <c r="K98" s="315"/>
      <c r="L98" s="315"/>
      <c r="M98" s="315"/>
      <c r="N98" s="315"/>
      <c r="O98" s="315"/>
      <c r="P98" s="315"/>
      <c r="Q98" s="315"/>
      <c r="R98" s="315"/>
      <c r="S98" s="315"/>
      <c r="T98" s="315"/>
      <c r="U98" s="315"/>
    </row>
    <row r="99" spans="1:21">
      <c r="A99" s="315"/>
      <c r="B99" s="315"/>
      <c r="C99" s="315"/>
      <c r="D99" s="315"/>
      <c r="E99" s="315"/>
      <c r="F99" s="315"/>
      <c r="G99" s="315"/>
      <c r="H99" s="315"/>
      <c r="I99" s="315"/>
      <c r="J99" s="315"/>
      <c r="K99" s="315"/>
      <c r="L99" s="315"/>
      <c r="M99" s="315"/>
      <c r="N99" s="315"/>
      <c r="O99" s="315"/>
      <c r="P99" s="315"/>
      <c r="Q99" s="315"/>
      <c r="R99" s="315"/>
      <c r="S99" s="315"/>
      <c r="T99" s="315"/>
      <c r="U99" s="315"/>
    </row>
    <row r="100" spans="1:21" ht="15" customHeight="1">
      <c r="A100" s="288" t="s">
        <v>402</v>
      </c>
      <c r="B100" s="315"/>
      <c r="C100" s="315"/>
      <c r="D100" s="315"/>
      <c r="E100" s="315"/>
      <c r="F100" s="315"/>
      <c r="G100" s="315"/>
      <c r="H100" s="315"/>
      <c r="I100" s="315"/>
      <c r="J100" s="315"/>
      <c r="K100" s="315"/>
      <c r="L100" s="315"/>
      <c r="M100" s="315"/>
      <c r="N100" s="315"/>
      <c r="O100" s="315"/>
      <c r="P100" s="315"/>
      <c r="Q100" s="315"/>
      <c r="R100" s="315"/>
      <c r="S100" s="315"/>
      <c r="T100" s="315"/>
      <c r="U100" s="315"/>
    </row>
    <row r="101" spans="1:21" ht="15" customHeight="1" thickBot="1">
      <c r="A101" s="332" t="s">
        <v>403</v>
      </c>
      <c r="B101" s="315"/>
      <c r="C101" s="315"/>
      <c r="D101" s="315"/>
      <c r="E101" s="315"/>
      <c r="F101" s="315"/>
      <c r="G101" s="315"/>
      <c r="H101" s="315"/>
      <c r="I101" s="315"/>
      <c r="J101" s="315"/>
      <c r="K101" s="315"/>
      <c r="L101" s="315"/>
      <c r="M101" s="315"/>
      <c r="N101" s="315"/>
      <c r="O101" s="315"/>
      <c r="P101" s="315"/>
      <c r="Q101" s="315"/>
      <c r="R101" s="315"/>
      <c r="S101" s="315"/>
      <c r="T101" s="315"/>
      <c r="U101" s="315"/>
    </row>
    <row r="102" spans="1:21" ht="15" customHeight="1">
      <c r="A102" s="333" t="s">
        <v>39</v>
      </c>
      <c r="B102" s="331"/>
      <c r="C102" s="678" t="s">
        <v>404</v>
      </c>
      <c r="D102" s="678"/>
      <c r="E102" s="678"/>
      <c r="F102" s="678"/>
      <c r="G102" s="678"/>
      <c r="H102" s="678"/>
      <c r="I102" s="678"/>
      <c r="J102" s="678"/>
      <c r="K102" s="678"/>
      <c r="L102" s="678"/>
      <c r="M102" s="678"/>
      <c r="N102" s="678"/>
      <c r="O102" s="315"/>
      <c r="P102" s="315"/>
      <c r="Q102" s="315"/>
      <c r="R102" s="315"/>
      <c r="S102" s="315"/>
      <c r="T102" s="315"/>
      <c r="U102" s="315"/>
    </row>
    <row r="103" spans="1:21" ht="15" customHeight="1">
      <c r="A103" s="333" t="s">
        <v>40</v>
      </c>
      <c r="B103" s="331"/>
      <c r="C103" s="678" t="s">
        <v>405</v>
      </c>
      <c r="D103" s="678"/>
      <c r="E103" s="678"/>
      <c r="F103" s="678"/>
      <c r="G103" s="678"/>
      <c r="H103" s="678"/>
      <c r="I103" s="678"/>
      <c r="J103" s="678"/>
      <c r="K103" s="678"/>
      <c r="L103" s="678"/>
      <c r="M103" s="678"/>
      <c r="N103" s="678"/>
      <c r="O103" s="315"/>
      <c r="P103" s="315"/>
      <c r="Q103" s="315"/>
      <c r="R103" s="315"/>
      <c r="S103" s="315"/>
      <c r="T103" s="315"/>
      <c r="U103" s="315"/>
    </row>
    <row r="104" spans="1:21" ht="15" customHeight="1">
      <c r="A104" s="333" t="s">
        <v>41</v>
      </c>
      <c r="B104" s="331"/>
      <c r="C104" s="679" t="s">
        <v>406</v>
      </c>
      <c r="D104" s="680"/>
      <c r="E104" s="680"/>
      <c r="F104" s="680"/>
      <c r="G104" s="680"/>
      <c r="H104" s="680"/>
      <c r="I104" s="680"/>
      <c r="J104" s="680"/>
      <c r="K104" s="680"/>
      <c r="L104" s="680"/>
      <c r="M104" s="680"/>
      <c r="N104" s="680"/>
      <c r="O104" s="315"/>
      <c r="P104" s="315"/>
      <c r="Q104" s="315"/>
      <c r="R104" s="315"/>
      <c r="S104" s="315"/>
      <c r="T104" s="315"/>
      <c r="U104" s="315"/>
    </row>
    <row r="105" spans="1:21" ht="15" customHeight="1">
      <c r="A105" s="333" t="s">
        <v>407</v>
      </c>
      <c r="B105" s="331"/>
      <c r="C105" s="682" t="s">
        <v>408</v>
      </c>
      <c r="D105" s="682"/>
      <c r="E105" s="682"/>
      <c r="F105" s="682"/>
      <c r="G105" s="682"/>
      <c r="H105" s="682"/>
      <c r="I105" s="682"/>
      <c r="J105" s="682"/>
      <c r="K105" s="682"/>
      <c r="L105" s="682"/>
      <c r="M105" s="682"/>
      <c r="N105" s="682"/>
      <c r="O105" s="315"/>
      <c r="P105" s="315"/>
      <c r="Q105" s="315"/>
      <c r="R105" s="315"/>
      <c r="S105" s="315"/>
      <c r="T105" s="315"/>
      <c r="U105" s="315"/>
    </row>
    <row r="106" spans="1:21" ht="15" customHeight="1">
      <c r="A106" s="334" t="s">
        <v>42</v>
      </c>
      <c r="B106" s="331"/>
      <c r="C106" s="683" t="s">
        <v>409</v>
      </c>
      <c r="D106" s="683"/>
      <c r="E106" s="683"/>
      <c r="F106" s="683"/>
      <c r="G106" s="683"/>
      <c r="H106" s="683"/>
      <c r="I106" s="683"/>
      <c r="J106" s="683"/>
      <c r="K106" s="683"/>
      <c r="L106" s="683"/>
      <c r="M106" s="683"/>
      <c r="N106" s="683"/>
      <c r="O106" s="315"/>
      <c r="P106" s="315"/>
      <c r="Q106" s="315"/>
      <c r="R106" s="315"/>
      <c r="S106" s="315"/>
      <c r="T106" s="315"/>
      <c r="U106" s="315"/>
    </row>
    <row r="107" spans="1:21" ht="15" customHeight="1">
      <c r="A107" s="334" t="s">
        <v>55</v>
      </c>
      <c r="B107" s="331"/>
      <c r="C107" s="684" t="s">
        <v>410</v>
      </c>
      <c r="D107" s="683"/>
      <c r="E107" s="683"/>
      <c r="F107" s="683"/>
      <c r="G107" s="683"/>
      <c r="H107" s="683"/>
      <c r="I107" s="683"/>
      <c r="J107" s="683"/>
      <c r="K107" s="683"/>
      <c r="L107" s="683"/>
      <c r="M107" s="683"/>
      <c r="N107" s="683"/>
      <c r="O107" s="315"/>
      <c r="P107" s="315"/>
      <c r="Q107" s="315"/>
      <c r="R107" s="315"/>
      <c r="S107" s="315"/>
      <c r="T107" s="315"/>
      <c r="U107" s="315"/>
    </row>
    <row r="108" spans="1:21" ht="15" customHeight="1">
      <c r="A108" s="334" t="s">
        <v>56</v>
      </c>
      <c r="B108" s="331"/>
      <c r="C108" s="683" t="s">
        <v>411</v>
      </c>
      <c r="D108" s="683"/>
      <c r="E108" s="683"/>
      <c r="F108" s="683"/>
      <c r="G108" s="683"/>
      <c r="H108" s="683"/>
      <c r="I108" s="683"/>
      <c r="J108" s="683"/>
      <c r="K108" s="683"/>
      <c r="L108" s="683"/>
      <c r="M108" s="683"/>
      <c r="N108" s="683"/>
      <c r="O108" s="315"/>
      <c r="P108" s="315"/>
      <c r="Q108" s="315"/>
      <c r="R108" s="315"/>
      <c r="S108" s="315"/>
      <c r="T108" s="315"/>
      <c r="U108" s="315"/>
    </row>
    <row r="109" spans="1:21" ht="15" customHeight="1">
      <c r="A109" s="334" t="s">
        <v>412</v>
      </c>
      <c r="B109" s="331"/>
      <c r="C109" s="681" t="s">
        <v>413</v>
      </c>
      <c r="D109" s="681"/>
      <c r="E109" s="681"/>
      <c r="F109" s="681"/>
      <c r="G109" s="681"/>
      <c r="H109" s="681"/>
      <c r="I109" s="681"/>
      <c r="J109" s="681"/>
      <c r="K109" s="681"/>
      <c r="L109" s="681"/>
      <c r="M109" s="681"/>
      <c r="N109" s="681"/>
      <c r="O109" s="315"/>
      <c r="P109" s="315"/>
      <c r="Q109" s="315"/>
      <c r="R109" s="315"/>
      <c r="S109" s="315"/>
      <c r="T109" s="315"/>
      <c r="U109" s="315"/>
    </row>
    <row r="110" spans="1:21" ht="15.75">
      <c r="A110" s="289"/>
      <c r="B110" s="86"/>
      <c r="C110" s="335"/>
      <c r="D110" s="272"/>
      <c r="E110" s="273"/>
      <c r="F110" s="273"/>
      <c r="G110" s="243"/>
      <c r="H110" s="288"/>
      <c r="I110" s="288"/>
      <c r="J110" s="266"/>
      <c r="K110" s="288"/>
      <c r="L110" s="584"/>
      <c r="M110" s="584"/>
      <c r="N110" s="584"/>
      <c r="O110" s="584"/>
      <c r="P110" s="584"/>
      <c r="Q110" s="315"/>
      <c r="R110" s="315"/>
      <c r="S110" s="315"/>
      <c r="T110" s="315"/>
      <c r="U110" s="315"/>
    </row>
    <row r="111" spans="1:21" ht="15.75">
      <c r="A111" s="289"/>
      <c r="B111" s="86"/>
      <c r="C111" s="335"/>
      <c r="D111" s="272"/>
      <c r="E111" s="273"/>
      <c r="F111" s="273"/>
      <c r="G111" s="243"/>
      <c r="H111" s="288"/>
      <c r="I111" s="288"/>
      <c r="J111" s="266"/>
      <c r="K111" s="288"/>
      <c r="L111" s="584"/>
      <c r="M111" s="584"/>
      <c r="N111" s="584"/>
      <c r="O111" s="584"/>
      <c r="P111" s="584"/>
      <c r="Q111" s="315"/>
      <c r="R111" s="315"/>
      <c r="S111" s="315"/>
      <c r="T111" s="315"/>
      <c r="U111" s="315"/>
    </row>
    <row r="112" spans="1:21">
      <c r="C112" s="315"/>
      <c r="D112" s="315"/>
      <c r="E112" s="315"/>
      <c r="F112" s="315"/>
      <c r="G112" s="315"/>
      <c r="H112" s="315"/>
      <c r="I112" s="315"/>
      <c r="J112" s="315"/>
      <c r="K112" s="315"/>
      <c r="L112" s="315"/>
      <c r="M112" s="315"/>
      <c r="N112" s="315"/>
      <c r="O112" s="315"/>
      <c r="P112" s="315"/>
      <c r="Q112" s="315"/>
      <c r="R112" s="315"/>
      <c r="S112" s="315"/>
      <c r="T112" s="315"/>
      <c r="U112" s="315"/>
    </row>
    <row r="113" spans="3:21">
      <c r="C113" s="315"/>
      <c r="D113" s="315"/>
      <c r="E113" s="315"/>
      <c r="F113" s="315"/>
      <c r="G113" s="315"/>
      <c r="H113" s="315"/>
      <c r="I113" s="315"/>
      <c r="J113" s="315"/>
      <c r="K113" s="315"/>
      <c r="L113" s="315"/>
      <c r="M113" s="315"/>
      <c r="N113" s="315"/>
      <c r="O113" s="315"/>
      <c r="P113" s="315"/>
      <c r="Q113" s="315"/>
      <c r="R113" s="315"/>
      <c r="S113" s="315"/>
      <c r="T113" s="315"/>
      <c r="U113" s="315"/>
    </row>
    <row r="114" spans="3:21">
      <c r="C114" s="315"/>
      <c r="D114" s="315"/>
      <c r="E114" s="315"/>
      <c r="F114" s="315"/>
      <c r="G114" s="315"/>
      <c r="H114" s="315"/>
      <c r="I114" s="315"/>
      <c r="J114" s="315"/>
      <c r="K114" s="315"/>
      <c r="L114" s="315"/>
      <c r="M114" s="315"/>
      <c r="N114" s="315"/>
      <c r="O114" s="315"/>
      <c r="P114" s="315"/>
      <c r="Q114" s="315"/>
      <c r="R114" s="315"/>
      <c r="S114" s="315"/>
      <c r="T114" s="315"/>
      <c r="U114" s="315"/>
    </row>
    <row r="115" spans="3:21">
      <c r="C115" s="315"/>
      <c r="D115" s="315"/>
      <c r="E115" s="315"/>
      <c r="F115" s="315"/>
      <c r="G115" s="315"/>
      <c r="H115" s="315"/>
      <c r="I115" s="315"/>
      <c r="J115" s="315"/>
      <c r="K115" s="315"/>
      <c r="L115" s="315"/>
      <c r="M115" s="315"/>
      <c r="N115" s="315"/>
      <c r="O115" s="315"/>
      <c r="P115" s="315"/>
      <c r="Q115" s="315"/>
      <c r="R115" s="315"/>
      <c r="S115" s="315"/>
      <c r="T115" s="315"/>
      <c r="U115" s="315"/>
    </row>
    <row r="116" spans="3:21">
      <c r="C116" s="315"/>
      <c r="D116" s="315"/>
      <c r="E116" s="315"/>
      <c r="F116" s="315"/>
      <c r="G116" s="315"/>
      <c r="H116" s="315"/>
      <c r="I116" s="315"/>
      <c r="J116" s="315"/>
      <c r="K116" s="315"/>
      <c r="L116" s="315"/>
      <c r="M116" s="315"/>
      <c r="N116" s="315"/>
      <c r="O116" s="315"/>
      <c r="P116" s="315"/>
      <c r="Q116" s="315"/>
      <c r="R116" s="315"/>
      <c r="S116" s="315"/>
      <c r="T116" s="315"/>
      <c r="U116" s="315"/>
    </row>
    <row r="117" spans="3:21">
      <c r="C117" s="315"/>
      <c r="D117" s="315"/>
      <c r="E117" s="315"/>
      <c r="F117" s="315"/>
      <c r="G117" s="315"/>
      <c r="H117" s="315"/>
      <c r="I117" s="315"/>
      <c r="J117" s="315"/>
      <c r="K117" s="315"/>
      <c r="L117" s="315"/>
      <c r="M117" s="315"/>
      <c r="N117" s="315"/>
      <c r="O117" s="315"/>
      <c r="P117" s="315"/>
      <c r="Q117" s="315"/>
      <c r="R117" s="315"/>
      <c r="S117" s="315"/>
      <c r="T117" s="315"/>
      <c r="U117" s="315"/>
    </row>
    <row r="118" spans="3:21">
      <c r="C118" s="315"/>
      <c r="D118" s="315"/>
      <c r="E118" s="315"/>
      <c r="F118" s="315"/>
      <c r="G118" s="315"/>
      <c r="H118" s="315"/>
      <c r="I118" s="315"/>
      <c r="J118" s="315"/>
      <c r="K118" s="315"/>
      <c r="L118" s="315"/>
      <c r="M118" s="315"/>
      <c r="N118" s="315"/>
      <c r="O118" s="315"/>
      <c r="P118" s="315"/>
      <c r="Q118" s="315"/>
      <c r="R118" s="315"/>
      <c r="S118" s="315"/>
      <c r="T118" s="315"/>
      <c r="U118" s="315"/>
    </row>
    <row r="119" spans="3:21">
      <c r="C119" s="315"/>
      <c r="D119" s="315"/>
      <c r="E119" s="315"/>
      <c r="F119" s="315"/>
      <c r="G119" s="315"/>
      <c r="H119" s="315"/>
      <c r="I119" s="315"/>
      <c r="J119" s="315"/>
      <c r="K119" s="315"/>
      <c r="L119" s="315"/>
      <c r="M119" s="315"/>
      <c r="N119" s="315"/>
      <c r="O119" s="315"/>
      <c r="P119" s="315"/>
      <c r="Q119" s="315"/>
      <c r="R119" s="315"/>
      <c r="S119" s="315"/>
      <c r="T119" s="315"/>
      <c r="U119" s="315"/>
    </row>
    <row r="120" spans="3:21">
      <c r="C120" s="315"/>
      <c r="D120" s="315"/>
      <c r="E120" s="315"/>
      <c r="F120" s="315"/>
      <c r="G120" s="315"/>
      <c r="H120" s="315"/>
      <c r="I120" s="315"/>
      <c r="J120" s="315"/>
      <c r="K120" s="315"/>
      <c r="L120" s="315"/>
      <c r="M120" s="315"/>
      <c r="N120" s="315"/>
      <c r="O120" s="315"/>
      <c r="P120" s="315"/>
      <c r="Q120" s="315"/>
      <c r="R120" s="315"/>
      <c r="S120" s="315"/>
      <c r="T120" s="315"/>
      <c r="U120" s="315"/>
    </row>
    <row r="121" spans="3:21">
      <c r="C121" s="315"/>
      <c r="D121" s="315"/>
      <c r="E121" s="315"/>
      <c r="F121" s="315"/>
      <c r="G121" s="315"/>
      <c r="H121" s="315"/>
      <c r="I121" s="315"/>
      <c r="J121" s="315"/>
      <c r="K121" s="315"/>
      <c r="L121" s="315"/>
      <c r="M121" s="315"/>
      <c r="N121" s="315"/>
      <c r="O121" s="315"/>
      <c r="P121" s="315"/>
      <c r="Q121" s="315"/>
      <c r="R121" s="315"/>
      <c r="S121" s="315"/>
      <c r="T121" s="315"/>
      <c r="U121" s="315"/>
    </row>
    <row r="122" spans="3:21">
      <c r="C122" s="315"/>
      <c r="D122" s="315"/>
      <c r="E122" s="315"/>
      <c r="F122" s="315"/>
      <c r="G122" s="315"/>
      <c r="H122" s="315"/>
      <c r="I122" s="315"/>
      <c r="J122" s="315"/>
      <c r="K122" s="315"/>
      <c r="L122" s="315"/>
      <c r="M122" s="315"/>
      <c r="N122" s="315"/>
      <c r="O122" s="315"/>
      <c r="P122" s="315"/>
      <c r="Q122" s="315"/>
      <c r="R122" s="315"/>
      <c r="S122" s="315"/>
      <c r="T122" s="315"/>
      <c r="U122" s="315"/>
    </row>
    <row r="123" spans="3:21">
      <c r="C123" s="315"/>
      <c r="D123" s="315"/>
      <c r="E123" s="315"/>
      <c r="F123" s="315"/>
      <c r="G123" s="315"/>
      <c r="H123" s="315"/>
      <c r="I123" s="315"/>
      <c r="J123" s="315"/>
      <c r="K123" s="315"/>
      <c r="L123" s="315"/>
      <c r="M123" s="315"/>
      <c r="N123" s="315"/>
      <c r="O123" s="315"/>
      <c r="P123" s="315"/>
      <c r="Q123" s="315"/>
      <c r="R123" s="315"/>
      <c r="S123" s="315"/>
      <c r="T123" s="315"/>
      <c r="U123" s="315"/>
    </row>
    <row r="124" spans="3:21">
      <c r="C124" s="315"/>
      <c r="D124" s="315"/>
      <c r="E124" s="315"/>
      <c r="F124" s="315"/>
      <c r="G124" s="315"/>
      <c r="H124" s="315"/>
      <c r="I124" s="315"/>
      <c r="J124" s="315"/>
      <c r="K124" s="315"/>
      <c r="L124" s="315"/>
      <c r="M124" s="315"/>
      <c r="N124" s="315"/>
      <c r="O124" s="315"/>
      <c r="P124" s="315"/>
      <c r="Q124" s="315"/>
      <c r="R124" s="315"/>
      <c r="S124" s="315"/>
      <c r="T124" s="315"/>
      <c r="U124" s="315"/>
    </row>
    <row r="125" spans="3:21">
      <c r="C125" s="315"/>
      <c r="D125" s="315"/>
      <c r="E125" s="315"/>
      <c r="F125" s="315"/>
      <c r="G125" s="315"/>
      <c r="H125" s="315"/>
      <c r="I125" s="315"/>
      <c r="J125" s="315"/>
      <c r="K125" s="315"/>
      <c r="L125" s="315"/>
      <c r="M125" s="315"/>
      <c r="N125" s="315"/>
      <c r="O125" s="315"/>
      <c r="P125" s="315"/>
      <c r="Q125" s="315"/>
      <c r="R125" s="315"/>
      <c r="S125" s="315"/>
      <c r="T125" s="315"/>
      <c r="U125" s="315"/>
    </row>
    <row r="126" spans="3:21">
      <c r="C126" s="315"/>
      <c r="D126" s="315"/>
      <c r="E126" s="315"/>
      <c r="F126" s="315"/>
      <c r="G126" s="315"/>
      <c r="H126" s="315"/>
      <c r="I126" s="315"/>
      <c r="J126" s="315"/>
      <c r="K126" s="315"/>
      <c r="L126" s="315"/>
      <c r="M126" s="315"/>
      <c r="N126" s="315"/>
      <c r="O126" s="315"/>
      <c r="P126" s="315"/>
      <c r="Q126" s="315"/>
      <c r="R126" s="315"/>
      <c r="S126" s="315"/>
      <c r="T126" s="315"/>
      <c r="U126" s="315"/>
    </row>
    <row r="127" spans="3:21">
      <c r="C127" s="315"/>
      <c r="D127" s="315"/>
      <c r="E127" s="315"/>
      <c r="F127" s="315"/>
      <c r="G127" s="315"/>
      <c r="H127" s="315"/>
      <c r="I127" s="315"/>
      <c r="J127" s="315"/>
      <c r="K127" s="315"/>
      <c r="L127" s="315"/>
      <c r="M127" s="315"/>
      <c r="N127" s="315"/>
      <c r="O127" s="315"/>
      <c r="P127" s="315"/>
      <c r="Q127" s="315"/>
      <c r="R127" s="315"/>
      <c r="S127" s="315"/>
      <c r="T127" s="315"/>
      <c r="U127" s="315"/>
    </row>
    <row r="128" spans="3:21">
      <c r="C128" s="315"/>
      <c r="D128" s="315"/>
      <c r="E128" s="315"/>
      <c r="F128" s="315"/>
      <c r="G128" s="315"/>
      <c r="H128" s="315"/>
      <c r="I128" s="315"/>
      <c r="J128" s="315"/>
      <c r="K128" s="315"/>
      <c r="L128" s="315"/>
      <c r="M128" s="315"/>
      <c r="N128" s="315"/>
      <c r="O128" s="315"/>
      <c r="P128" s="315"/>
      <c r="Q128" s="315"/>
      <c r="R128" s="315"/>
      <c r="S128" s="315"/>
      <c r="T128" s="315"/>
      <c r="U128" s="315"/>
    </row>
    <row r="129" spans="3:21">
      <c r="C129" s="315"/>
      <c r="D129" s="315"/>
      <c r="E129" s="315"/>
      <c r="F129" s="315"/>
      <c r="G129" s="315"/>
      <c r="H129" s="315"/>
      <c r="I129" s="315"/>
      <c r="J129" s="315"/>
      <c r="K129" s="315"/>
      <c r="L129" s="315"/>
      <c r="M129" s="315"/>
      <c r="N129" s="315"/>
      <c r="O129" s="315"/>
      <c r="P129" s="315"/>
      <c r="Q129" s="315"/>
      <c r="R129" s="315"/>
      <c r="S129" s="315"/>
      <c r="T129" s="315"/>
      <c r="U129" s="315"/>
    </row>
    <row r="130" spans="3:21">
      <c r="C130" s="315"/>
      <c r="D130" s="315"/>
      <c r="E130" s="315"/>
      <c r="F130" s="315"/>
      <c r="G130" s="315"/>
      <c r="H130" s="315"/>
      <c r="I130" s="315"/>
      <c r="J130" s="315"/>
      <c r="K130" s="315"/>
      <c r="L130" s="315"/>
      <c r="M130" s="315"/>
      <c r="N130" s="315"/>
      <c r="O130" s="315"/>
      <c r="P130" s="315"/>
      <c r="Q130" s="315"/>
      <c r="R130" s="315"/>
      <c r="S130" s="315"/>
      <c r="T130" s="315"/>
      <c r="U130" s="315"/>
    </row>
    <row r="131" spans="3:21">
      <c r="C131" s="315"/>
      <c r="D131" s="315"/>
      <c r="E131" s="315"/>
      <c r="F131" s="315"/>
      <c r="G131" s="315"/>
      <c r="H131" s="315"/>
      <c r="I131" s="315"/>
      <c r="J131" s="315"/>
      <c r="K131" s="315"/>
      <c r="L131" s="315"/>
      <c r="M131" s="315"/>
      <c r="N131" s="315"/>
      <c r="O131" s="315"/>
      <c r="P131" s="315"/>
      <c r="Q131" s="315"/>
      <c r="R131" s="315"/>
      <c r="S131" s="315"/>
      <c r="T131" s="315"/>
      <c r="U131" s="315"/>
    </row>
    <row r="132" spans="3:21">
      <c r="C132" s="315"/>
      <c r="D132" s="315"/>
      <c r="E132" s="315"/>
      <c r="F132" s="315"/>
      <c r="G132" s="315"/>
      <c r="H132" s="315"/>
      <c r="I132" s="315"/>
      <c r="J132" s="315"/>
      <c r="K132" s="315"/>
      <c r="L132" s="315"/>
      <c r="M132" s="315"/>
      <c r="N132" s="315"/>
      <c r="O132" s="315"/>
      <c r="P132" s="315"/>
      <c r="Q132" s="315"/>
      <c r="R132" s="315"/>
      <c r="S132" s="315"/>
      <c r="T132" s="315"/>
      <c r="U132" s="315"/>
    </row>
    <row r="133" spans="3:21">
      <c r="C133" s="315"/>
      <c r="D133" s="315"/>
      <c r="E133" s="315"/>
      <c r="F133" s="315"/>
      <c r="G133" s="315"/>
      <c r="H133" s="315"/>
      <c r="I133" s="315"/>
      <c r="J133" s="315"/>
      <c r="K133" s="315"/>
      <c r="L133" s="315"/>
      <c r="M133" s="315"/>
      <c r="N133" s="315"/>
      <c r="O133" s="315"/>
      <c r="P133" s="315"/>
      <c r="Q133" s="315"/>
      <c r="R133" s="315"/>
      <c r="S133" s="315"/>
      <c r="T133" s="315"/>
      <c r="U133" s="315"/>
    </row>
    <row r="134" spans="3:21">
      <c r="C134" s="315"/>
      <c r="D134" s="315"/>
      <c r="E134" s="315"/>
      <c r="F134" s="315"/>
      <c r="G134" s="315"/>
      <c r="H134" s="315"/>
      <c r="I134" s="315"/>
      <c r="J134" s="315"/>
      <c r="K134" s="315"/>
      <c r="L134" s="315"/>
      <c r="M134" s="315"/>
      <c r="N134" s="315"/>
      <c r="O134" s="315"/>
      <c r="P134" s="315"/>
      <c r="Q134" s="315"/>
      <c r="R134" s="315"/>
      <c r="S134" s="315"/>
      <c r="T134" s="315"/>
      <c r="U134" s="315"/>
    </row>
    <row r="135" spans="3:21">
      <c r="C135" s="315"/>
      <c r="D135" s="315"/>
      <c r="E135" s="315"/>
      <c r="F135" s="315"/>
      <c r="G135" s="315"/>
      <c r="H135" s="315"/>
      <c r="I135" s="315"/>
      <c r="J135" s="315"/>
      <c r="K135" s="315"/>
      <c r="L135" s="315"/>
      <c r="M135" s="315"/>
      <c r="N135" s="315"/>
      <c r="O135" s="315"/>
      <c r="P135" s="315"/>
      <c r="Q135" s="315"/>
      <c r="R135" s="315"/>
      <c r="S135" s="315"/>
      <c r="T135" s="315"/>
      <c r="U135" s="315"/>
    </row>
    <row r="136" spans="3:21">
      <c r="C136" s="315"/>
      <c r="D136" s="315"/>
      <c r="E136" s="315"/>
      <c r="F136" s="315"/>
      <c r="G136" s="315"/>
      <c r="H136" s="315"/>
      <c r="I136" s="315"/>
      <c r="J136" s="315"/>
      <c r="K136" s="315"/>
      <c r="L136" s="315"/>
      <c r="M136" s="315"/>
      <c r="N136" s="315"/>
      <c r="O136" s="315"/>
      <c r="P136" s="315"/>
      <c r="Q136" s="315"/>
      <c r="R136" s="315"/>
      <c r="S136" s="315"/>
      <c r="T136" s="315"/>
      <c r="U136" s="315"/>
    </row>
    <row r="137" spans="3:21">
      <c r="C137" s="315"/>
      <c r="D137" s="315"/>
      <c r="E137" s="315"/>
      <c r="F137" s="315"/>
      <c r="G137" s="315"/>
      <c r="H137" s="315"/>
      <c r="I137" s="315"/>
      <c r="J137" s="315"/>
      <c r="K137" s="315"/>
      <c r="L137" s="315"/>
      <c r="M137" s="315"/>
      <c r="N137" s="315"/>
      <c r="O137" s="315"/>
      <c r="P137" s="315"/>
      <c r="Q137" s="315"/>
      <c r="R137" s="315"/>
      <c r="S137" s="315"/>
      <c r="T137" s="315"/>
      <c r="U137" s="315"/>
    </row>
    <row r="138" spans="3:21">
      <c r="C138" s="315"/>
      <c r="D138" s="315"/>
      <c r="E138" s="315"/>
      <c r="F138" s="315"/>
      <c r="G138" s="315"/>
      <c r="H138" s="315"/>
      <c r="I138" s="315"/>
      <c r="J138" s="315"/>
      <c r="K138" s="315"/>
      <c r="L138" s="315"/>
      <c r="M138" s="315"/>
      <c r="N138" s="315"/>
      <c r="O138" s="315"/>
      <c r="P138" s="315"/>
      <c r="Q138" s="315"/>
      <c r="R138" s="315"/>
      <c r="S138" s="315"/>
      <c r="T138" s="315"/>
      <c r="U138" s="315"/>
    </row>
    <row r="139" spans="3:21">
      <c r="C139" s="315"/>
      <c r="D139" s="315"/>
      <c r="E139" s="315"/>
      <c r="F139" s="315"/>
      <c r="G139" s="315"/>
      <c r="H139" s="315"/>
      <c r="I139" s="315"/>
      <c r="J139" s="315"/>
      <c r="K139" s="315"/>
      <c r="L139" s="315"/>
      <c r="M139" s="315"/>
      <c r="N139" s="315"/>
      <c r="O139" s="315"/>
      <c r="P139" s="315"/>
      <c r="Q139" s="315"/>
      <c r="R139" s="315"/>
      <c r="S139" s="315"/>
      <c r="T139" s="315"/>
      <c r="U139" s="315"/>
    </row>
    <row r="140" spans="3:21">
      <c r="C140" s="315"/>
      <c r="D140" s="315"/>
      <c r="E140" s="315"/>
      <c r="F140" s="315"/>
      <c r="G140" s="315"/>
      <c r="H140" s="315"/>
      <c r="I140" s="315"/>
      <c r="J140" s="315"/>
      <c r="K140" s="315"/>
      <c r="L140" s="315"/>
      <c r="M140" s="315"/>
      <c r="N140" s="315"/>
      <c r="O140" s="315"/>
      <c r="P140" s="315"/>
      <c r="Q140" s="315"/>
      <c r="R140" s="315"/>
      <c r="S140" s="315"/>
      <c r="T140" s="315"/>
      <c r="U140" s="315"/>
    </row>
    <row r="141" spans="3:21">
      <c r="C141" s="315"/>
      <c r="D141" s="315"/>
      <c r="E141" s="315"/>
      <c r="F141" s="315"/>
      <c r="G141" s="315"/>
      <c r="H141" s="315"/>
      <c r="I141" s="315"/>
      <c r="J141" s="315"/>
      <c r="K141" s="315"/>
      <c r="L141" s="315"/>
      <c r="M141" s="315"/>
      <c r="N141" s="315"/>
      <c r="O141" s="315"/>
      <c r="P141" s="315"/>
      <c r="Q141" s="315"/>
      <c r="R141" s="315"/>
      <c r="S141" s="315"/>
      <c r="T141" s="315"/>
      <c r="U141" s="315"/>
    </row>
    <row r="142" spans="3:21">
      <c r="C142" s="315"/>
      <c r="D142" s="315"/>
      <c r="E142" s="315"/>
      <c r="F142" s="315"/>
      <c r="G142" s="315"/>
      <c r="H142" s="315"/>
      <c r="I142" s="315"/>
      <c r="J142" s="315"/>
      <c r="K142" s="315"/>
      <c r="L142" s="315"/>
      <c r="M142" s="315"/>
      <c r="N142" s="315"/>
      <c r="O142" s="315"/>
      <c r="P142" s="315"/>
      <c r="Q142" s="315"/>
      <c r="R142" s="315"/>
      <c r="S142" s="315"/>
      <c r="T142" s="315"/>
      <c r="U142" s="315"/>
    </row>
    <row r="143" spans="3:21">
      <c r="C143" s="315"/>
      <c r="D143" s="315"/>
      <c r="E143" s="315"/>
      <c r="F143" s="315"/>
      <c r="G143" s="315"/>
      <c r="H143" s="315"/>
      <c r="I143" s="315"/>
      <c r="J143" s="315"/>
      <c r="K143" s="315"/>
      <c r="L143" s="315"/>
      <c r="M143" s="315"/>
      <c r="N143" s="315"/>
      <c r="O143" s="315"/>
      <c r="P143" s="315"/>
      <c r="Q143" s="315"/>
      <c r="R143" s="315"/>
      <c r="S143" s="315"/>
      <c r="T143" s="315"/>
      <c r="U143" s="315"/>
    </row>
    <row r="144" spans="3:21">
      <c r="C144" s="315"/>
      <c r="D144" s="315"/>
      <c r="E144" s="315"/>
      <c r="F144" s="315"/>
      <c r="G144" s="315"/>
      <c r="H144" s="315"/>
      <c r="I144" s="315"/>
      <c r="J144" s="315"/>
      <c r="K144" s="315"/>
      <c r="L144" s="315"/>
      <c r="M144" s="315"/>
      <c r="N144" s="315"/>
      <c r="O144" s="315"/>
      <c r="P144" s="315"/>
      <c r="Q144" s="315"/>
      <c r="R144" s="315"/>
      <c r="S144" s="315"/>
      <c r="T144" s="315"/>
      <c r="U144" s="315"/>
    </row>
    <row r="145" spans="3:21">
      <c r="C145" s="315"/>
      <c r="D145" s="315"/>
      <c r="E145" s="315"/>
      <c r="F145" s="315"/>
      <c r="G145" s="315"/>
      <c r="H145" s="315"/>
      <c r="I145" s="315"/>
      <c r="J145" s="315"/>
      <c r="K145" s="315"/>
      <c r="L145" s="315"/>
      <c r="M145" s="315"/>
      <c r="N145" s="315"/>
      <c r="O145" s="315"/>
      <c r="P145" s="315"/>
      <c r="Q145" s="315"/>
      <c r="R145" s="315"/>
      <c r="S145" s="315"/>
      <c r="T145" s="315"/>
      <c r="U145" s="315"/>
    </row>
    <row r="146" spans="3:21">
      <c r="C146" s="315"/>
      <c r="D146" s="315"/>
      <c r="E146" s="315"/>
      <c r="F146" s="315"/>
      <c r="G146" s="315"/>
      <c r="H146" s="315"/>
      <c r="I146" s="315"/>
      <c r="J146" s="315"/>
      <c r="K146" s="315"/>
      <c r="L146" s="315"/>
      <c r="M146" s="315"/>
      <c r="N146" s="315"/>
      <c r="O146" s="315"/>
      <c r="P146" s="315"/>
      <c r="Q146" s="315"/>
      <c r="R146" s="315"/>
      <c r="S146" s="315"/>
      <c r="T146" s="315"/>
      <c r="U146" s="315"/>
    </row>
    <row r="147" spans="3:21">
      <c r="C147" s="315"/>
      <c r="D147" s="315"/>
      <c r="E147" s="315"/>
      <c r="F147" s="315"/>
      <c r="G147" s="315"/>
      <c r="H147" s="315"/>
      <c r="I147" s="315"/>
      <c r="J147" s="315"/>
      <c r="K147" s="315"/>
      <c r="L147" s="315"/>
      <c r="M147" s="315"/>
      <c r="N147" s="315"/>
      <c r="O147" s="315"/>
      <c r="P147" s="315"/>
      <c r="Q147" s="315"/>
      <c r="R147" s="315"/>
      <c r="S147" s="315"/>
      <c r="T147" s="315"/>
      <c r="U147" s="315"/>
    </row>
    <row r="148" spans="3:21">
      <c r="C148" s="315"/>
      <c r="D148" s="315"/>
      <c r="E148" s="315"/>
      <c r="F148" s="315"/>
      <c r="G148" s="315"/>
      <c r="H148" s="315"/>
      <c r="I148" s="315"/>
      <c r="J148" s="315"/>
      <c r="K148" s="315"/>
      <c r="L148" s="315"/>
      <c r="M148" s="315"/>
      <c r="N148" s="315"/>
      <c r="O148" s="315"/>
      <c r="P148" s="315"/>
      <c r="Q148" s="315"/>
      <c r="R148" s="315"/>
      <c r="S148" s="315"/>
      <c r="T148" s="315"/>
      <c r="U148" s="315"/>
    </row>
    <row r="149" spans="3:21">
      <c r="C149" s="315"/>
      <c r="D149" s="315"/>
      <c r="E149" s="315"/>
      <c r="F149" s="315"/>
      <c r="G149" s="315"/>
      <c r="H149" s="315"/>
      <c r="I149" s="315"/>
      <c r="J149" s="315"/>
      <c r="K149" s="315"/>
      <c r="L149" s="315"/>
      <c r="M149" s="315"/>
      <c r="N149" s="315"/>
      <c r="O149" s="315"/>
      <c r="P149" s="315"/>
      <c r="Q149" s="315"/>
      <c r="R149" s="315"/>
      <c r="S149" s="315"/>
      <c r="T149" s="315"/>
      <c r="U149" s="315"/>
    </row>
    <row r="150" spans="3:21">
      <c r="C150" s="315"/>
      <c r="D150" s="315"/>
      <c r="E150" s="315"/>
      <c r="F150" s="315"/>
      <c r="G150" s="315"/>
      <c r="H150" s="315"/>
      <c r="I150" s="315"/>
      <c r="J150" s="315"/>
      <c r="K150" s="315"/>
      <c r="L150" s="315"/>
      <c r="M150" s="315"/>
      <c r="N150" s="315"/>
      <c r="O150" s="315"/>
      <c r="P150" s="315"/>
      <c r="Q150" s="315"/>
      <c r="R150" s="315"/>
      <c r="S150" s="315"/>
      <c r="T150" s="315"/>
      <c r="U150" s="315"/>
    </row>
    <row r="151" spans="3:21">
      <c r="C151" s="315"/>
      <c r="D151" s="315"/>
      <c r="E151" s="315"/>
      <c r="F151" s="315"/>
      <c r="G151" s="315"/>
      <c r="H151" s="315"/>
      <c r="I151" s="315"/>
      <c r="J151" s="315"/>
      <c r="K151" s="315"/>
      <c r="L151" s="315"/>
      <c r="M151" s="315"/>
      <c r="N151" s="315"/>
      <c r="O151" s="315"/>
      <c r="P151" s="315"/>
      <c r="Q151" s="315"/>
      <c r="R151" s="315"/>
      <c r="S151" s="315"/>
      <c r="T151" s="315"/>
      <c r="U151" s="315"/>
    </row>
    <row r="152" spans="3:21">
      <c r="C152" s="315"/>
      <c r="D152" s="315"/>
      <c r="E152" s="315"/>
      <c r="F152" s="315"/>
      <c r="G152" s="315"/>
      <c r="H152" s="315"/>
      <c r="I152" s="315"/>
      <c r="J152" s="315"/>
      <c r="K152" s="315"/>
      <c r="L152" s="315"/>
      <c r="M152" s="315"/>
      <c r="N152" s="315"/>
      <c r="O152" s="315"/>
      <c r="P152" s="315"/>
      <c r="Q152" s="315"/>
      <c r="R152" s="315"/>
      <c r="S152" s="315"/>
      <c r="T152" s="315"/>
      <c r="U152" s="315"/>
    </row>
    <row r="153" spans="3:21">
      <c r="C153" s="315"/>
      <c r="D153" s="315"/>
      <c r="E153" s="315"/>
      <c r="F153" s="315"/>
      <c r="G153" s="315"/>
      <c r="H153" s="315"/>
      <c r="I153" s="315"/>
      <c r="J153" s="315"/>
      <c r="K153" s="315"/>
      <c r="L153" s="315"/>
      <c r="M153" s="315"/>
      <c r="N153" s="315"/>
      <c r="O153" s="315"/>
      <c r="P153" s="315"/>
      <c r="Q153" s="315"/>
      <c r="R153" s="315"/>
      <c r="S153" s="315"/>
      <c r="T153" s="315"/>
      <c r="U153" s="315"/>
    </row>
    <row r="154" spans="3:21">
      <c r="C154" s="315"/>
      <c r="D154" s="315"/>
      <c r="E154" s="315"/>
      <c r="F154" s="315"/>
      <c r="G154" s="315"/>
      <c r="H154" s="315"/>
      <c r="I154" s="315"/>
      <c r="J154" s="315"/>
      <c r="K154" s="315"/>
      <c r="L154" s="315"/>
      <c r="M154" s="315"/>
      <c r="N154" s="315"/>
      <c r="O154" s="315"/>
      <c r="P154" s="315"/>
      <c r="Q154" s="315"/>
      <c r="R154" s="315"/>
      <c r="S154" s="315"/>
      <c r="T154" s="315"/>
      <c r="U154" s="315"/>
    </row>
    <row r="155" spans="3:21">
      <c r="C155" s="315"/>
      <c r="D155" s="315"/>
      <c r="E155" s="315"/>
      <c r="F155" s="315"/>
      <c r="G155" s="315"/>
      <c r="H155" s="315"/>
      <c r="I155" s="315"/>
      <c r="J155" s="315"/>
      <c r="K155" s="315"/>
      <c r="L155" s="315"/>
      <c r="M155" s="315"/>
      <c r="N155" s="315"/>
      <c r="O155" s="315"/>
      <c r="P155" s="315"/>
      <c r="Q155" s="315"/>
      <c r="R155" s="315"/>
      <c r="S155" s="315"/>
      <c r="T155" s="315"/>
      <c r="U155" s="315"/>
    </row>
    <row r="156" spans="3:21">
      <c r="C156" s="315"/>
      <c r="D156" s="315"/>
      <c r="E156" s="315"/>
      <c r="F156" s="315"/>
      <c r="G156" s="315"/>
      <c r="H156" s="315"/>
      <c r="I156" s="315"/>
      <c r="J156" s="315"/>
      <c r="K156" s="315"/>
      <c r="L156" s="315"/>
      <c r="M156" s="315"/>
      <c r="N156" s="315"/>
      <c r="O156" s="315"/>
      <c r="P156" s="315"/>
      <c r="Q156" s="315"/>
      <c r="R156" s="315"/>
      <c r="S156" s="315"/>
      <c r="T156" s="315"/>
      <c r="U156" s="315"/>
    </row>
    <row r="157" spans="3:21">
      <c r="C157" s="315"/>
      <c r="D157" s="315"/>
      <c r="E157" s="315"/>
      <c r="F157" s="315"/>
      <c r="G157" s="315"/>
      <c r="H157" s="315"/>
      <c r="I157" s="315"/>
      <c r="J157" s="315"/>
      <c r="K157" s="315"/>
      <c r="L157" s="315"/>
      <c r="M157" s="315"/>
      <c r="N157" s="315"/>
      <c r="O157" s="315"/>
      <c r="P157" s="315"/>
      <c r="Q157" s="315"/>
      <c r="R157" s="315"/>
      <c r="S157" s="315"/>
      <c r="T157" s="315"/>
      <c r="U157" s="315"/>
    </row>
    <row r="158" spans="3:21">
      <c r="C158" s="315"/>
      <c r="D158" s="315"/>
      <c r="E158" s="315"/>
      <c r="F158" s="315"/>
      <c r="G158" s="315"/>
      <c r="H158" s="315"/>
      <c r="I158" s="315"/>
      <c r="J158" s="315"/>
      <c r="K158" s="315"/>
      <c r="L158" s="315"/>
      <c r="M158" s="315"/>
      <c r="N158" s="315"/>
      <c r="O158" s="315"/>
      <c r="P158" s="315"/>
      <c r="Q158" s="315"/>
      <c r="R158" s="315"/>
      <c r="S158" s="315"/>
      <c r="T158" s="315"/>
      <c r="U158" s="315"/>
    </row>
    <row r="159" spans="3:21">
      <c r="C159" s="315"/>
      <c r="D159" s="315"/>
      <c r="E159" s="315"/>
      <c r="F159" s="315"/>
      <c r="G159" s="315"/>
      <c r="H159" s="315"/>
      <c r="I159" s="315"/>
      <c r="J159" s="315"/>
      <c r="K159" s="315"/>
      <c r="L159" s="315"/>
      <c r="M159" s="315"/>
      <c r="N159" s="315"/>
      <c r="O159" s="315"/>
      <c r="P159" s="315"/>
      <c r="Q159" s="315"/>
      <c r="R159" s="315"/>
      <c r="S159" s="315"/>
      <c r="T159" s="315"/>
      <c r="U159" s="315"/>
    </row>
    <row r="160" spans="3:21">
      <c r="C160" s="315"/>
      <c r="D160" s="315"/>
      <c r="E160" s="315"/>
      <c r="F160" s="315"/>
      <c r="G160" s="315"/>
      <c r="H160" s="315"/>
      <c r="I160" s="315"/>
      <c r="J160" s="315"/>
      <c r="K160" s="315"/>
      <c r="L160" s="315"/>
      <c r="M160" s="315"/>
      <c r="N160" s="315"/>
      <c r="O160" s="315"/>
      <c r="P160" s="315"/>
      <c r="Q160" s="315"/>
      <c r="R160" s="315"/>
      <c r="S160" s="315"/>
      <c r="T160" s="315"/>
      <c r="U160" s="315"/>
    </row>
    <row r="161" spans="3:21">
      <c r="C161" s="315"/>
      <c r="D161" s="315"/>
      <c r="E161" s="315"/>
      <c r="F161" s="315"/>
      <c r="G161" s="315"/>
      <c r="H161" s="315"/>
      <c r="I161" s="315"/>
      <c r="J161" s="315"/>
      <c r="K161" s="315"/>
      <c r="L161" s="315"/>
      <c r="M161" s="315"/>
      <c r="N161" s="315"/>
      <c r="O161" s="315"/>
      <c r="P161" s="315"/>
      <c r="Q161" s="315"/>
      <c r="R161" s="315"/>
      <c r="S161" s="315"/>
      <c r="T161" s="315"/>
      <c r="U161" s="315"/>
    </row>
    <row r="162" spans="3:21">
      <c r="C162" s="315"/>
      <c r="D162" s="315"/>
      <c r="E162" s="315"/>
      <c r="F162" s="315"/>
      <c r="G162" s="315"/>
      <c r="H162" s="315"/>
      <c r="I162" s="315"/>
      <c r="J162" s="315"/>
      <c r="K162" s="315"/>
      <c r="L162" s="315"/>
      <c r="M162" s="315"/>
      <c r="N162" s="315"/>
      <c r="O162" s="315"/>
      <c r="P162" s="315"/>
      <c r="Q162" s="315"/>
      <c r="R162" s="315"/>
      <c r="S162" s="315"/>
      <c r="T162" s="315"/>
      <c r="U162" s="315"/>
    </row>
    <row r="163" spans="3:21">
      <c r="C163" s="315"/>
      <c r="D163" s="315"/>
      <c r="E163" s="315"/>
      <c r="F163" s="315"/>
      <c r="G163" s="315"/>
      <c r="H163" s="315"/>
      <c r="I163" s="315"/>
      <c r="J163" s="315"/>
      <c r="K163" s="315"/>
      <c r="L163" s="315"/>
      <c r="M163" s="315"/>
      <c r="N163" s="315"/>
      <c r="O163" s="315"/>
      <c r="P163" s="315"/>
      <c r="Q163" s="315"/>
      <c r="R163" s="315"/>
      <c r="S163" s="315"/>
      <c r="T163" s="315"/>
      <c r="U163" s="315"/>
    </row>
    <row r="164" spans="3:21">
      <c r="C164" s="315"/>
      <c r="D164" s="315"/>
      <c r="E164" s="315"/>
      <c r="F164" s="315"/>
      <c r="G164" s="315"/>
      <c r="H164" s="315"/>
      <c r="I164" s="315"/>
      <c r="J164" s="315"/>
      <c r="K164" s="315"/>
      <c r="L164" s="315"/>
      <c r="M164" s="315"/>
      <c r="N164" s="315"/>
      <c r="O164" s="315"/>
      <c r="P164" s="315"/>
      <c r="Q164" s="315"/>
      <c r="R164" s="315"/>
      <c r="S164" s="315"/>
      <c r="T164" s="315"/>
      <c r="U164" s="315"/>
    </row>
    <row r="165" spans="3:21">
      <c r="C165" s="315"/>
      <c r="D165" s="315"/>
      <c r="E165" s="315"/>
      <c r="F165" s="315"/>
      <c r="G165" s="315"/>
      <c r="H165" s="315"/>
      <c r="I165" s="315"/>
      <c r="J165" s="315"/>
      <c r="K165" s="315"/>
      <c r="L165" s="315"/>
      <c r="M165" s="315"/>
      <c r="N165" s="315"/>
      <c r="O165" s="315"/>
      <c r="P165" s="315"/>
      <c r="Q165" s="315"/>
      <c r="R165" s="315"/>
      <c r="S165" s="315"/>
      <c r="T165" s="315"/>
      <c r="U165" s="315"/>
    </row>
    <row r="166" spans="3:21">
      <c r="C166" s="315"/>
      <c r="D166" s="315"/>
      <c r="E166" s="315"/>
      <c r="F166" s="315"/>
      <c r="G166" s="315"/>
      <c r="H166" s="315"/>
      <c r="I166" s="315"/>
      <c r="J166" s="315"/>
      <c r="K166" s="315"/>
      <c r="L166" s="315"/>
      <c r="M166" s="315"/>
      <c r="N166" s="315"/>
      <c r="O166" s="315"/>
      <c r="P166" s="315"/>
      <c r="Q166" s="315"/>
      <c r="R166" s="315"/>
      <c r="S166" s="315"/>
      <c r="T166" s="315"/>
      <c r="U166" s="315"/>
    </row>
    <row r="167" spans="3:21">
      <c r="C167" s="315"/>
      <c r="D167" s="315"/>
      <c r="E167" s="315"/>
      <c r="F167" s="315"/>
      <c r="G167" s="315"/>
      <c r="H167" s="315"/>
      <c r="I167" s="315"/>
      <c r="J167" s="315"/>
      <c r="K167" s="315"/>
      <c r="L167" s="315"/>
      <c r="M167" s="315"/>
      <c r="N167" s="315"/>
      <c r="O167" s="315"/>
      <c r="P167" s="315"/>
      <c r="Q167" s="315"/>
      <c r="R167" s="315"/>
      <c r="S167" s="315"/>
      <c r="T167" s="315"/>
      <c r="U167" s="315"/>
    </row>
    <row r="168" spans="3:21">
      <c r="C168" s="315"/>
      <c r="D168" s="315"/>
      <c r="E168" s="315"/>
      <c r="F168" s="315"/>
      <c r="G168" s="315"/>
      <c r="H168" s="315"/>
      <c r="I168" s="315"/>
      <c r="J168" s="315"/>
      <c r="K168" s="315"/>
      <c r="L168" s="315"/>
      <c r="M168" s="315"/>
      <c r="N168" s="315"/>
      <c r="O168" s="315"/>
      <c r="P168" s="315"/>
      <c r="Q168" s="315"/>
      <c r="R168" s="315"/>
      <c r="S168" s="315"/>
      <c r="T168" s="315"/>
      <c r="U168" s="315"/>
    </row>
    <row r="169" spans="3:21">
      <c r="C169" s="315"/>
      <c r="D169" s="315"/>
      <c r="E169" s="315"/>
      <c r="F169" s="315"/>
      <c r="G169" s="315"/>
      <c r="H169" s="315"/>
      <c r="I169" s="315"/>
      <c r="J169" s="315"/>
      <c r="K169" s="315"/>
      <c r="L169" s="315"/>
      <c r="M169" s="315"/>
      <c r="N169" s="315"/>
      <c r="O169" s="315"/>
      <c r="P169" s="315"/>
      <c r="Q169" s="315"/>
      <c r="R169" s="315"/>
      <c r="S169" s="315"/>
      <c r="T169" s="315"/>
      <c r="U169" s="315"/>
    </row>
    <row r="170" spans="3:21">
      <c r="C170" s="315"/>
      <c r="D170" s="315"/>
      <c r="E170" s="315"/>
      <c r="F170" s="315"/>
      <c r="G170" s="315"/>
      <c r="H170" s="315"/>
      <c r="I170" s="315"/>
      <c r="J170" s="315"/>
      <c r="K170" s="315"/>
      <c r="L170" s="315"/>
      <c r="M170" s="315"/>
      <c r="N170" s="315"/>
      <c r="O170" s="315"/>
      <c r="P170" s="315"/>
      <c r="Q170" s="315"/>
      <c r="R170" s="315"/>
      <c r="S170" s="315"/>
      <c r="T170" s="315"/>
      <c r="U170" s="315"/>
    </row>
    <row r="171" spans="3:21">
      <c r="C171" s="315"/>
      <c r="D171" s="315"/>
      <c r="E171" s="315"/>
      <c r="F171" s="315"/>
      <c r="G171" s="315"/>
      <c r="H171" s="315"/>
      <c r="I171" s="315"/>
      <c r="J171" s="315"/>
      <c r="K171" s="315"/>
      <c r="L171" s="315"/>
      <c r="M171" s="315"/>
      <c r="N171" s="315"/>
      <c r="O171" s="315"/>
      <c r="P171" s="315"/>
      <c r="Q171" s="315"/>
      <c r="R171" s="315"/>
      <c r="S171" s="315"/>
      <c r="T171" s="315"/>
      <c r="U171" s="315"/>
    </row>
    <row r="172" spans="3:21">
      <c r="C172" s="315"/>
      <c r="D172" s="315"/>
      <c r="E172" s="315"/>
      <c r="F172" s="315"/>
      <c r="G172" s="315"/>
      <c r="H172" s="315"/>
      <c r="I172" s="315"/>
      <c r="J172" s="315"/>
      <c r="K172" s="315"/>
      <c r="L172" s="315"/>
      <c r="M172" s="315"/>
      <c r="N172" s="315"/>
      <c r="O172" s="315"/>
      <c r="P172" s="315"/>
      <c r="Q172" s="315"/>
      <c r="R172" s="315"/>
      <c r="S172" s="315"/>
      <c r="T172" s="315"/>
      <c r="U172" s="315"/>
    </row>
    <row r="173" spans="3:21">
      <c r="C173" s="315"/>
      <c r="D173" s="315"/>
      <c r="E173" s="315"/>
      <c r="F173" s="315"/>
      <c r="G173" s="315"/>
      <c r="H173" s="315"/>
      <c r="I173" s="315"/>
      <c r="J173" s="315"/>
      <c r="K173" s="315"/>
      <c r="L173" s="315"/>
      <c r="M173" s="315"/>
      <c r="N173" s="315"/>
      <c r="O173" s="315"/>
      <c r="P173" s="315"/>
      <c r="Q173" s="315"/>
      <c r="R173" s="315"/>
      <c r="S173" s="315"/>
      <c r="T173" s="315"/>
      <c r="U173" s="315"/>
    </row>
    <row r="174" spans="3:21">
      <c r="C174" s="315"/>
      <c r="D174" s="315"/>
      <c r="E174" s="315"/>
      <c r="F174" s="315"/>
      <c r="G174" s="315"/>
      <c r="H174" s="315"/>
      <c r="I174" s="315"/>
      <c r="J174" s="315"/>
      <c r="K174" s="315"/>
      <c r="L174" s="315"/>
      <c r="M174" s="315"/>
      <c r="N174" s="315"/>
      <c r="O174" s="315"/>
      <c r="P174" s="315"/>
      <c r="Q174" s="315"/>
      <c r="R174" s="315"/>
      <c r="S174" s="315"/>
      <c r="T174" s="315"/>
      <c r="U174" s="315"/>
    </row>
    <row r="175" spans="3:21">
      <c r="C175" s="315"/>
      <c r="D175" s="315"/>
      <c r="E175" s="315"/>
      <c r="F175" s="315"/>
      <c r="G175" s="315"/>
      <c r="H175" s="315"/>
      <c r="I175" s="315"/>
      <c r="J175" s="315"/>
      <c r="K175" s="315"/>
      <c r="L175" s="315"/>
      <c r="M175" s="315"/>
      <c r="N175" s="315"/>
      <c r="O175" s="315"/>
      <c r="P175" s="315"/>
      <c r="Q175" s="315"/>
      <c r="R175" s="315"/>
      <c r="S175" s="315"/>
      <c r="T175" s="315"/>
      <c r="U175" s="315"/>
    </row>
    <row r="176" spans="3:21">
      <c r="C176" s="315"/>
      <c r="D176" s="315"/>
      <c r="E176" s="315"/>
      <c r="F176" s="315"/>
      <c r="G176" s="315"/>
      <c r="H176" s="315"/>
      <c r="I176" s="315"/>
      <c r="J176" s="315"/>
      <c r="K176" s="315"/>
      <c r="L176" s="315"/>
      <c r="M176" s="315"/>
      <c r="N176" s="315"/>
      <c r="O176" s="315"/>
      <c r="P176" s="315"/>
      <c r="Q176" s="315"/>
      <c r="R176" s="315"/>
      <c r="S176" s="315"/>
      <c r="T176" s="315"/>
      <c r="U176" s="315"/>
    </row>
    <row r="177" spans="3:21">
      <c r="C177" s="315"/>
      <c r="D177" s="315"/>
      <c r="E177" s="315"/>
      <c r="F177" s="315"/>
      <c r="G177" s="315"/>
      <c r="H177" s="315"/>
      <c r="I177" s="315"/>
      <c r="J177" s="315"/>
      <c r="K177" s="315"/>
      <c r="L177" s="315"/>
      <c r="M177" s="315"/>
      <c r="N177" s="315"/>
      <c r="O177" s="315"/>
      <c r="P177" s="315"/>
      <c r="Q177" s="315"/>
      <c r="R177" s="315"/>
      <c r="S177" s="315"/>
      <c r="T177" s="315"/>
      <c r="U177" s="315"/>
    </row>
    <row r="178" spans="3:21">
      <c r="C178" s="315"/>
      <c r="D178" s="315"/>
      <c r="E178" s="315"/>
      <c r="F178" s="315"/>
      <c r="G178" s="315"/>
      <c r="H178" s="315"/>
      <c r="I178" s="315"/>
      <c r="J178" s="315"/>
      <c r="K178" s="315"/>
      <c r="L178" s="315"/>
      <c r="M178" s="315"/>
      <c r="N178" s="315"/>
      <c r="O178" s="315"/>
      <c r="P178" s="315"/>
      <c r="Q178" s="315"/>
      <c r="R178" s="315"/>
      <c r="S178" s="315"/>
      <c r="T178" s="315"/>
      <c r="U178" s="315"/>
    </row>
    <row r="179" spans="3:21">
      <c r="C179" s="315"/>
      <c r="D179" s="315"/>
      <c r="E179" s="315"/>
      <c r="F179" s="315"/>
      <c r="G179" s="315"/>
      <c r="H179" s="315"/>
      <c r="I179" s="315"/>
      <c r="J179" s="315"/>
      <c r="K179" s="315"/>
      <c r="L179" s="315"/>
      <c r="M179" s="315"/>
      <c r="N179" s="315"/>
      <c r="O179" s="315"/>
      <c r="P179" s="315"/>
      <c r="Q179" s="315"/>
      <c r="R179" s="315"/>
      <c r="S179" s="315"/>
      <c r="T179" s="315"/>
      <c r="U179" s="315"/>
    </row>
    <row r="180" spans="3:21">
      <c r="C180" s="315"/>
      <c r="D180" s="315"/>
      <c r="E180" s="315"/>
      <c r="F180" s="315"/>
      <c r="G180" s="315"/>
      <c r="H180" s="315"/>
      <c r="I180" s="315"/>
      <c r="J180" s="315"/>
      <c r="K180" s="315"/>
      <c r="L180" s="315"/>
      <c r="M180" s="315"/>
      <c r="N180" s="315"/>
      <c r="O180" s="315"/>
      <c r="P180" s="315"/>
      <c r="Q180" s="315"/>
      <c r="R180" s="315"/>
      <c r="S180" s="315"/>
      <c r="T180" s="315"/>
      <c r="U180" s="315"/>
    </row>
    <row r="181" spans="3:21">
      <c r="C181" s="315"/>
      <c r="D181" s="315"/>
      <c r="E181" s="315"/>
      <c r="F181" s="315"/>
      <c r="G181" s="315"/>
      <c r="H181" s="315"/>
      <c r="I181" s="315"/>
      <c r="J181" s="315"/>
      <c r="K181" s="315"/>
      <c r="L181" s="315"/>
      <c r="M181" s="315"/>
      <c r="N181" s="315"/>
      <c r="O181" s="315"/>
      <c r="P181" s="315"/>
      <c r="Q181" s="315"/>
      <c r="R181" s="315"/>
      <c r="S181" s="315"/>
      <c r="T181" s="315"/>
      <c r="U181" s="315"/>
    </row>
    <row r="182" spans="3:21">
      <c r="C182" s="315"/>
      <c r="D182" s="315"/>
      <c r="E182" s="315"/>
      <c r="F182" s="315"/>
      <c r="G182" s="315"/>
      <c r="H182" s="315"/>
      <c r="I182" s="315"/>
      <c r="J182" s="315"/>
      <c r="K182" s="315"/>
      <c r="L182" s="315"/>
      <c r="M182" s="315"/>
      <c r="N182" s="315"/>
      <c r="O182" s="315"/>
      <c r="P182" s="315"/>
      <c r="Q182" s="315"/>
      <c r="R182" s="315"/>
      <c r="S182" s="315"/>
      <c r="T182" s="315"/>
      <c r="U182" s="315"/>
    </row>
    <row r="183" spans="3:21">
      <c r="C183" s="315"/>
      <c r="D183" s="315"/>
      <c r="E183" s="315"/>
      <c r="F183" s="315"/>
      <c r="G183" s="315"/>
      <c r="H183" s="315"/>
      <c r="I183" s="315"/>
      <c r="J183" s="315"/>
      <c r="K183" s="315"/>
      <c r="L183" s="315"/>
      <c r="M183" s="315"/>
      <c r="N183" s="315"/>
      <c r="O183" s="315"/>
      <c r="P183" s="315"/>
      <c r="Q183" s="315"/>
      <c r="R183" s="315"/>
      <c r="S183" s="315"/>
      <c r="T183" s="315"/>
      <c r="U183" s="315"/>
    </row>
    <row r="184" spans="3:21">
      <c r="C184" s="315"/>
      <c r="D184" s="315"/>
      <c r="E184" s="315"/>
      <c r="F184" s="315"/>
      <c r="G184" s="315"/>
      <c r="H184" s="315"/>
      <c r="I184" s="315"/>
      <c r="J184" s="315"/>
      <c r="K184" s="315"/>
      <c r="L184" s="315"/>
      <c r="M184" s="315"/>
      <c r="N184" s="315"/>
      <c r="O184" s="315"/>
      <c r="P184" s="315"/>
      <c r="Q184" s="315"/>
      <c r="R184" s="315"/>
      <c r="S184" s="315"/>
      <c r="T184" s="315"/>
      <c r="U184" s="315"/>
    </row>
    <row r="185" spans="3:21">
      <c r="C185" s="315"/>
      <c r="D185" s="315"/>
      <c r="E185" s="315"/>
      <c r="F185" s="315"/>
      <c r="G185" s="315"/>
      <c r="H185" s="315"/>
      <c r="I185" s="315"/>
      <c r="J185" s="315"/>
      <c r="K185" s="315"/>
      <c r="L185" s="315"/>
      <c r="M185" s="315"/>
      <c r="N185" s="315"/>
      <c r="O185" s="315"/>
      <c r="P185" s="315"/>
      <c r="Q185" s="315"/>
      <c r="R185" s="315"/>
      <c r="S185" s="315"/>
      <c r="T185" s="315"/>
      <c r="U185" s="315"/>
    </row>
    <row r="186" spans="3:21">
      <c r="C186" s="315"/>
      <c r="D186" s="315"/>
      <c r="E186" s="315"/>
      <c r="F186" s="315"/>
      <c r="G186" s="315"/>
      <c r="H186" s="315"/>
      <c r="I186" s="315"/>
      <c r="J186" s="315"/>
      <c r="K186" s="315"/>
      <c r="L186" s="315"/>
      <c r="M186" s="315"/>
      <c r="N186" s="315"/>
      <c r="O186" s="315"/>
      <c r="P186" s="315"/>
      <c r="Q186" s="315"/>
      <c r="R186" s="315"/>
      <c r="S186" s="315"/>
      <c r="T186" s="315"/>
      <c r="U186" s="315"/>
    </row>
    <row r="187" spans="3:21">
      <c r="C187" s="315"/>
      <c r="D187" s="315"/>
      <c r="E187" s="315"/>
      <c r="F187" s="315"/>
      <c r="G187" s="315"/>
      <c r="H187" s="315"/>
      <c r="I187" s="315"/>
      <c r="J187" s="315"/>
      <c r="K187" s="315"/>
      <c r="L187" s="315"/>
      <c r="M187" s="315"/>
      <c r="N187" s="315"/>
      <c r="O187" s="315"/>
      <c r="P187" s="315"/>
      <c r="Q187" s="315"/>
      <c r="R187" s="315"/>
      <c r="S187" s="315"/>
      <c r="T187" s="315"/>
      <c r="U187" s="315"/>
    </row>
    <row r="188" spans="3:21">
      <c r="C188" s="315"/>
      <c r="D188" s="315"/>
      <c r="E188" s="315"/>
      <c r="F188" s="315"/>
      <c r="G188" s="315"/>
      <c r="H188" s="315"/>
      <c r="I188" s="315"/>
      <c r="J188" s="315"/>
      <c r="K188" s="315"/>
      <c r="L188" s="315"/>
      <c r="M188" s="315"/>
      <c r="N188" s="315"/>
      <c r="O188" s="315"/>
      <c r="P188" s="315"/>
      <c r="Q188" s="315"/>
      <c r="R188" s="315"/>
      <c r="S188" s="315"/>
      <c r="T188" s="315"/>
      <c r="U188" s="315"/>
    </row>
    <row r="189" spans="3:21">
      <c r="C189" s="315"/>
      <c r="D189" s="315"/>
      <c r="E189" s="315"/>
      <c r="F189" s="315"/>
      <c r="G189" s="315"/>
      <c r="H189" s="315"/>
      <c r="I189" s="315"/>
      <c r="J189" s="315"/>
      <c r="K189" s="315"/>
      <c r="L189" s="315"/>
      <c r="M189" s="315"/>
      <c r="N189" s="315"/>
      <c r="O189" s="315"/>
      <c r="P189" s="315"/>
      <c r="Q189" s="315"/>
      <c r="R189" s="315"/>
      <c r="S189" s="315"/>
      <c r="T189" s="315"/>
      <c r="U189" s="315"/>
    </row>
    <row r="190" spans="3:21">
      <c r="C190" s="315"/>
      <c r="D190" s="315"/>
      <c r="E190" s="315"/>
      <c r="F190" s="315"/>
      <c r="G190" s="315"/>
      <c r="H190" s="315"/>
      <c r="I190" s="315"/>
      <c r="J190" s="315"/>
      <c r="K190" s="315"/>
      <c r="L190" s="315"/>
      <c r="M190" s="315"/>
      <c r="N190" s="315"/>
      <c r="O190" s="315"/>
      <c r="P190" s="315"/>
      <c r="Q190" s="315"/>
      <c r="R190" s="315"/>
      <c r="S190" s="315"/>
      <c r="T190" s="315"/>
      <c r="U190" s="315"/>
    </row>
    <row r="191" spans="3:21">
      <c r="C191" s="315"/>
      <c r="D191" s="315"/>
      <c r="E191" s="315"/>
      <c r="F191" s="315"/>
      <c r="G191" s="315"/>
      <c r="H191" s="315"/>
      <c r="I191" s="315"/>
      <c r="J191" s="315"/>
      <c r="K191" s="315"/>
      <c r="L191" s="315"/>
      <c r="M191" s="315"/>
      <c r="N191" s="315"/>
      <c r="O191" s="315"/>
      <c r="P191" s="315"/>
      <c r="Q191" s="315"/>
      <c r="R191" s="315"/>
      <c r="S191" s="315"/>
      <c r="T191" s="315"/>
      <c r="U191" s="315"/>
    </row>
    <row r="192" spans="3:21">
      <c r="C192" s="315"/>
      <c r="D192" s="315"/>
      <c r="E192" s="315"/>
      <c r="F192" s="315"/>
      <c r="G192" s="315"/>
      <c r="H192" s="315"/>
      <c r="I192" s="315"/>
      <c r="J192" s="315"/>
      <c r="K192" s="315"/>
      <c r="L192" s="315"/>
      <c r="M192" s="315"/>
      <c r="N192" s="315"/>
      <c r="O192" s="315"/>
      <c r="P192" s="315"/>
      <c r="Q192" s="315"/>
      <c r="R192" s="315"/>
      <c r="S192" s="315"/>
      <c r="T192" s="315"/>
      <c r="U192" s="315"/>
    </row>
    <row r="193" spans="3:21">
      <c r="C193" s="315"/>
      <c r="D193" s="315"/>
      <c r="E193" s="315"/>
      <c r="F193" s="315"/>
      <c r="G193" s="315"/>
      <c r="H193" s="315"/>
      <c r="I193" s="315"/>
      <c r="J193" s="315"/>
      <c r="K193" s="315"/>
      <c r="L193" s="315"/>
      <c r="M193" s="315"/>
      <c r="N193" s="315"/>
      <c r="O193" s="315"/>
      <c r="P193" s="315"/>
      <c r="Q193" s="315"/>
      <c r="R193" s="315"/>
      <c r="S193" s="315"/>
      <c r="T193" s="315"/>
      <c r="U193" s="315"/>
    </row>
    <row r="194" spans="3:21">
      <c r="C194" s="315"/>
      <c r="D194" s="315"/>
      <c r="E194" s="315"/>
      <c r="F194" s="315"/>
      <c r="G194" s="315"/>
      <c r="H194" s="315"/>
      <c r="I194" s="315"/>
      <c r="J194" s="315"/>
      <c r="K194" s="315"/>
      <c r="L194" s="315"/>
      <c r="M194" s="315"/>
      <c r="N194" s="315"/>
      <c r="O194" s="315"/>
      <c r="P194" s="315"/>
      <c r="Q194" s="315"/>
      <c r="R194" s="315"/>
      <c r="S194" s="315"/>
      <c r="T194" s="315"/>
      <c r="U194" s="315"/>
    </row>
    <row r="195" spans="3:21">
      <c r="C195" s="315"/>
      <c r="D195" s="315"/>
      <c r="E195" s="315"/>
      <c r="F195" s="315"/>
      <c r="G195" s="315"/>
      <c r="H195" s="315"/>
      <c r="I195" s="315"/>
      <c r="J195" s="315"/>
      <c r="K195" s="315"/>
      <c r="L195" s="315"/>
      <c r="M195" s="315"/>
      <c r="N195" s="315"/>
      <c r="O195" s="315"/>
      <c r="P195" s="315"/>
      <c r="Q195" s="315"/>
      <c r="R195" s="315"/>
      <c r="S195" s="315"/>
      <c r="T195" s="315"/>
      <c r="U195" s="315"/>
    </row>
    <row r="196" spans="3:21">
      <c r="C196" s="315"/>
      <c r="D196" s="315"/>
      <c r="E196" s="315"/>
      <c r="F196" s="315"/>
      <c r="G196" s="315"/>
      <c r="H196" s="315"/>
      <c r="I196" s="315"/>
      <c r="J196" s="315"/>
      <c r="K196" s="315"/>
      <c r="L196" s="315"/>
      <c r="M196" s="315"/>
      <c r="N196" s="315"/>
      <c r="O196" s="315"/>
      <c r="P196" s="315"/>
      <c r="Q196" s="315"/>
      <c r="R196" s="315"/>
      <c r="S196" s="315"/>
      <c r="T196" s="315"/>
      <c r="U196" s="315"/>
    </row>
    <row r="197" spans="3:21">
      <c r="C197" s="315"/>
      <c r="D197" s="315"/>
      <c r="E197" s="315"/>
      <c r="F197" s="315"/>
      <c r="G197" s="315"/>
      <c r="H197" s="315"/>
      <c r="I197" s="315"/>
      <c r="J197" s="315"/>
      <c r="K197" s="315"/>
      <c r="L197" s="315"/>
      <c r="M197" s="315"/>
      <c r="N197" s="315"/>
      <c r="O197" s="315"/>
      <c r="P197" s="315"/>
      <c r="Q197" s="315"/>
      <c r="R197" s="315"/>
      <c r="S197" s="315"/>
      <c r="T197" s="315"/>
      <c r="U197" s="315"/>
    </row>
    <row r="198" spans="3:21">
      <c r="C198" s="315"/>
      <c r="D198" s="315"/>
      <c r="E198" s="315"/>
      <c r="F198" s="315"/>
      <c r="G198" s="315"/>
      <c r="H198" s="315"/>
      <c r="I198" s="315"/>
      <c r="J198" s="315"/>
      <c r="K198" s="315"/>
      <c r="L198" s="315"/>
      <c r="M198" s="315"/>
      <c r="N198" s="315"/>
      <c r="O198" s="315"/>
      <c r="P198" s="315"/>
      <c r="Q198" s="315"/>
      <c r="R198" s="315"/>
      <c r="S198" s="315"/>
      <c r="T198" s="315"/>
      <c r="U198" s="315"/>
    </row>
    <row r="199" spans="3:21">
      <c r="C199" s="315"/>
      <c r="D199" s="315"/>
      <c r="E199" s="315"/>
      <c r="F199" s="315"/>
      <c r="G199" s="315"/>
      <c r="H199" s="315"/>
      <c r="I199" s="315"/>
      <c r="J199" s="315"/>
      <c r="K199" s="315"/>
      <c r="L199" s="315"/>
      <c r="M199" s="315"/>
      <c r="N199" s="315"/>
      <c r="O199" s="315"/>
      <c r="P199" s="315"/>
      <c r="Q199" s="315"/>
      <c r="R199" s="315"/>
      <c r="S199" s="315"/>
      <c r="T199" s="315"/>
      <c r="U199" s="315"/>
    </row>
    <row r="200" spans="3:21">
      <c r="C200" s="315"/>
      <c r="D200" s="315"/>
      <c r="E200" s="315"/>
      <c r="F200" s="315"/>
      <c r="G200" s="315"/>
      <c r="H200" s="315"/>
      <c r="I200" s="315"/>
      <c r="J200" s="315"/>
      <c r="K200" s="315"/>
      <c r="L200" s="315"/>
      <c r="M200" s="315"/>
      <c r="N200" s="315"/>
      <c r="O200" s="315"/>
      <c r="P200" s="315"/>
      <c r="Q200" s="315"/>
      <c r="R200" s="315"/>
      <c r="S200" s="315"/>
      <c r="T200" s="315"/>
      <c r="U200" s="315"/>
    </row>
    <row r="201" spans="3:21">
      <c r="C201" s="315"/>
      <c r="D201" s="315"/>
      <c r="E201" s="315"/>
      <c r="F201" s="315"/>
      <c r="G201" s="315"/>
      <c r="H201" s="315"/>
      <c r="I201" s="315"/>
      <c r="J201" s="315"/>
      <c r="K201" s="315"/>
      <c r="L201" s="315"/>
      <c r="M201" s="315"/>
      <c r="N201" s="315"/>
      <c r="O201" s="315"/>
      <c r="P201" s="315"/>
      <c r="Q201" s="315"/>
      <c r="R201" s="315"/>
      <c r="S201" s="315"/>
      <c r="T201" s="315"/>
      <c r="U201" s="315"/>
    </row>
    <row r="202" spans="3:21">
      <c r="C202" s="315"/>
      <c r="D202" s="315"/>
      <c r="E202" s="315"/>
      <c r="F202" s="315"/>
      <c r="G202" s="315"/>
      <c r="H202" s="315"/>
      <c r="I202" s="315"/>
      <c r="J202" s="315"/>
      <c r="K202" s="315"/>
      <c r="L202" s="315"/>
      <c r="M202" s="315"/>
      <c r="N202" s="315"/>
      <c r="O202" s="315"/>
      <c r="P202" s="315"/>
      <c r="Q202" s="315"/>
      <c r="R202" s="315"/>
      <c r="S202" s="315"/>
      <c r="T202" s="315"/>
      <c r="U202" s="315"/>
    </row>
    <row r="203" spans="3:21">
      <c r="C203" s="315"/>
      <c r="D203" s="315"/>
      <c r="E203" s="315"/>
      <c r="F203" s="315"/>
      <c r="G203" s="315"/>
      <c r="H203" s="315"/>
      <c r="I203" s="315"/>
      <c r="J203" s="315"/>
      <c r="K203" s="315"/>
      <c r="L203" s="315"/>
      <c r="M203" s="315"/>
      <c r="N203" s="315"/>
      <c r="O203" s="315"/>
      <c r="P203" s="315"/>
      <c r="Q203" s="315"/>
      <c r="R203" s="315"/>
      <c r="S203" s="315"/>
      <c r="T203" s="315"/>
      <c r="U203" s="315"/>
    </row>
    <row r="204" spans="3:21">
      <c r="C204" s="315"/>
      <c r="D204" s="315"/>
      <c r="E204" s="315"/>
      <c r="F204" s="315"/>
      <c r="G204" s="315"/>
      <c r="H204" s="315"/>
      <c r="I204" s="315"/>
      <c r="J204" s="315"/>
      <c r="K204" s="315"/>
      <c r="L204" s="315"/>
      <c r="M204" s="315"/>
      <c r="N204" s="315"/>
      <c r="O204" s="315"/>
      <c r="P204" s="315"/>
      <c r="Q204" s="315"/>
      <c r="R204" s="315"/>
      <c r="S204" s="315"/>
      <c r="T204" s="315"/>
      <c r="U204" s="315"/>
    </row>
    <row r="205" spans="3:21">
      <c r="C205" s="315"/>
      <c r="D205" s="315"/>
      <c r="E205" s="315"/>
      <c r="F205" s="315"/>
      <c r="G205" s="315"/>
      <c r="H205" s="315"/>
      <c r="I205" s="315"/>
      <c r="J205" s="315"/>
      <c r="K205" s="315"/>
      <c r="L205" s="315"/>
      <c r="M205" s="315"/>
      <c r="N205" s="315"/>
      <c r="O205" s="315"/>
      <c r="P205" s="315"/>
      <c r="Q205" s="315"/>
      <c r="R205" s="315"/>
      <c r="S205" s="315"/>
      <c r="T205" s="315"/>
      <c r="U205" s="315"/>
    </row>
    <row r="206" spans="3:21">
      <c r="C206" s="315"/>
      <c r="D206" s="315"/>
      <c r="E206" s="315"/>
      <c r="F206" s="315"/>
      <c r="G206" s="315"/>
      <c r="H206" s="315"/>
      <c r="I206" s="315"/>
      <c r="J206" s="315"/>
      <c r="K206" s="315"/>
      <c r="L206" s="315"/>
      <c r="M206" s="315"/>
      <c r="N206" s="315"/>
      <c r="O206" s="315"/>
      <c r="P206" s="315"/>
      <c r="Q206" s="315"/>
      <c r="R206" s="315"/>
      <c r="S206" s="315"/>
      <c r="T206" s="315"/>
      <c r="U206" s="315"/>
    </row>
    <row r="207" spans="3:21">
      <c r="C207" s="315"/>
      <c r="D207" s="315"/>
      <c r="E207" s="315"/>
      <c r="F207" s="315"/>
      <c r="G207" s="315"/>
      <c r="H207" s="315"/>
      <c r="I207" s="315"/>
      <c r="J207" s="315"/>
      <c r="K207" s="315"/>
      <c r="L207" s="315"/>
      <c r="M207" s="315"/>
      <c r="N207" s="315"/>
      <c r="O207" s="315"/>
      <c r="P207" s="315"/>
      <c r="Q207" s="315"/>
      <c r="R207" s="315"/>
      <c r="S207" s="315"/>
      <c r="T207" s="315"/>
      <c r="U207" s="315"/>
    </row>
    <row r="208" spans="3:21">
      <c r="C208" s="315"/>
      <c r="D208" s="315"/>
      <c r="E208" s="315"/>
      <c r="F208" s="315"/>
      <c r="G208" s="315"/>
      <c r="H208" s="315"/>
      <c r="I208" s="315"/>
      <c r="J208" s="315"/>
      <c r="K208" s="315"/>
      <c r="L208" s="315"/>
      <c r="M208" s="315"/>
      <c r="N208" s="315"/>
      <c r="O208" s="315"/>
      <c r="P208" s="315"/>
      <c r="Q208" s="315"/>
      <c r="R208" s="315"/>
      <c r="S208" s="315"/>
      <c r="T208" s="315"/>
      <c r="U208" s="315"/>
    </row>
    <row r="209" spans="3:21">
      <c r="C209" s="315"/>
      <c r="D209" s="315"/>
      <c r="E209" s="315"/>
      <c r="F209" s="315"/>
      <c r="G209" s="315"/>
      <c r="H209" s="315"/>
      <c r="I209" s="315"/>
      <c r="J209" s="315"/>
      <c r="K209" s="315"/>
      <c r="L209" s="315"/>
      <c r="M209" s="315"/>
      <c r="N209" s="315"/>
      <c r="O209" s="315"/>
      <c r="P209" s="315"/>
      <c r="Q209" s="315"/>
      <c r="R209" s="315"/>
      <c r="S209" s="315"/>
      <c r="T209" s="315"/>
      <c r="U209" s="315"/>
    </row>
    <row r="210" spans="3:21">
      <c r="C210" s="315"/>
      <c r="D210" s="315"/>
      <c r="E210" s="315"/>
      <c r="F210" s="315"/>
      <c r="G210" s="315"/>
      <c r="H210" s="315"/>
      <c r="I210" s="315"/>
      <c r="J210" s="315"/>
      <c r="K210" s="315"/>
      <c r="L210" s="315"/>
      <c r="M210" s="315"/>
      <c r="N210" s="315"/>
      <c r="O210" s="315"/>
      <c r="P210" s="315"/>
      <c r="Q210" s="315"/>
      <c r="R210" s="315"/>
      <c r="S210" s="315"/>
      <c r="T210" s="315"/>
      <c r="U210" s="315"/>
    </row>
    <row r="211" spans="3:21">
      <c r="C211" s="315"/>
      <c r="D211" s="315"/>
      <c r="E211" s="315"/>
      <c r="F211" s="315"/>
      <c r="G211" s="315"/>
      <c r="H211" s="315"/>
      <c r="I211" s="315"/>
      <c r="J211" s="315"/>
      <c r="K211" s="315"/>
      <c r="L211" s="315"/>
      <c r="M211" s="315"/>
      <c r="N211" s="315"/>
      <c r="O211" s="315"/>
      <c r="P211" s="315"/>
      <c r="Q211" s="315"/>
      <c r="R211" s="315"/>
      <c r="S211" s="315"/>
      <c r="T211" s="315"/>
      <c r="U211" s="315"/>
    </row>
    <row r="212" spans="3:21">
      <c r="C212" s="315"/>
      <c r="D212" s="315"/>
      <c r="E212" s="315"/>
      <c r="F212" s="315"/>
      <c r="G212" s="315"/>
      <c r="H212" s="315"/>
      <c r="I212" s="315"/>
      <c r="J212" s="315"/>
      <c r="K212" s="315"/>
      <c r="L212" s="315"/>
      <c r="M212" s="315"/>
      <c r="N212" s="315"/>
      <c r="O212" s="315"/>
      <c r="P212" s="315"/>
      <c r="Q212" s="315"/>
      <c r="R212" s="315"/>
      <c r="S212" s="315"/>
      <c r="T212" s="315"/>
      <c r="U212" s="315"/>
    </row>
    <row r="213" spans="3:21">
      <c r="C213" s="315"/>
      <c r="D213" s="315"/>
      <c r="E213" s="315"/>
      <c r="F213" s="315"/>
      <c r="G213" s="315"/>
      <c r="H213" s="315"/>
      <c r="I213" s="315"/>
      <c r="J213" s="315"/>
      <c r="K213" s="315"/>
      <c r="L213" s="315"/>
      <c r="M213" s="315"/>
      <c r="N213" s="315"/>
      <c r="O213" s="315"/>
      <c r="P213" s="315"/>
      <c r="Q213" s="315"/>
      <c r="R213" s="315"/>
      <c r="S213" s="315"/>
      <c r="T213" s="315"/>
      <c r="U213" s="315"/>
    </row>
    <row r="214" spans="3:21">
      <c r="C214" s="315"/>
      <c r="D214" s="315"/>
      <c r="E214" s="315"/>
      <c r="F214" s="315"/>
      <c r="G214" s="315"/>
      <c r="H214" s="315"/>
      <c r="I214" s="315"/>
      <c r="J214" s="315"/>
      <c r="K214" s="315"/>
      <c r="L214" s="315"/>
      <c r="M214" s="315"/>
      <c r="N214" s="315"/>
      <c r="O214" s="315"/>
      <c r="P214" s="315"/>
      <c r="Q214" s="315"/>
      <c r="R214" s="315"/>
      <c r="S214" s="315"/>
      <c r="T214" s="315"/>
      <c r="U214" s="315"/>
    </row>
    <row r="215" spans="3:21">
      <c r="C215" s="315"/>
      <c r="D215" s="315"/>
      <c r="E215" s="315"/>
      <c r="F215" s="315"/>
      <c r="G215" s="315"/>
      <c r="H215" s="315"/>
      <c r="I215" s="315"/>
      <c r="J215" s="315"/>
      <c r="K215" s="315"/>
      <c r="L215" s="315"/>
      <c r="M215" s="315"/>
      <c r="N215" s="315"/>
      <c r="O215" s="315"/>
      <c r="P215" s="315"/>
      <c r="Q215" s="315"/>
      <c r="R215" s="315"/>
      <c r="S215" s="315"/>
      <c r="T215" s="315"/>
      <c r="U215" s="315"/>
    </row>
    <row r="216" spans="3:21">
      <c r="C216" s="315"/>
      <c r="D216" s="315"/>
      <c r="E216" s="315"/>
      <c r="F216" s="315"/>
      <c r="G216" s="315"/>
      <c r="H216" s="315"/>
      <c r="I216" s="315"/>
      <c r="J216" s="315"/>
      <c r="K216" s="315"/>
      <c r="L216" s="315"/>
      <c r="M216" s="315"/>
      <c r="N216" s="315"/>
      <c r="O216" s="315"/>
      <c r="P216" s="315"/>
      <c r="Q216" s="315"/>
      <c r="R216" s="315"/>
      <c r="S216" s="315"/>
      <c r="T216" s="315"/>
      <c r="U216" s="315"/>
    </row>
    <row r="217" spans="3:21">
      <c r="C217" s="315"/>
      <c r="D217" s="315"/>
      <c r="E217" s="315"/>
      <c r="F217" s="315"/>
      <c r="G217" s="315"/>
      <c r="H217" s="315"/>
      <c r="I217" s="315"/>
      <c r="J217" s="315"/>
      <c r="K217" s="315"/>
      <c r="L217" s="315"/>
      <c r="M217" s="315"/>
      <c r="N217" s="315"/>
      <c r="O217" s="315"/>
      <c r="P217" s="315"/>
      <c r="Q217" s="315"/>
      <c r="R217" s="315"/>
      <c r="S217" s="315"/>
      <c r="T217" s="315"/>
      <c r="U217" s="315"/>
    </row>
    <row r="218" spans="3:21">
      <c r="C218" s="315"/>
      <c r="D218" s="315"/>
      <c r="E218" s="315"/>
      <c r="F218" s="315"/>
      <c r="G218" s="315"/>
      <c r="H218" s="315"/>
      <c r="I218" s="315"/>
      <c r="J218" s="315"/>
      <c r="K218" s="315"/>
      <c r="L218" s="315"/>
      <c r="M218" s="315"/>
      <c r="N218" s="315"/>
      <c r="O218" s="315"/>
      <c r="P218" s="315"/>
      <c r="Q218" s="315"/>
      <c r="R218" s="315"/>
      <c r="S218" s="315"/>
      <c r="T218" s="315"/>
      <c r="U218" s="315"/>
    </row>
    <row r="219" spans="3:21">
      <c r="C219" s="315"/>
      <c r="D219" s="315"/>
      <c r="E219" s="315"/>
      <c r="F219" s="315"/>
      <c r="G219" s="315"/>
      <c r="H219" s="315"/>
      <c r="I219" s="315"/>
      <c r="J219" s="315"/>
      <c r="K219" s="315"/>
      <c r="L219" s="315"/>
      <c r="M219" s="315"/>
      <c r="N219" s="315"/>
      <c r="O219" s="315"/>
      <c r="P219" s="315"/>
      <c r="Q219" s="315"/>
      <c r="R219" s="315"/>
      <c r="S219" s="315"/>
      <c r="T219" s="315"/>
      <c r="U219" s="315"/>
    </row>
    <row r="220" spans="3:21">
      <c r="C220" s="315"/>
      <c r="D220" s="315"/>
      <c r="E220" s="315"/>
      <c r="F220" s="315"/>
      <c r="G220" s="315"/>
      <c r="H220" s="315"/>
      <c r="I220" s="315"/>
      <c r="J220" s="315"/>
      <c r="K220" s="315"/>
      <c r="L220" s="315"/>
      <c r="M220" s="315"/>
      <c r="N220" s="315"/>
      <c r="O220" s="315"/>
      <c r="P220" s="315"/>
      <c r="Q220" s="315"/>
      <c r="R220" s="315"/>
      <c r="S220" s="315"/>
      <c r="T220" s="315"/>
      <c r="U220" s="315"/>
    </row>
    <row r="221" spans="3:21">
      <c r="C221" s="315"/>
      <c r="D221" s="315"/>
      <c r="E221" s="315"/>
      <c r="F221" s="315"/>
      <c r="G221" s="315"/>
      <c r="H221" s="315"/>
      <c r="I221" s="315"/>
      <c r="J221" s="315"/>
      <c r="K221" s="315"/>
      <c r="L221" s="315"/>
      <c r="M221" s="315"/>
      <c r="N221" s="315"/>
      <c r="O221" s="315"/>
      <c r="P221" s="315"/>
      <c r="Q221" s="315"/>
      <c r="R221" s="315"/>
      <c r="S221" s="315"/>
      <c r="T221" s="315"/>
      <c r="U221" s="315"/>
    </row>
    <row r="222" spans="3:21">
      <c r="C222" s="315"/>
      <c r="D222" s="315"/>
      <c r="E222" s="315"/>
      <c r="F222" s="315"/>
      <c r="G222" s="315"/>
      <c r="H222" s="315"/>
      <c r="I222" s="315"/>
      <c r="J222" s="315"/>
      <c r="K222" s="315"/>
      <c r="L222" s="315"/>
      <c r="M222" s="315"/>
      <c r="N222" s="315"/>
      <c r="O222" s="315"/>
      <c r="P222" s="315"/>
      <c r="Q222" s="315"/>
      <c r="R222" s="315"/>
      <c r="S222" s="315"/>
      <c r="T222" s="315"/>
      <c r="U222" s="315"/>
    </row>
    <row r="223" spans="3:21">
      <c r="C223" s="315"/>
      <c r="D223" s="315"/>
      <c r="E223" s="315"/>
      <c r="F223" s="315"/>
      <c r="G223" s="315"/>
      <c r="H223" s="315"/>
      <c r="I223" s="315"/>
      <c r="J223" s="315"/>
      <c r="K223" s="315"/>
      <c r="L223" s="315"/>
      <c r="M223" s="315"/>
      <c r="N223" s="315"/>
      <c r="O223" s="315"/>
      <c r="P223" s="315"/>
      <c r="Q223" s="315"/>
      <c r="R223" s="315"/>
      <c r="S223" s="315"/>
      <c r="T223" s="315"/>
      <c r="U223" s="315"/>
    </row>
    <row r="224" spans="3:21">
      <c r="C224" s="315"/>
      <c r="D224" s="315"/>
      <c r="E224" s="315"/>
      <c r="F224" s="315"/>
      <c r="G224" s="315"/>
      <c r="H224" s="315"/>
      <c r="I224" s="315"/>
      <c r="J224" s="315"/>
      <c r="K224" s="315"/>
      <c r="L224" s="315"/>
      <c r="M224" s="315"/>
      <c r="N224" s="315"/>
      <c r="O224" s="315"/>
      <c r="P224" s="315"/>
      <c r="Q224" s="315"/>
      <c r="R224" s="315"/>
      <c r="S224" s="315"/>
      <c r="T224" s="315"/>
      <c r="U224" s="315"/>
    </row>
    <row r="225" spans="3:21">
      <c r="C225" s="315"/>
      <c r="D225" s="315"/>
      <c r="E225" s="315"/>
      <c r="F225" s="315"/>
      <c r="G225" s="315"/>
      <c r="H225" s="315"/>
      <c r="I225" s="315"/>
      <c r="J225" s="315"/>
      <c r="K225" s="315"/>
      <c r="L225" s="315"/>
      <c r="M225" s="315"/>
      <c r="N225" s="315"/>
      <c r="O225" s="315"/>
      <c r="P225" s="315"/>
      <c r="Q225" s="315"/>
      <c r="R225" s="315"/>
      <c r="S225" s="315"/>
      <c r="T225" s="315"/>
      <c r="U225" s="315"/>
    </row>
    <row r="226" spans="3:21">
      <c r="C226" s="315"/>
      <c r="D226" s="315"/>
      <c r="E226" s="315"/>
      <c r="F226" s="315"/>
      <c r="G226" s="315"/>
      <c r="H226" s="315"/>
      <c r="I226" s="315"/>
      <c r="J226" s="315"/>
      <c r="K226" s="315"/>
      <c r="L226" s="315"/>
      <c r="M226" s="315"/>
      <c r="N226" s="315"/>
      <c r="O226" s="315"/>
      <c r="P226" s="315"/>
      <c r="Q226" s="315"/>
      <c r="R226" s="315"/>
      <c r="S226" s="315"/>
      <c r="T226" s="315"/>
      <c r="U226" s="315"/>
    </row>
    <row r="227" spans="3:21">
      <c r="C227" s="315"/>
      <c r="D227" s="315"/>
      <c r="E227" s="315"/>
      <c r="F227" s="315"/>
      <c r="G227" s="315"/>
      <c r="H227" s="315"/>
      <c r="I227" s="315"/>
      <c r="J227" s="315"/>
      <c r="K227" s="315"/>
      <c r="L227" s="315"/>
      <c r="M227" s="315"/>
      <c r="N227" s="315"/>
      <c r="O227" s="315"/>
      <c r="P227" s="315"/>
      <c r="Q227" s="315"/>
      <c r="R227" s="315"/>
      <c r="S227" s="315"/>
      <c r="T227" s="315"/>
      <c r="U227" s="315"/>
    </row>
    <row r="228" spans="3:21">
      <c r="C228" s="315"/>
      <c r="D228" s="315"/>
      <c r="E228" s="315"/>
      <c r="F228" s="315"/>
      <c r="G228" s="315"/>
      <c r="H228" s="315"/>
      <c r="I228" s="315"/>
      <c r="J228" s="315"/>
      <c r="K228" s="315"/>
      <c r="L228" s="315"/>
      <c r="M228" s="315"/>
      <c r="N228" s="315"/>
      <c r="O228" s="315"/>
      <c r="P228" s="315"/>
      <c r="Q228" s="315"/>
      <c r="R228" s="315"/>
      <c r="S228" s="315"/>
      <c r="T228" s="315"/>
      <c r="U228" s="315"/>
    </row>
    <row r="229" spans="3:21">
      <c r="C229" s="315"/>
      <c r="D229" s="315"/>
      <c r="E229" s="315"/>
      <c r="F229" s="315"/>
      <c r="G229" s="315"/>
      <c r="H229" s="315"/>
      <c r="I229" s="315"/>
      <c r="J229" s="315"/>
      <c r="K229" s="315"/>
      <c r="L229" s="315"/>
      <c r="M229" s="315"/>
      <c r="N229" s="315"/>
      <c r="O229" s="315"/>
      <c r="P229" s="315"/>
      <c r="Q229" s="315"/>
      <c r="R229" s="315"/>
      <c r="S229" s="315"/>
      <c r="T229" s="315"/>
      <c r="U229" s="315"/>
    </row>
    <row r="230" spans="3:21">
      <c r="C230" s="315"/>
      <c r="D230" s="315"/>
      <c r="E230" s="315"/>
      <c r="F230" s="315"/>
      <c r="G230" s="315"/>
      <c r="H230" s="315"/>
      <c r="I230" s="315"/>
      <c r="J230" s="315"/>
      <c r="K230" s="315"/>
      <c r="L230" s="315"/>
      <c r="M230" s="315"/>
      <c r="N230" s="315"/>
      <c r="O230" s="315"/>
      <c r="P230" s="315"/>
      <c r="Q230" s="315"/>
      <c r="R230" s="315"/>
      <c r="S230" s="315"/>
      <c r="T230" s="315"/>
      <c r="U230" s="315"/>
    </row>
    <row r="231" spans="3:21">
      <c r="C231" s="315"/>
      <c r="D231" s="315"/>
      <c r="E231" s="315"/>
      <c r="F231" s="315"/>
      <c r="G231" s="315"/>
      <c r="H231" s="315"/>
      <c r="I231" s="315"/>
      <c r="J231" s="315"/>
      <c r="K231" s="315"/>
      <c r="L231" s="315"/>
      <c r="M231" s="315"/>
      <c r="N231" s="315"/>
      <c r="O231" s="315"/>
      <c r="P231" s="315"/>
      <c r="Q231" s="315"/>
      <c r="R231" s="315"/>
      <c r="S231" s="315"/>
      <c r="T231" s="315"/>
      <c r="U231" s="315"/>
    </row>
    <row r="232" spans="3:21">
      <c r="C232" s="315"/>
      <c r="D232" s="315"/>
      <c r="E232" s="315"/>
      <c r="F232" s="315"/>
      <c r="G232" s="315"/>
      <c r="H232" s="315"/>
      <c r="I232" s="315"/>
      <c r="J232" s="315"/>
      <c r="K232" s="315"/>
      <c r="L232" s="315"/>
      <c r="M232" s="315"/>
      <c r="N232" s="315"/>
      <c r="O232" s="315"/>
      <c r="P232" s="315"/>
      <c r="Q232" s="315"/>
      <c r="R232" s="315"/>
      <c r="S232" s="315"/>
      <c r="T232" s="315"/>
      <c r="U232" s="315"/>
    </row>
    <row r="233" spans="3:21">
      <c r="C233" s="315"/>
      <c r="D233" s="315"/>
      <c r="E233" s="315"/>
      <c r="F233" s="315"/>
      <c r="G233" s="315"/>
      <c r="H233" s="315"/>
      <c r="I233" s="315"/>
      <c r="J233" s="315"/>
      <c r="K233" s="315"/>
      <c r="L233" s="315"/>
      <c r="M233" s="315"/>
      <c r="N233" s="315"/>
      <c r="O233" s="315"/>
      <c r="P233" s="315"/>
      <c r="Q233" s="315"/>
      <c r="R233" s="315"/>
      <c r="S233" s="315"/>
      <c r="T233" s="315"/>
      <c r="U233" s="315"/>
    </row>
    <row r="234" spans="3:21">
      <c r="C234" s="315"/>
      <c r="D234" s="315"/>
      <c r="E234" s="315"/>
      <c r="F234" s="315"/>
      <c r="G234" s="315"/>
      <c r="H234" s="315"/>
      <c r="I234" s="315"/>
      <c r="J234" s="315"/>
      <c r="K234" s="315"/>
      <c r="L234" s="315"/>
      <c r="M234" s="315"/>
      <c r="N234" s="315"/>
      <c r="O234" s="315"/>
      <c r="P234" s="315"/>
      <c r="Q234" s="315"/>
      <c r="R234" s="315"/>
      <c r="S234" s="315"/>
      <c r="T234" s="315"/>
      <c r="U234" s="315"/>
    </row>
    <row r="235" spans="3:21">
      <c r="C235" s="315"/>
      <c r="D235" s="315"/>
      <c r="E235" s="315"/>
      <c r="F235" s="315"/>
      <c r="G235" s="315"/>
      <c r="H235" s="315"/>
      <c r="I235" s="315"/>
      <c r="J235" s="315"/>
      <c r="K235" s="315"/>
      <c r="L235" s="315"/>
      <c r="M235" s="315"/>
      <c r="N235" s="315"/>
      <c r="O235" s="315"/>
      <c r="P235" s="315"/>
      <c r="Q235" s="315"/>
      <c r="R235" s="315"/>
      <c r="S235" s="315"/>
      <c r="T235" s="315"/>
      <c r="U235" s="315"/>
    </row>
    <row r="236" spans="3:21">
      <c r="C236" s="315"/>
      <c r="D236" s="315"/>
      <c r="E236" s="315"/>
      <c r="F236" s="315"/>
      <c r="G236" s="315"/>
      <c r="H236" s="315"/>
      <c r="I236" s="315"/>
      <c r="J236" s="315"/>
      <c r="K236" s="315"/>
      <c r="L236" s="315"/>
      <c r="M236" s="315"/>
      <c r="N236" s="315"/>
      <c r="O236" s="315"/>
      <c r="P236" s="315"/>
      <c r="Q236" s="315"/>
      <c r="R236" s="315"/>
      <c r="S236" s="315"/>
      <c r="T236" s="315"/>
      <c r="U236" s="315"/>
    </row>
    <row r="237" spans="3:21">
      <c r="C237" s="315"/>
      <c r="D237" s="315"/>
      <c r="E237" s="315"/>
      <c r="F237" s="315"/>
      <c r="G237" s="315"/>
      <c r="H237" s="315"/>
      <c r="I237" s="315"/>
      <c r="J237" s="315"/>
      <c r="K237" s="315"/>
      <c r="L237" s="315"/>
      <c r="M237" s="315"/>
      <c r="N237" s="315"/>
      <c r="O237" s="315"/>
      <c r="P237" s="315"/>
      <c r="Q237" s="315"/>
      <c r="R237" s="315"/>
      <c r="S237" s="315"/>
      <c r="T237" s="315"/>
      <c r="U237" s="315"/>
    </row>
    <row r="238" spans="3:21">
      <c r="C238" s="315"/>
      <c r="D238" s="315"/>
      <c r="E238" s="315"/>
      <c r="F238" s="315"/>
      <c r="G238" s="315"/>
      <c r="H238" s="315"/>
      <c r="I238" s="315"/>
      <c r="J238" s="315"/>
      <c r="K238" s="315"/>
      <c r="L238" s="315"/>
      <c r="M238" s="315"/>
      <c r="N238" s="315"/>
      <c r="O238" s="315"/>
      <c r="P238" s="315"/>
      <c r="Q238" s="315"/>
      <c r="R238" s="315"/>
      <c r="S238" s="315"/>
      <c r="T238" s="315"/>
      <c r="U238" s="315"/>
    </row>
    <row r="239" spans="3:21">
      <c r="C239" s="315"/>
      <c r="D239" s="315"/>
      <c r="E239" s="315"/>
      <c r="F239" s="315"/>
      <c r="G239" s="315"/>
      <c r="H239" s="315"/>
      <c r="I239" s="315"/>
      <c r="J239" s="315"/>
      <c r="K239" s="315"/>
      <c r="L239" s="315"/>
      <c r="M239" s="315"/>
      <c r="N239" s="315"/>
      <c r="O239" s="315"/>
      <c r="P239" s="315"/>
      <c r="Q239" s="315"/>
      <c r="R239" s="315"/>
      <c r="S239" s="315"/>
      <c r="T239" s="315"/>
      <c r="U239" s="315"/>
    </row>
    <row r="240" spans="3:21">
      <c r="C240" s="315"/>
      <c r="D240" s="315"/>
      <c r="E240" s="315"/>
      <c r="F240" s="315"/>
      <c r="G240" s="315"/>
      <c r="H240" s="315"/>
      <c r="I240" s="315"/>
      <c r="J240" s="315"/>
      <c r="K240" s="315"/>
      <c r="L240" s="315"/>
      <c r="M240" s="315"/>
      <c r="N240" s="315"/>
      <c r="O240" s="315"/>
      <c r="P240" s="315"/>
      <c r="Q240" s="315"/>
      <c r="R240" s="315"/>
      <c r="S240" s="315"/>
      <c r="T240" s="315"/>
      <c r="U240" s="315"/>
    </row>
    <row r="241" spans="3:21">
      <c r="C241" s="315"/>
      <c r="D241" s="315"/>
      <c r="E241" s="315"/>
      <c r="F241" s="315"/>
      <c r="G241" s="315"/>
      <c r="H241" s="315"/>
      <c r="I241" s="315"/>
      <c r="J241" s="315"/>
      <c r="K241" s="315"/>
      <c r="L241" s="315"/>
      <c r="M241" s="315"/>
      <c r="N241" s="315"/>
      <c r="O241" s="315"/>
      <c r="P241" s="315"/>
      <c r="Q241" s="315"/>
      <c r="R241" s="315"/>
      <c r="S241" s="315"/>
      <c r="T241" s="315"/>
      <c r="U241" s="315"/>
    </row>
    <row r="242" spans="3:21">
      <c r="C242" s="315"/>
      <c r="D242" s="315"/>
      <c r="E242" s="315"/>
      <c r="F242" s="315"/>
      <c r="G242" s="315"/>
      <c r="H242" s="315"/>
      <c r="I242" s="315"/>
      <c r="J242" s="315"/>
      <c r="K242" s="315"/>
      <c r="L242" s="315"/>
      <c r="M242" s="315"/>
      <c r="N242" s="315"/>
      <c r="O242" s="315"/>
      <c r="P242" s="315"/>
      <c r="Q242" s="315"/>
      <c r="R242" s="315"/>
      <c r="S242" s="315"/>
      <c r="T242" s="315"/>
      <c r="U242" s="315"/>
    </row>
    <row r="243" spans="3:21">
      <c r="C243" s="315"/>
      <c r="D243" s="315"/>
      <c r="E243" s="315"/>
      <c r="F243" s="315"/>
      <c r="G243" s="315"/>
      <c r="H243" s="315"/>
      <c r="I243" s="315"/>
      <c r="J243" s="315"/>
      <c r="K243" s="315"/>
      <c r="L243" s="315"/>
      <c r="M243" s="315"/>
      <c r="N243" s="315"/>
      <c r="O243" s="315"/>
      <c r="P243" s="315"/>
      <c r="Q243" s="315"/>
      <c r="R243" s="315"/>
      <c r="S243" s="315"/>
      <c r="T243" s="315"/>
      <c r="U243" s="315"/>
    </row>
    <row r="244" spans="3:21">
      <c r="C244" s="315"/>
      <c r="D244" s="315"/>
      <c r="E244" s="315"/>
      <c r="F244" s="315"/>
      <c r="G244" s="315"/>
      <c r="H244" s="315"/>
      <c r="I244" s="315"/>
      <c r="J244" s="315"/>
      <c r="K244" s="315"/>
      <c r="L244" s="315"/>
      <c r="M244" s="315"/>
      <c r="N244" s="315"/>
      <c r="O244" s="315"/>
      <c r="P244" s="315"/>
      <c r="Q244" s="315"/>
      <c r="R244" s="315"/>
      <c r="S244" s="315"/>
      <c r="T244" s="315"/>
      <c r="U244" s="315"/>
    </row>
    <row r="245" spans="3:21">
      <c r="C245" s="315"/>
      <c r="D245" s="315"/>
      <c r="E245" s="315"/>
      <c r="F245" s="315"/>
      <c r="G245" s="315"/>
      <c r="H245" s="315"/>
      <c r="I245" s="315"/>
      <c r="J245" s="315"/>
      <c r="K245" s="315"/>
      <c r="L245" s="315"/>
      <c r="M245" s="315"/>
      <c r="N245" s="315"/>
      <c r="O245" s="315"/>
      <c r="P245" s="315"/>
      <c r="Q245" s="315"/>
      <c r="R245" s="315"/>
      <c r="S245" s="315"/>
      <c r="T245" s="315"/>
      <c r="U245" s="315"/>
    </row>
    <row r="246" spans="3:21">
      <c r="C246" s="315"/>
      <c r="D246" s="315"/>
      <c r="E246" s="315"/>
      <c r="F246" s="315"/>
      <c r="G246" s="315"/>
      <c r="H246" s="315"/>
      <c r="I246" s="315"/>
      <c r="J246" s="315"/>
      <c r="K246" s="315"/>
      <c r="L246" s="315"/>
      <c r="M246" s="315"/>
      <c r="N246" s="315"/>
      <c r="O246" s="315"/>
      <c r="P246" s="315"/>
      <c r="Q246" s="315"/>
      <c r="R246" s="315"/>
      <c r="S246" s="315"/>
      <c r="T246" s="315"/>
      <c r="U246" s="315"/>
    </row>
    <row r="247" spans="3:21">
      <c r="C247" s="315"/>
      <c r="D247" s="315"/>
      <c r="E247" s="315"/>
      <c r="F247" s="315"/>
      <c r="G247" s="315"/>
      <c r="H247" s="315"/>
      <c r="I247" s="315"/>
      <c r="J247" s="315"/>
      <c r="K247" s="315"/>
      <c r="L247" s="315"/>
      <c r="M247" s="315"/>
      <c r="N247" s="315"/>
      <c r="O247" s="315"/>
      <c r="P247" s="315"/>
      <c r="Q247" s="315"/>
      <c r="R247" s="315"/>
      <c r="S247" s="315"/>
      <c r="T247" s="315"/>
      <c r="U247" s="315"/>
    </row>
    <row r="248" spans="3:21">
      <c r="C248" s="315"/>
      <c r="D248" s="315"/>
      <c r="E248" s="315"/>
      <c r="F248" s="315"/>
      <c r="G248" s="315"/>
      <c r="H248" s="315"/>
      <c r="I248" s="315"/>
      <c r="J248" s="315"/>
      <c r="K248" s="315"/>
      <c r="L248" s="315"/>
      <c r="M248" s="315"/>
      <c r="N248" s="315"/>
      <c r="O248" s="315"/>
      <c r="P248" s="315"/>
      <c r="Q248" s="315"/>
      <c r="R248" s="315"/>
      <c r="S248" s="315"/>
      <c r="T248" s="315"/>
      <c r="U248" s="315"/>
    </row>
    <row r="249" spans="3:21">
      <c r="C249" s="315"/>
      <c r="D249" s="315"/>
      <c r="E249" s="315"/>
      <c r="F249" s="315"/>
      <c r="G249" s="315"/>
      <c r="H249" s="315"/>
      <c r="I249" s="315"/>
      <c r="J249" s="315"/>
      <c r="K249" s="315"/>
      <c r="L249" s="315"/>
      <c r="M249" s="315"/>
      <c r="N249" s="315"/>
      <c r="O249" s="315"/>
      <c r="P249" s="315"/>
      <c r="Q249" s="315"/>
      <c r="R249" s="315"/>
      <c r="S249" s="315"/>
      <c r="T249" s="315"/>
      <c r="U249" s="315"/>
    </row>
    <row r="250" spans="3:21">
      <c r="C250" s="315"/>
      <c r="D250" s="315"/>
      <c r="E250" s="315"/>
      <c r="F250" s="315"/>
      <c r="G250" s="315"/>
      <c r="H250" s="315"/>
      <c r="I250" s="315"/>
      <c r="J250" s="315"/>
      <c r="K250" s="315"/>
      <c r="L250" s="315"/>
      <c r="M250" s="315"/>
      <c r="N250" s="315"/>
      <c r="O250" s="315"/>
      <c r="P250" s="315"/>
      <c r="Q250" s="315"/>
      <c r="R250" s="315"/>
      <c r="S250" s="315"/>
      <c r="T250" s="315"/>
      <c r="U250" s="315"/>
    </row>
    <row r="251" spans="3:21">
      <c r="C251" s="315"/>
      <c r="D251" s="315"/>
      <c r="E251" s="315"/>
      <c r="F251" s="315"/>
      <c r="G251" s="315"/>
      <c r="H251" s="315"/>
      <c r="I251" s="315"/>
      <c r="J251" s="315"/>
      <c r="K251" s="315"/>
      <c r="L251" s="315"/>
      <c r="M251" s="315"/>
      <c r="N251" s="315"/>
      <c r="O251" s="315"/>
      <c r="P251" s="315"/>
      <c r="Q251" s="315"/>
      <c r="R251" s="315"/>
      <c r="S251" s="315"/>
      <c r="T251" s="315"/>
      <c r="U251" s="315"/>
    </row>
    <row r="252" spans="3:21">
      <c r="C252" s="315"/>
      <c r="D252" s="315"/>
      <c r="E252" s="315"/>
      <c r="F252" s="315"/>
      <c r="G252" s="315"/>
      <c r="H252" s="315"/>
      <c r="I252" s="315"/>
      <c r="J252" s="315"/>
      <c r="K252" s="315"/>
      <c r="L252" s="315"/>
      <c r="M252" s="315"/>
      <c r="N252" s="315"/>
      <c r="O252" s="315"/>
      <c r="P252" s="315"/>
      <c r="Q252" s="315"/>
      <c r="R252" s="315"/>
      <c r="S252" s="315"/>
      <c r="T252" s="315"/>
      <c r="U252" s="315"/>
    </row>
    <row r="253" spans="3:21">
      <c r="C253" s="315"/>
      <c r="D253" s="315"/>
      <c r="E253" s="315"/>
      <c r="F253" s="315"/>
      <c r="G253" s="315"/>
      <c r="H253" s="315"/>
      <c r="I253" s="315"/>
      <c r="J253" s="315"/>
      <c r="K253" s="315"/>
      <c r="L253" s="315"/>
      <c r="M253" s="315"/>
      <c r="N253" s="315"/>
      <c r="O253" s="315"/>
      <c r="P253" s="315"/>
      <c r="Q253" s="315"/>
      <c r="R253" s="315"/>
      <c r="S253" s="315"/>
      <c r="T253" s="315"/>
      <c r="U253" s="315"/>
    </row>
    <row r="254" spans="3:21">
      <c r="C254" s="315"/>
      <c r="D254" s="315"/>
      <c r="E254" s="315"/>
      <c r="F254" s="315"/>
      <c r="G254" s="315"/>
      <c r="H254" s="315"/>
      <c r="I254" s="315"/>
      <c r="J254" s="315"/>
      <c r="K254" s="315"/>
      <c r="L254" s="315"/>
      <c r="M254" s="315"/>
      <c r="N254" s="315"/>
      <c r="O254" s="315"/>
      <c r="P254" s="315"/>
      <c r="Q254" s="315"/>
      <c r="R254" s="315"/>
      <c r="S254" s="315"/>
      <c r="T254" s="315"/>
      <c r="U254" s="315"/>
    </row>
    <row r="255" spans="3:21">
      <c r="C255" s="315"/>
      <c r="D255" s="315"/>
      <c r="E255" s="315"/>
      <c r="F255" s="315"/>
      <c r="G255" s="315"/>
      <c r="H255" s="315"/>
      <c r="I255" s="315"/>
      <c r="J255" s="315"/>
      <c r="K255" s="315"/>
      <c r="L255" s="315"/>
      <c r="M255" s="315"/>
      <c r="N255" s="315"/>
      <c r="O255" s="315"/>
      <c r="P255" s="315"/>
      <c r="Q255" s="315"/>
      <c r="R255" s="315"/>
      <c r="S255" s="315"/>
      <c r="T255" s="315"/>
      <c r="U255" s="315"/>
    </row>
    <row r="256" spans="3:21">
      <c r="C256" s="315"/>
      <c r="D256" s="315"/>
      <c r="E256" s="315"/>
      <c r="F256" s="315"/>
      <c r="G256" s="315"/>
      <c r="H256" s="315"/>
      <c r="I256" s="315"/>
      <c r="J256" s="315"/>
      <c r="K256" s="315"/>
      <c r="L256" s="315"/>
      <c r="M256" s="315"/>
      <c r="N256" s="315"/>
      <c r="O256" s="315"/>
      <c r="P256" s="315"/>
      <c r="Q256" s="315"/>
      <c r="R256" s="315"/>
      <c r="S256" s="315"/>
      <c r="T256" s="315"/>
      <c r="U256" s="315"/>
    </row>
    <row r="257" spans="3:21">
      <c r="C257" s="315"/>
      <c r="D257" s="315"/>
      <c r="E257" s="315"/>
      <c r="F257" s="315"/>
      <c r="G257" s="315"/>
      <c r="H257" s="315"/>
      <c r="I257" s="315"/>
      <c r="J257" s="315"/>
      <c r="K257" s="315"/>
      <c r="L257" s="315"/>
      <c r="M257" s="315"/>
      <c r="N257" s="315"/>
      <c r="O257" s="315"/>
      <c r="P257" s="315"/>
      <c r="Q257" s="315"/>
      <c r="R257" s="315"/>
      <c r="S257" s="315"/>
      <c r="T257" s="315"/>
      <c r="U257" s="315"/>
    </row>
    <row r="258" spans="3:21">
      <c r="C258" s="315"/>
      <c r="D258" s="315"/>
      <c r="E258" s="315"/>
      <c r="F258" s="315"/>
      <c r="G258" s="315"/>
      <c r="H258" s="315"/>
      <c r="I258" s="315"/>
      <c r="J258" s="315"/>
      <c r="K258" s="315"/>
      <c r="L258" s="315"/>
      <c r="M258" s="315"/>
      <c r="N258" s="315"/>
      <c r="O258" s="315"/>
      <c r="P258" s="315"/>
      <c r="Q258" s="315"/>
      <c r="R258" s="315"/>
      <c r="S258" s="315"/>
      <c r="T258" s="315"/>
      <c r="U258" s="315"/>
    </row>
    <row r="259" spans="3:21">
      <c r="C259" s="315"/>
      <c r="D259" s="315"/>
      <c r="E259" s="315"/>
      <c r="F259" s="315"/>
      <c r="G259" s="315"/>
      <c r="H259" s="315"/>
      <c r="I259" s="315"/>
      <c r="J259" s="315"/>
      <c r="K259" s="315"/>
      <c r="L259" s="315"/>
      <c r="M259" s="315"/>
      <c r="N259" s="315"/>
      <c r="O259" s="315"/>
      <c r="P259" s="315"/>
      <c r="Q259" s="315"/>
      <c r="R259" s="315"/>
      <c r="S259" s="315"/>
      <c r="T259" s="315"/>
      <c r="U259" s="315"/>
    </row>
    <row r="260" spans="3:21">
      <c r="C260" s="315"/>
      <c r="D260" s="315"/>
      <c r="E260" s="315"/>
      <c r="F260" s="315"/>
      <c r="G260" s="315"/>
      <c r="H260" s="315"/>
      <c r="I260" s="315"/>
      <c r="J260" s="315"/>
      <c r="K260" s="315"/>
      <c r="L260" s="315"/>
      <c r="M260" s="315"/>
      <c r="N260" s="315"/>
      <c r="O260" s="315"/>
      <c r="P260" s="315"/>
      <c r="Q260" s="315"/>
      <c r="R260" s="315"/>
      <c r="S260" s="315"/>
      <c r="T260" s="315"/>
      <c r="U260" s="315"/>
    </row>
    <row r="261" spans="3:21">
      <c r="C261" s="315"/>
      <c r="D261" s="315"/>
      <c r="E261" s="315"/>
      <c r="F261" s="315"/>
      <c r="G261" s="315"/>
      <c r="H261" s="315"/>
      <c r="I261" s="315"/>
      <c r="J261" s="315"/>
      <c r="K261" s="315"/>
      <c r="L261" s="315"/>
      <c r="M261" s="315"/>
      <c r="N261" s="315"/>
      <c r="O261" s="315"/>
      <c r="P261" s="315"/>
      <c r="Q261" s="315"/>
      <c r="R261" s="315"/>
      <c r="S261" s="315"/>
      <c r="T261" s="315"/>
      <c r="U261" s="315"/>
    </row>
    <row r="262" spans="3:21">
      <c r="C262" s="315"/>
      <c r="D262" s="315"/>
      <c r="E262" s="315"/>
      <c r="F262" s="315"/>
      <c r="G262" s="315"/>
      <c r="H262" s="315"/>
      <c r="I262" s="315"/>
      <c r="J262" s="315"/>
      <c r="K262" s="315"/>
      <c r="L262" s="315"/>
      <c r="M262" s="315"/>
      <c r="N262" s="315"/>
      <c r="O262" s="315"/>
      <c r="P262" s="315"/>
      <c r="Q262" s="315"/>
      <c r="R262" s="315"/>
      <c r="S262" s="315"/>
      <c r="T262" s="315"/>
      <c r="U262" s="315"/>
    </row>
    <row r="263" spans="3:21">
      <c r="C263" s="315"/>
      <c r="D263" s="315"/>
      <c r="E263" s="315"/>
      <c r="F263" s="315"/>
      <c r="G263" s="315"/>
      <c r="H263" s="315"/>
      <c r="I263" s="315"/>
      <c r="J263" s="315"/>
      <c r="K263" s="315"/>
      <c r="L263" s="315"/>
      <c r="M263" s="315"/>
      <c r="N263" s="315"/>
      <c r="O263" s="315"/>
      <c r="P263" s="315"/>
      <c r="Q263" s="315"/>
      <c r="R263" s="315"/>
      <c r="S263" s="315"/>
      <c r="T263" s="315"/>
      <c r="U263" s="315"/>
    </row>
    <row r="264" spans="3:21">
      <c r="C264" s="315"/>
      <c r="D264" s="315"/>
      <c r="E264" s="315"/>
      <c r="F264" s="315"/>
      <c r="G264" s="315"/>
      <c r="H264" s="315"/>
      <c r="I264" s="315"/>
      <c r="J264" s="315"/>
      <c r="K264" s="315"/>
      <c r="L264" s="315"/>
      <c r="M264" s="315"/>
      <c r="N264" s="315"/>
      <c r="O264" s="315"/>
      <c r="P264" s="315"/>
      <c r="Q264" s="315"/>
      <c r="R264" s="315"/>
      <c r="S264" s="315"/>
      <c r="T264" s="315"/>
      <c r="U264" s="315"/>
    </row>
    <row r="265" spans="3:21">
      <c r="C265" s="315"/>
      <c r="D265" s="315"/>
      <c r="E265" s="315"/>
      <c r="F265" s="315"/>
      <c r="G265" s="315"/>
      <c r="H265" s="315"/>
      <c r="I265" s="315"/>
      <c r="J265" s="315"/>
      <c r="K265" s="315"/>
      <c r="L265" s="315"/>
      <c r="M265" s="315"/>
      <c r="N265" s="315"/>
      <c r="O265" s="315"/>
      <c r="P265" s="315"/>
      <c r="Q265" s="315"/>
      <c r="R265" s="315"/>
      <c r="S265" s="315"/>
      <c r="T265" s="315"/>
      <c r="U265" s="315"/>
    </row>
    <row r="266" spans="3:21">
      <c r="C266" s="315"/>
      <c r="D266" s="315"/>
      <c r="E266" s="315"/>
      <c r="F266" s="315"/>
      <c r="G266" s="315"/>
      <c r="H266" s="315"/>
      <c r="I266" s="315"/>
      <c r="J266" s="315"/>
      <c r="K266" s="315"/>
      <c r="L266" s="315"/>
      <c r="M266" s="315"/>
      <c r="N266" s="315"/>
      <c r="O266" s="315"/>
      <c r="P266" s="315"/>
      <c r="Q266" s="315"/>
      <c r="R266" s="315"/>
      <c r="S266" s="315"/>
      <c r="T266" s="315"/>
      <c r="U266" s="315"/>
    </row>
    <row r="267" spans="3:21">
      <c r="C267" s="315"/>
      <c r="D267" s="315"/>
      <c r="E267" s="315"/>
      <c r="F267" s="315"/>
      <c r="G267" s="315"/>
      <c r="H267" s="315"/>
      <c r="I267" s="315"/>
      <c r="J267" s="315"/>
      <c r="K267" s="315"/>
      <c r="L267" s="315"/>
      <c r="M267" s="315"/>
      <c r="N267" s="315"/>
      <c r="O267" s="315"/>
      <c r="P267" s="315"/>
      <c r="Q267" s="315"/>
      <c r="R267" s="315"/>
      <c r="S267" s="315"/>
      <c r="T267" s="315"/>
      <c r="U267" s="315"/>
    </row>
    <row r="268" spans="3:21">
      <c r="C268" s="315"/>
      <c r="D268" s="315"/>
      <c r="E268" s="315"/>
      <c r="F268" s="315"/>
      <c r="G268" s="315"/>
      <c r="H268" s="315"/>
      <c r="I268" s="315"/>
      <c r="J268" s="315"/>
      <c r="K268" s="315"/>
      <c r="L268" s="315"/>
      <c r="M268" s="315"/>
      <c r="N268" s="315"/>
      <c r="O268" s="315"/>
      <c r="P268" s="315"/>
      <c r="Q268" s="315"/>
      <c r="R268" s="315"/>
      <c r="S268" s="315"/>
      <c r="T268" s="315"/>
      <c r="U268" s="315"/>
    </row>
    <row r="269" spans="3:21">
      <c r="C269" s="315"/>
      <c r="D269" s="315"/>
      <c r="E269" s="315"/>
      <c r="F269" s="315"/>
      <c r="G269" s="315"/>
      <c r="H269" s="315"/>
      <c r="I269" s="315"/>
      <c r="J269" s="315"/>
      <c r="K269" s="315"/>
      <c r="L269" s="315"/>
      <c r="M269" s="315"/>
      <c r="N269" s="315"/>
      <c r="O269" s="315"/>
      <c r="P269" s="315"/>
      <c r="Q269" s="315"/>
      <c r="R269" s="315"/>
      <c r="S269" s="315"/>
      <c r="T269" s="315"/>
      <c r="U269" s="315"/>
    </row>
    <row r="270" spans="3:21">
      <c r="C270" s="315"/>
      <c r="D270" s="315"/>
      <c r="E270" s="315"/>
      <c r="F270" s="315"/>
      <c r="G270" s="315"/>
      <c r="H270" s="315"/>
      <c r="I270" s="315"/>
      <c r="J270" s="315"/>
      <c r="K270" s="315"/>
      <c r="L270" s="315"/>
      <c r="M270" s="315"/>
      <c r="N270" s="315"/>
      <c r="O270" s="315"/>
      <c r="P270" s="315"/>
      <c r="Q270" s="315"/>
      <c r="R270" s="315"/>
      <c r="S270" s="315"/>
      <c r="T270" s="315"/>
      <c r="U270" s="315"/>
    </row>
    <row r="271" spans="3:21">
      <c r="C271" s="315"/>
      <c r="D271" s="315"/>
      <c r="E271" s="315"/>
      <c r="F271" s="315"/>
      <c r="G271" s="315"/>
      <c r="H271" s="315"/>
      <c r="I271" s="315"/>
      <c r="J271" s="315"/>
      <c r="K271" s="315"/>
      <c r="L271" s="315"/>
      <c r="M271" s="315"/>
      <c r="N271" s="315"/>
      <c r="O271" s="315"/>
      <c r="P271" s="315"/>
      <c r="Q271" s="315"/>
      <c r="R271" s="315"/>
      <c r="S271" s="315"/>
      <c r="T271" s="315"/>
      <c r="U271" s="315"/>
    </row>
    <row r="272" spans="3:21">
      <c r="C272" s="315"/>
      <c r="D272" s="315"/>
      <c r="E272" s="315"/>
      <c r="F272" s="315"/>
      <c r="G272" s="315"/>
      <c r="H272" s="315"/>
      <c r="I272" s="315"/>
      <c r="J272" s="315"/>
      <c r="K272" s="315"/>
      <c r="L272" s="315"/>
      <c r="M272" s="315"/>
      <c r="N272" s="315"/>
      <c r="O272" s="315"/>
      <c r="P272" s="315"/>
      <c r="Q272" s="315"/>
      <c r="R272" s="315"/>
      <c r="S272" s="315"/>
      <c r="T272" s="315"/>
      <c r="U272" s="315"/>
    </row>
    <row r="273" spans="3:21">
      <c r="C273" s="315"/>
      <c r="D273" s="315"/>
      <c r="E273" s="315"/>
      <c r="F273" s="315"/>
      <c r="G273" s="315"/>
      <c r="H273" s="315"/>
      <c r="I273" s="315"/>
      <c r="J273" s="315"/>
      <c r="K273" s="315"/>
      <c r="L273" s="315"/>
      <c r="M273" s="315"/>
      <c r="N273" s="315"/>
      <c r="O273" s="315"/>
      <c r="P273" s="315"/>
      <c r="Q273" s="315"/>
      <c r="R273" s="315"/>
      <c r="S273" s="315"/>
      <c r="T273" s="315"/>
      <c r="U273" s="315"/>
    </row>
    <row r="274" spans="3:21">
      <c r="C274" s="315"/>
      <c r="D274" s="315"/>
      <c r="E274" s="315"/>
      <c r="F274" s="315"/>
      <c r="G274" s="315"/>
      <c r="H274" s="315"/>
      <c r="I274" s="315"/>
      <c r="J274" s="315"/>
      <c r="K274" s="315"/>
      <c r="L274" s="315"/>
      <c r="M274" s="315"/>
      <c r="N274" s="315"/>
      <c r="O274" s="315"/>
      <c r="P274" s="315"/>
      <c r="Q274" s="315"/>
      <c r="R274" s="315"/>
      <c r="S274" s="315"/>
      <c r="T274" s="315"/>
      <c r="U274" s="315"/>
    </row>
    <row r="275" spans="3:21">
      <c r="C275" s="315"/>
      <c r="D275" s="315"/>
      <c r="E275" s="315"/>
      <c r="F275" s="315"/>
      <c r="G275" s="315"/>
      <c r="H275" s="315"/>
      <c r="I275" s="315"/>
      <c r="J275" s="315"/>
      <c r="K275" s="315"/>
      <c r="L275" s="315"/>
      <c r="M275" s="315"/>
      <c r="N275" s="315"/>
      <c r="O275" s="315"/>
      <c r="P275" s="315"/>
      <c r="Q275" s="315"/>
      <c r="R275" s="315"/>
      <c r="S275" s="315"/>
      <c r="T275" s="315"/>
      <c r="U275" s="315"/>
    </row>
    <row r="276" spans="3:21">
      <c r="C276" s="315"/>
      <c r="D276" s="315"/>
      <c r="E276" s="315"/>
      <c r="F276" s="315"/>
      <c r="G276" s="315"/>
      <c r="H276" s="315"/>
      <c r="I276" s="315"/>
      <c r="J276" s="315"/>
      <c r="K276" s="315"/>
      <c r="L276" s="315"/>
      <c r="M276" s="315"/>
      <c r="N276" s="315"/>
      <c r="O276" s="315"/>
      <c r="P276" s="315"/>
      <c r="Q276" s="315"/>
      <c r="R276" s="315"/>
      <c r="S276" s="315"/>
      <c r="T276" s="315"/>
      <c r="U276" s="315"/>
    </row>
    <row r="277" spans="3:21">
      <c r="C277" s="315"/>
      <c r="D277" s="315"/>
      <c r="E277" s="315"/>
      <c r="F277" s="315"/>
      <c r="G277" s="315"/>
      <c r="H277" s="315"/>
      <c r="I277" s="315"/>
      <c r="J277" s="315"/>
      <c r="K277" s="315"/>
      <c r="L277" s="315"/>
      <c r="M277" s="315"/>
      <c r="N277" s="315"/>
      <c r="O277" s="315"/>
      <c r="P277" s="315"/>
      <c r="Q277" s="315"/>
      <c r="R277" s="315"/>
      <c r="S277" s="315"/>
      <c r="T277" s="315"/>
      <c r="U277" s="315"/>
    </row>
    <row r="278" spans="3:21">
      <c r="C278" s="315"/>
      <c r="D278" s="315"/>
      <c r="E278" s="315"/>
      <c r="F278" s="315"/>
      <c r="G278" s="315"/>
      <c r="H278" s="315"/>
      <c r="I278" s="315"/>
      <c r="J278" s="315"/>
      <c r="K278" s="315"/>
      <c r="L278" s="315"/>
      <c r="M278" s="315"/>
      <c r="N278" s="315"/>
      <c r="O278" s="315"/>
      <c r="P278" s="315"/>
      <c r="Q278" s="315"/>
      <c r="R278" s="315"/>
      <c r="S278" s="315"/>
      <c r="T278" s="315"/>
      <c r="U278" s="315"/>
    </row>
    <row r="279" spans="3:21">
      <c r="C279" s="315"/>
      <c r="D279" s="315"/>
      <c r="E279" s="315"/>
      <c r="F279" s="315"/>
      <c r="G279" s="315"/>
      <c r="H279" s="315"/>
      <c r="I279" s="315"/>
      <c r="J279" s="315"/>
      <c r="K279" s="315"/>
      <c r="L279" s="315"/>
      <c r="M279" s="315"/>
      <c r="N279" s="315"/>
      <c r="O279" s="315"/>
      <c r="P279" s="315"/>
      <c r="Q279" s="315"/>
      <c r="R279" s="315"/>
      <c r="S279" s="315"/>
      <c r="T279" s="315"/>
      <c r="U279" s="315"/>
    </row>
    <row r="280" spans="3:21">
      <c r="C280" s="315"/>
      <c r="D280" s="315"/>
      <c r="E280" s="315"/>
      <c r="F280" s="315"/>
      <c r="G280" s="315"/>
      <c r="H280" s="315"/>
      <c r="I280" s="315"/>
      <c r="J280" s="315"/>
      <c r="K280" s="315"/>
      <c r="L280" s="315"/>
      <c r="M280" s="315"/>
      <c r="N280" s="315"/>
      <c r="O280" s="315"/>
      <c r="P280" s="315"/>
      <c r="Q280" s="315"/>
      <c r="R280" s="315"/>
      <c r="S280" s="315"/>
      <c r="T280" s="315"/>
      <c r="U280" s="315"/>
    </row>
    <row r="281" spans="3:21">
      <c r="C281" s="315"/>
      <c r="D281" s="315"/>
      <c r="E281" s="315"/>
      <c r="F281" s="315"/>
      <c r="G281" s="315"/>
      <c r="H281" s="315"/>
      <c r="I281" s="315"/>
      <c r="J281" s="315"/>
      <c r="K281" s="315"/>
      <c r="L281" s="315"/>
      <c r="M281" s="315"/>
      <c r="N281" s="315"/>
      <c r="O281" s="315"/>
      <c r="P281" s="315"/>
      <c r="Q281" s="315"/>
      <c r="R281" s="315"/>
      <c r="S281" s="315"/>
      <c r="T281" s="315"/>
      <c r="U281" s="315"/>
    </row>
    <row r="282" spans="3:21">
      <c r="C282" s="315"/>
      <c r="D282" s="315"/>
      <c r="E282" s="315"/>
      <c r="F282" s="315"/>
      <c r="G282" s="315"/>
      <c r="H282" s="315"/>
      <c r="I282" s="315"/>
      <c r="J282" s="315"/>
      <c r="K282" s="315"/>
      <c r="L282" s="315"/>
      <c r="M282" s="315"/>
      <c r="N282" s="315"/>
      <c r="O282" s="315"/>
      <c r="P282" s="315"/>
      <c r="Q282" s="315"/>
      <c r="R282" s="315"/>
      <c r="S282" s="315"/>
      <c r="T282" s="315"/>
      <c r="U282" s="315"/>
    </row>
    <row r="283" spans="3:21">
      <c r="C283" s="315"/>
      <c r="D283" s="315"/>
      <c r="E283" s="315"/>
      <c r="F283" s="315"/>
      <c r="G283" s="315"/>
      <c r="H283" s="315"/>
      <c r="I283" s="315"/>
      <c r="J283" s="315"/>
      <c r="K283" s="315"/>
      <c r="L283" s="315"/>
      <c r="M283" s="315"/>
      <c r="N283" s="315"/>
      <c r="O283" s="315"/>
      <c r="P283" s="315"/>
      <c r="Q283" s="315"/>
      <c r="R283" s="315"/>
      <c r="S283" s="315"/>
      <c r="T283" s="315"/>
      <c r="U283" s="315"/>
    </row>
    <row r="284" spans="3:21">
      <c r="C284" s="315"/>
      <c r="D284" s="315"/>
      <c r="E284" s="315"/>
      <c r="F284" s="315"/>
      <c r="G284" s="315"/>
      <c r="H284" s="315"/>
      <c r="I284" s="315"/>
      <c r="J284" s="315"/>
      <c r="K284" s="315"/>
      <c r="L284" s="315"/>
      <c r="M284" s="315"/>
      <c r="N284" s="315"/>
      <c r="O284" s="315"/>
      <c r="P284" s="315"/>
      <c r="Q284" s="315"/>
      <c r="R284" s="315"/>
      <c r="S284" s="315"/>
      <c r="T284" s="315"/>
      <c r="U284" s="315"/>
    </row>
    <row r="285" spans="3:21">
      <c r="C285" s="315"/>
      <c r="D285" s="315"/>
      <c r="E285" s="315"/>
      <c r="F285" s="315"/>
      <c r="G285" s="315"/>
      <c r="H285" s="315"/>
      <c r="I285" s="315"/>
      <c r="J285" s="315"/>
      <c r="K285" s="315"/>
      <c r="L285" s="315"/>
      <c r="M285" s="315"/>
      <c r="N285" s="315"/>
      <c r="O285" s="315"/>
      <c r="P285" s="315"/>
      <c r="Q285" s="315"/>
      <c r="R285" s="315"/>
      <c r="S285" s="315"/>
      <c r="T285" s="315"/>
      <c r="U285" s="315"/>
    </row>
    <row r="286" spans="3:21">
      <c r="C286" s="315"/>
      <c r="D286" s="315"/>
      <c r="E286" s="315"/>
      <c r="F286" s="315"/>
      <c r="G286" s="315"/>
      <c r="H286" s="315"/>
      <c r="I286" s="315"/>
      <c r="J286" s="315"/>
      <c r="K286" s="315"/>
      <c r="L286" s="315"/>
      <c r="M286" s="315"/>
      <c r="N286" s="315"/>
      <c r="O286" s="315"/>
      <c r="P286" s="315"/>
      <c r="Q286" s="315"/>
      <c r="R286" s="315"/>
      <c r="S286" s="315"/>
      <c r="T286" s="315"/>
      <c r="U286" s="315"/>
    </row>
    <row r="287" spans="3:21">
      <c r="C287" s="315"/>
      <c r="D287" s="315"/>
      <c r="E287" s="315"/>
      <c r="F287" s="315"/>
      <c r="G287" s="315"/>
      <c r="H287" s="315"/>
      <c r="I287" s="315"/>
      <c r="J287" s="315"/>
      <c r="K287" s="315"/>
      <c r="L287" s="315"/>
      <c r="M287" s="315"/>
      <c r="N287" s="315"/>
      <c r="O287" s="315"/>
      <c r="P287" s="315"/>
      <c r="Q287" s="315"/>
      <c r="R287" s="315"/>
      <c r="S287" s="315"/>
      <c r="T287" s="315"/>
      <c r="U287" s="315"/>
    </row>
    <row r="288" spans="3:21">
      <c r="C288" s="315"/>
      <c r="D288" s="315"/>
      <c r="E288" s="315"/>
      <c r="F288" s="315"/>
      <c r="G288" s="315"/>
      <c r="H288" s="315"/>
      <c r="I288" s="315"/>
      <c r="J288" s="315"/>
      <c r="K288" s="315"/>
      <c r="L288" s="315"/>
      <c r="M288" s="315"/>
      <c r="N288" s="315"/>
      <c r="O288" s="315"/>
      <c r="P288" s="315"/>
      <c r="Q288" s="315"/>
      <c r="R288" s="315"/>
      <c r="S288" s="315"/>
      <c r="T288" s="315"/>
      <c r="U288" s="315"/>
    </row>
    <row r="289" spans="3:21">
      <c r="C289" s="315"/>
      <c r="D289" s="315"/>
      <c r="E289" s="315"/>
      <c r="F289" s="315"/>
      <c r="G289" s="315"/>
      <c r="H289" s="315"/>
      <c r="I289" s="315"/>
      <c r="J289" s="315"/>
      <c r="K289" s="315"/>
      <c r="L289" s="315"/>
      <c r="M289" s="315"/>
      <c r="N289" s="315"/>
      <c r="O289" s="315"/>
      <c r="P289" s="315"/>
      <c r="Q289" s="315"/>
      <c r="R289" s="315"/>
      <c r="S289" s="315"/>
      <c r="T289" s="315"/>
      <c r="U289" s="315"/>
    </row>
    <row r="290" spans="3:21">
      <c r="C290" s="315"/>
      <c r="D290" s="315"/>
      <c r="E290" s="315"/>
      <c r="F290" s="315"/>
      <c r="G290" s="315"/>
      <c r="H290" s="315"/>
      <c r="I290" s="315"/>
      <c r="J290" s="315"/>
      <c r="K290" s="315"/>
      <c r="L290" s="315"/>
      <c r="M290" s="315"/>
      <c r="N290" s="315"/>
      <c r="O290" s="315"/>
      <c r="P290" s="315"/>
      <c r="Q290" s="315"/>
      <c r="R290" s="315"/>
      <c r="S290" s="315"/>
      <c r="T290" s="315"/>
      <c r="U290" s="315"/>
    </row>
    <row r="291" spans="3:21">
      <c r="C291" s="315"/>
      <c r="D291" s="315"/>
      <c r="E291" s="315"/>
      <c r="F291" s="315"/>
      <c r="G291" s="315"/>
      <c r="H291" s="315"/>
      <c r="I291" s="315"/>
      <c r="J291" s="315"/>
      <c r="K291" s="315"/>
      <c r="L291" s="315"/>
      <c r="M291" s="315"/>
      <c r="N291" s="315"/>
      <c r="O291" s="315"/>
      <c r="P291" s="315"/>
      <c r="Q291" s="315"/>
      <c r="R291" s="315"/>
      <c r="S291" s="315"/>
      <c r="T291" s="315"/>
      <c r="U291" s="315"/>
    </row>
    <row r="292" spans="3:21">
      <c r="C292" s="315"/>
      <c r="D292" s="315"/>
      <c r="E292" s="315"/>
      <c r="F292" s="315"/>
      <c r="G292" s="315"/>
      <c r="H292" s="315"/>
      <c r="I292" s="315"/>
      <c r="J292" s="315"/>
      <c r="K292" s="315"/>
      <c r="L292" s="315"/>
      <c r="M292" s="315"/>
      <c r="N292" s="315"/>
      <c r="O292" s="315"/>
      <c r="P292" s="315"/>
      <c r="Q292" s="315"/>
      <c r="R292" s="315"/>
      <c r="S292" s="315"/>
      <c r="T292" s="315"/>
      <c r="U292" s="315"/>
    </row>
    <row r="293" spans="3:21">
      <c r="C293" s="315"/>
      <c r="D293" s="315"/>
      <c r="E293" s="315"/>
      <c r="F293" s="315"/>
      <c r="G293" s="315"/>
      <c r="H293" s="315"/>
      <c r="I293" s="315"/>
      <c r="J293" s="315"/>
      <c r="K293" s="315"/>
      <c r="L293" s="315"/>
      <c r="M293" s="315"/>
      <c r="N293" s="315"/>
      <c r="O293" s="315"/>
      <c r="P293" s="315"/>
      <c r="Q293" s="315"/>
      <c r="R293" s="315"/>
      <c r="S293" s="315"/>
      <c r="T293" s="315"/>
      <c r="U293" s="315"/>
    </row>
    <row r="294" spans="3:21">
      <c r="C294" s="315"/>
      <c r="D294" s="315"/>
      <c r="E294" s="315"/>
      <c r="F294" s="315"/>
      <c r="G294" s="315"/>
      <c r="H294" s="315"/>
      <c r="I294" s="315"/>
      <c r="J294" s="315"/>
      <c r="K294" s="315"/>
      <c r="L294" s="315"/>
      <c r="M294" s="315"/>
      <c r="N294" s="315"/>
      <c r="O294" s="315"/>
      <c r="P294" s="315"/>
      <c r="Q294" s="315"/>
      <c r="R294" s="315"/>
      <c r="S294" s="315"/>
      <c r="T294" s="315"/>
      <c r="U294" s="315"/>
    </row>
    <row r="295" spans="3:21">
      <c r="C295" s="315"/>
      <c r="D295" s="315"/>
      <c r="E295" s="315"/>
      <c r="F295" s="315"/>
      <c r="G295" s="315"/>
      <c r="H295" s="315"/>
      <c r="I295" s="315"/>
      <c r="J295" s="315"/>
      <c r="K295" s="315"/>
      <c r="L295" s="315"/>
      <c r="M295" s="315"/>
      <c r="N295" s="315"/>
      <c r="O295" s="315"/>
      <c r="P295" s="315"/>
      <c r="Q295" s="315"/>
      <c r="R295" s="315"/>
      <c r="S295" s="315"/>
      <c r="T295" s="315"/>
      <c r="U295" s="315"/>
    </row>
    <row r="296" spans="3:21">
      <c r="C296" s="315"/>
      <c r="D296" s="315"/>
      <c r="E296" s="315"/>
      <c r="F296" s="315"/>
      <c r="G296" s="315"/>
      <c r="H296" s="315"/>
      <c r="I296" s="315"/>
      <c r="J296" s="315"/>
      <c r="K296" s="315"/>
      <c r="L296" s="315"/>
      <c r="M296" s="315"/>
      <c r="N296" s="315"/>
      <c r="O296" s="315"/>
      <c r="P296" s="315"/>
      <c r="Q296" s="315"/>
      <c r="R296" s="315"/>
      <c r="S296" s="315"/>
      <c r="T296" s="315"/>
      <c r="U296" s="315"/>
    </row>
    <row r="297" spans="3:21">
      <c r="C297" s="315"/>
      <c r="D297" s="315"/>
      <c r="E297" s="315"/>
      <c r="F297" s="315"/>
      <c r="G297" s="315"/>
      <c r="H297" s="315"/>
      <c r="I297" s="315"/>
      <c r="J297" s="315"/>
      <c r="K297" s="315"/>
      <c r="L297" s="315"/>
      <c r="M297" s="315"/>
      <c r="N297" s="315"/>
      <c r="O297" s="315"/>
      <c r="P297" s="315"/>
      <c r="Q297" s="315"/>
      <c r="R297" s="315"/>
      <c r="S297" s="315"/>
      <c r="T297" s="315"/>
      <c r="U297" s="315"/>
    </row>
    <row r="298" spans="3:21">
      <c r="C298" s="315"/>
      <c r="D298" s="315"/>
      <c r="E298" s="315"/>
      <c r="F298" s="315"/>
      <c r="G298" s="315"/>
      <c r="H298" s="315"/>
      <c r="I298" s="315"/>
      <c r="J298" s="315"/>
      <c r="K298" s="315"/>
      <c r="L298" s="315"/>
      <c r="M298" s="315"/>
      <c r="N298" s="315"/>
      <c r="O298" s="315"/>
      <c r="P298" s="315"/>
      <c r="Q298" s="315"/>
      <c r="R298" s="315"/>
      <c r="S298" s="315"/>
      <c r="T298" s="315"/>
      <c r="U298" s="315"/>
    </row>
    <row r="299" spans="3:21">
      <c r="C299" s="315"/>
      <c r="D299" s="315"/>
      <c r="E299" s="315"/>
      <c r="F299" s="315"/>
      <c r="G299" s="315"/>
      <c r="H299" s="315"/>
      <c r="I299" s="315"/>
      <c r="J299" s="315"/>
      <c r="K299" s="315"/>
      <c r="L299" s="315"/>
      <c r="M299" s="315"/>
      <c r="N299" s="315"/>
      <c r="O299" s="315"/>
      <c r="P299" s="315"/>
      <c r="Q299" s="315"/>
      <c r="R299" s="315"/>
      <c r="S299" s="315"/>
      <c r="T299" s="315"/>
      <c r="U299" s="315"/>
    </row>
    <row r="300" spans="3:21">
      <c r="C300" s="315"/>
      <c r="D300" s="315"/>
      <c r="E300" s="315"/>
      <c r="F300" s="315"/>
      <c r="G300" s="315"/>
      <c r="H300" s="315"/>
      <c r="I300" s="315"/>
      <c r="J300" s="315"/>
      <c r="K300" s="315"/>
      <c r="L300" s="315"/>
      <c r="M300" s="315"/>
      <c r="N300" s="315"/>
    </row>
    <row r="301" spans="3:21">
      <c r="C301" s="315"/>
      <c r="D301" s="315"/>
      <c r="E301" s="315"/>
      <c r="F301" s="315"/>
      <c r="G301" s="315"/>
      <c r="H301" s="315"/>
      <c r="I301" s="315"/>
      <c r="J301" s="315"/>
      <c r="K301" s="315"/>
      <c r="L301" s="315"/>
      <c r="M301" s="315"/>
      <c r="N301" s="315"/>
    </row>
    <row r="302" spans="3:21">
      <c r="C302" s="315"/>
      <c r="D302" s="315"/>
      <c r="E302" s="315"/>
      <c r="F302" s="315"/>
      <c r="G302" s="315"/>
      <c r="H302" s="315"/>
      <c r="I302" s="315"/>
      <c r="J302" s="315"/>
      <c r="K302" s="315"/>
      <c r="L302" s="315"/>
      <c r="M302" s="315"/>
      <c r="N302" s="315"/>
    </row>
    <row r="303" spans="3:21">
      <c r="C303" s="315"/>
      <c r="D303" s="315"/>
      <c r="E303" s="315"/>
      <c r="F303" s="315"/>
      <c r="G303" s="315"/>
      <c r="H303" s="315"/>
      <c r="I303" s="315"/>
      <c r="J303" s="315"/>
      <c r="K303" s="315"/>
      <c r="L303" s="315"/>
      <c r="M303" s="315"/>
      <c r="N303" s="315"/>
    </row>
    <row r="304" spans="3:21">
      <c r="C304" s="315"/>
      <c r="D304" s="315"/>
      <c r="E304" s="315"/>
      <c r="F304" s="315"/>
      <c r="G304" s="315"/>
      <c r="H304" s="315"/>
      <c r="I304" s="315"/>
      <c r="J304" s="315"/>
      <c r="K304" s="315"/>
      <c r="L304" s="315"/>
      <c r="M304" s="315"/>
      <c r="N304" s="315"/>
    </row>
    <row r="305" spans="3:14">
      <c r="C305" s="315"/>
      <c r="D305" s="315"/>
      <c r="E305" s="315"/>
      <c r="F305" s="315"/>
      <c r="G305" s="315"/>
      <c r="H305" s="315"/>
      <c r="I305" s="315"/>
      <c r="J305" s="315"/>
      <c r="K305" s="315"/>
      <c r="L305" s="315"/>
      <c r="M305" s="315"/>
      <c r="N305" s="315"/>
    </row>
    <row r="306" spans="3:14">
      <c r="C306" s="315"/>
      <c r="D306" s="315"/>
      <c r="E306" s="315"/>
      <c r="F306" s="315"/>
      <c r="G306" s="315"/>
      <c r="H306" s="315"/>
      <c r="I306" s="315"/>
      <c r="J306" s="315"/>
      <c r="K306" s="315"/>
      <c r="L306" s="315"/>
      <c r="M306" s="315"/>
      <c r="N306" s="315"/>
    </row>
    <row r="307" spans="3:14">
      <c r="C307" s="315"/>
      <c r="D307" s="315"/>
      <c r="E307" s="315"/>
      <c r="F307" s="315"/>
      <c r="G307" s="315"/>
      <c r="H307" s="315"/>
      <c r="I307" s="315"/>
      <c r="J307" s="315"/>
      <c r="K307" s="315"/>
      <c r="L307" s="315"/>
      <c r="M307" s="315"/>
      <c r="N307" s="315"/>
    </row>
  </sheetData>
  <mergeCells count="9">
    <mergeCell ref="F65:H65"/>
    <mergeCell ref="C102:N102"/>
    <mergeCell ref="C103:N103"/>
    <mergeCell ref="C104:N104"/>
    <mergeCell ref="C109:N109"/>
    <mergeCell ref="C105:N105"/>
    <mergeCell ref="C106:N106"/>
    <mergeCell ref="C107:N107"/>
    <mergeCell ref="C108:N108"/>
  </mergeCells>
  <phoneticPr fontId="4" type="noConversion"/>
  <pageMargins left="0.75" right="0.75" top="1" bottom="1" header="0.5" footer="0.5"/>
  <pageSetup scale="47" fitToHeight="2" orientation="landscape" r:id="rId1"/>
  <headerFooter alignWithMargins="0"/>
  <rowBreaks count="1" manualBreakCount="1">
    <brk id="60"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8F"/>
    <pageSetUpPr fitToPage="1"/>
  </sheetPr>
  <dimension ref="A1:T65"/>
  <sheetViews>
    <sheetView showGridLines="0" topLeftCell="K1" workbookViewId="0">
      <selection activeCell="N4" sqref="N4"/>
    </sheetView>
  </sheetViews>
  <sheetFormatPr defaultRowHeight="12.75"/>
  <cols>
    <col min="1" max="1" width="18" style="391" customWidth="1"/>
    <col min="2" max="2" width="28.75" style="391" customWidth="1"/>
    <col min="3" max="18" width="12.125" style="391" customWidth="1"/>
    <col min="19" max="19" width="8" style="391" hidden="1" customWidth="1"/>
    <col min="20" max="20" width="12.125" style="391" customWidth="1"/>
    <col min="21" max="16384" width="9" style="391"/>
  </cols>
  <sheetData>
    <row r="1" spans="1:20" s="460" customFormat="1" ht="18">
      <c r="A1" s="459" t="s">
        <v>538</v>
      </c>
    </row>
    <row r="2" spans="1:20">
      <c r="A2" s="461"/>
    </row>
    <row r="3" spans="1:20">
      <c r="A3" s="462" t="s">
        <v>539</v>
      </c>
      <c r="B3" s="463">
        <v>2015</v>
      </c>
      <c r="C3" s="464"/>
      <c r="D3" s="464"/>
      <c r="E3" s="464"/>
    </row>
    <row r="4" spans="1:20">
      <c r="A4" s="461"/>
      <c r="B4" s="464"/>
      <c r="C4" s="464"/>
      <c r="D4" s="464"/>
      <c r="E4" s="464"/>
    </row>
    <row r="5" spans="1:20">
      <c r="A5" s="462" t="s">
        <v>540</v>
      </c>
      <c r="B5" s="465" t="s">
        <v>298</v>
      </c>
      <c r="C5" s="464"/>
      <c r="D5" s="464"/>
      <c r="E5" s="464"/>
    </row>
    <row r="6" spans="1:20">
      <c r="A6" s="461"/>
      <c r="B6" s="464"/>
      <c r="C6" s="464"/>
      <c r="D6" s="466"/>
      <c r="E6" s="466"/>
      <c r="F6" s="467"/>
      <c r="G6" s="467"/>
      <c r="H6" s="467"/>
      <c r="I6" s="467"/>
      <c r="J6" s="467"/>
      <c r="K6" s="467"/>
      <c r="L6" s="467"/>
      <c r="M6" s="467"/>
      <c r="N6" s="467"/>
      <c r="O6" s="467"/>
      <c r="P6" s="467"/>
      <c r="Q6" s="467"/>
      <c r="R6" s="467"/>
      <c r="S6" s="468"/>
      <c r="T6" s="467"/>
    </row>
    <row r="7" spans="1:20">
      <c r="A7" s="469"/>
      <c r="B7" s="470" t="s">
        <v>542</v>
      </c>
      <c r="C7" s="471" t="s">
        <v>145</v>
      </c>
      <c r="D7" s="471" t="s">
        <v>146</v>
      </c>
      <c r="E7" s="471" t="s">
        <v>147</v>
      </c>
      <c r="F7" s="471" t="s">
        <v>148</v>
      </c>
      <c r="G7" s="471" t="s">
        <v>149</v>
      </c>
      <c r="H7" s="471" t="s">
        <v>286</v>
      </c>
      <c r="I7" s="471" t="s">
        <v>150</v>
      </c>
      <c r="J7" s="471" t="s">
        <v>151</v>
      </c>
      <c r="K7" s="471" t="s">
        <v>152</v>
      </c>
      <c r="L7" s="471" t="s">
        <v>191</v>
      </c>
      <c r="M7" s="471" t="s">
        <v>192</v>
      </c>
      <c r="N7" s="471" t="s">
        <v>287</v>
      </c>
      <c r="O7" s="471" t="s">
        <v>288</v>
      </c>
      <c r="P7" s="471" t="s">
        <v>290</v>
      </c>
      <c r="Q7" s="471" t="s">
        <v>571</v>
      </c>
      <c r="R7" s="471" t="s">
        <v>573</v>
      </c>
      <c r="S7" s="471" t="s">
        <v>601</v>
      </c>
      <c r="T7" s="471" t="s">
        <v>602</v>
      </c>
    </row>
    <row r="8" spans="1:20">
      <c r="A8" s="469"/>
      <c r="B8" s="470" t="s">
        <v>13</v>
      </c>
      <c r="C8" s="591" t="s">
        <v>30</v>
      </c>
      <c r="D8" s="591" t="s">
        <v>30</v>
      </c>
      <c r="E8" s="591" t="s">
        <v>30</v>
      </c>
      <c r="F8" s="591" t="s">
        <v>30</v>
      </c>
      <c r="G8" s="591" t="s">
        <v>30</v>
      </c>
      <c r="H8" s="591" t="s">
        <v>30</v>
      </c>
      <c r="I8" s="591" t="s">
        <v>30</v>
      </c>
      <c r="J8" s="591" t="s">
        <v>30</v>
      </c>
      <c r="K8" s="591" t="s">
        <v>30</v>
      </c>
      <c r="L8" s="591" t="s">
        <v>30</v>
      </c>
      <c r="M8" s="591" t="s">
        <v>30</v>
      </c>
      <c r="N8" s="591" t="s">
        <v>30</v>
      </c>
      <c r="O8" s="591" t="s">
        <v>30</v>
      </c>
      <c r="P8" s="591" t="s">
        <v>30</v>
      </c>
      <c r="Q8" s="591" t="s">
        <v>30</v>
      </c>
      <c r="R8" s="591" t="s">
        <v>30</v>
      </c>
      <c r="S8" s="591" t="s">
        <v>30</v>
      </c>
      <c r="T8" s="591" t="s">
        <v>30</v>
      </c>
    </row>
    <row r="9" spans="1:20" ht="25.5">
      <c r="A9" s="469"/>
      <c r="B9" s="470" t="s">
        <v>544</v>
      </c>
      <c r="C9" s="473" t="s">
        <v>543</v>
      </c>
      <c r="D9" s="473" t="s">
        <v>543</v>
      </c>
      <c r="E9" s="473" t="s">
        <v>541</v>
      </c>
      <c r="F9" s="473" t="s">
        <v>541</v>
      </c>
      <c r="G9" s="473" t="s">
        <v>541</v>
      </c>
      <c r="H9" s="473" t="s">
        <v>541</v>
      </c>
      <c r="I9" s="473" t="s">
        <v>541</v>
      </c>
      <c r="J9" s="473" t="s">
        <v>541</v>
      </c>
      <c r="K9" s="473" t="s">
        <v>543</v>
      </c>
      <c r="L9" s="473" t="s">
        <v>543</v>
      </c>
      <c r="M9" s="473" t="s">
        <v>543</v>
      </c>
      <c r="N9" s="473" t="s">
        <v>543</v>
      </c>
      <c r="O9" s="473" t="s">
        <v>541</v>
      </c>
      <c r="P9" s="473" t="s">
        <v>543</v>
      </c>
      <c r="Q9" s="473" t="s">
        <v>541</v>
      </c>
      <c r="R9" s="473" t="s">
        <v>541</v>
      </c>
      <c r="S9" s="473" t="s">
        <v>541</v>
      </c>
      <c r="T9" s="473" t="s">
        <v>543</v>
      </c>
    </row>
    <row r="10" spans="1:20">
      <c r="A10" s="474" t="s">
        <v>545</v>
      </c>
      <c r="B10" s="475" t="str">
        <f xml:space="preserve"> "December " &amp; B3-1</f>
        <v>December 2014</v>
      </c>
      <c r="C10" s="476">
        <v>7072818.7000000002</v>
      </c>
      <c r="D10" s="546">
        <v>3487897.51</v>
      </c>
      <c r="E10" s="476">
        <v>4462295.25</v>
      </c>
      <c r="F10" s="546">
        <v>7706681.2699999996</v>
      </c>
      <c r="G10" s="476">
        <v>30467969.233377025</v>
      </c>
      <c r="H10" s="546">
        <v>209695948.72017875</v>
      </c>
      <c r="I10" s="476">
        <v>189485424.17415243</v>
      </c>
      <c r="J10" s="546">
        <v>468201.81000000006</v>
      </c>
      <c r="K10" s="476">
        <v>127736.33000000002</v>
      </c>
      <c r="L10" s="546">
        <v>47486.629999999976</v>
      </c>
      <c r="M10" s="476">
        <v>230828.44</v>
      </c>
      <c r="N10" s="546">
        <v>4271567.28</v>
      </c>
      <c r="O10" s="476">
        <v>22196946.690000001</v>
      </c>
      <c r="P10" s="546">
        <v>309681</v>
      </c>
      <c r="Q10" s="476">
        <v>15310378.91</v>
      </c>
      <c r="R10" s="477">
        <v>7776831.7300000004</v>
      </c>
      <c r="S10" s="476">
        <v>0</v>
      </c>
      <c r="T10" s="476">
        <v>0</v>
      </c>
    </row>
    <row r="11" spans="1:20">
      <c r="A11" s="478" t="s">
        <v>546</v>
      </c>
      <c r="B11" s="479" t="str">
        <f xml:space="preserve"> "January " &amp; B3</f>
        <v>January 2015</v>
      </c>
      <c r="C11" s="480">
        <v>7072818.7000000002</v>
      </c>
      <c r="D11" s="547">
        <v>3487897.51</v>
      </c>
      <c r="E11" s="480">
        <v>4462295.25</v>
      </c>
      <c r="F11" s="547">
        <v>7706681.2699999996</v>
      </c>
      <c r="G11" s="480">
        <v>30467969.233377025</v>
      </c>
      <c r="H11" s="547">
        <v>206600495.97801983</v>
      </c>
      <c r="I11" s="480">
        <v>191588359.46691665</v>
      </c>
      <c r="J11" s="547">
        <v>468201.81000000006</v>
      </c>
      <c r="K11" s="480">
        <v>127736.33000000002</v>
      </c>
      <c r="L11" s="547">
        <v>47486.629999999976</v>
      </c>
      <c r="M11" s="480">
        <v>230828.44</v>
      </c>
      <c r="N11" s="547">
        <v>4271567.28</v>
      </c>
      <c r="O11" s="480">
        <v>22202427.702196009</v>
      </c>
      <c r="P11" s="547">
        <v>309681</v>
      </c>
      <c r="Q11" s="480">
        <v>15310378.91</v>
      </c>
      <c r="R11" s="481">
        <v>7779776.040000001</v>
      </c>
      <c r="S11" s="480">
        <v>0</v>
      </c>
      <c r="T11" s="480">
        <v>0</v>
      </c>
    </row>
    <row r="12" spans="1:20">
      <c r="A12" s="478"/>
      <c r="B12" s="482" t="s">
        <v>547</v>
      </c>
      <c r="C12" s="480">
        <v>7072818.7000000002</v>
      </c>
      <c r="D12" s="547">
        <v>3487897.51</v>
      </c>
      <c r="E12" s="480">
        <v>4462295.25</v>
      </c>
      <c r="F12" s="547">
        <v>7706681.2699999996</v>
      </c>
      <c r="G12" s="480">
        <v>30467969.233377025</v>
      </c>
      <c r="H12" s="547">
        <v>208878463.34535712</v>
      </c>
      <c r="I12" s="480">
        <v>196966817.59883738</v>
      </c>
      <c r="J12" s="547">
        <v>468201.81000000006</v>
      </c>
      <c r="K12" s="480">
        <v>127736.33000000002</v>
      </c>
      <c r="L12" s="547">
        <v>47486.629999999976</v>
      </c>
      <c r="M12" s="480">
        <v>230828.44</v>
      </c>
      <c r="N12" s="547">
        <v>4271567.28</v>
      </c>
      <c r="O12" s="480">
        <v>22202857.185429335</v>
      </c>
      <c r="P12" s="547">
        <v>309681</v>
      </c>
      <c r="Q12" s="480">
        <v>15310378.91</v>
      </c>
      <c r="R12" s="481">
        <v>7781773.71</v>
      </c>
      <c r="S12" s="480">
        <v>0</v>
      </c>
      <c r="T12" s="480">
        <v>204358.16</v>
      </c>
    </row>
    <row r="13" spans="1:20">
      <c r="A13" s="478"/>
      <c r="B13" s="482" t="s">
        <v>548</v>
      </c>
      <c r="C13" s="480">
        <v>7072818.7000000002</v>
      </c>
      <c r="D13" s="547">
        <v>3487897.51</v>
      </c>
      <c r="E13" s="480">
        <v>4462295.25</v>
      </c>
      <c r="F13" s="547">
        <v>7706681.2699999996</v>
      </c>
      <c r="G13" s="480">
        <v>30467969.233377025</v>
      </c>
      <c r="H13" s="547">
        <v>209407633.21416873</v>
      </c>
      <c r="I13" s="480">
        <v>201752969.58493611</v>
      </c>
      <c r="J13" s="547">
        <v>468201.81000000006</v>
      </c>
      <c r="K13" s="480">
        <v>127736.33000000002</v>
      </c>
      <c r="L13" s="547">
        <v>47486.629999999976</v>
      </c>
      <c r="M13" s="480">
        <v>230828.44</v>
      </c>
      <c r="N13" s="547">
        <v>4271567.28</v>
      </c>
      <c r="O13" s="480">
        <v>22210761.386628546</v>
      </c>
      <c r="P13" s="547">
        <v>309681</v>
      </c>
      <c r="Q13" s="480">
        <v>15310378.91</v>
      </c>
      <c r="R13" s="481">
        <v>7781744.4100000001</v>
      </c>
      <c r="S13" s="480">
        <v>0</v>
      </c>
      <c r="T13" s="480">
        <v>204358.16</v>
      </c>
    </row>
    <row r="14" spans="1:20">
      <c r="A14" s="478"/>
      <c r="B14" s="482" t="s">
        <v>549</v>
      </c>
      <c r="C14" s="480">
        <v>7072818.7000000002</v>
      </c>
      <c r="D14" s="547">
        <v>3487897.51</v>
      </c>
      <c r="E14" s="480">
        <v>4462295.25</v>
      </c>
      <c r="F14" s="547">
        <v>7706681.2699999996</v>
      </c>
      <c r="G14" s="480">
        <v>30467969.233377025</v>
      </c>
      <c r="H14" s="547">
        <v>210924769.59385872</v>
      </c>
      <c r="I14" s="480">
        <v>206727406.46457735</v>
      </c>
      <c r="J14" s="547">
        <v>468201.81000000006</v>
      </c>
      <c r="K14" s="480">
        <v>127736.33000000002</v>
      </c>
      <c r="L14" s="547">
        <v>47486.629999999976</v>
      </c>
      <c r="M14" s="480">
        <v>230828.44</v>
      </c>
      <c r="N14" s="547">
        <v>4271567.28</v>
      </c>
      <c r="O14" s="480">
        <v>22215111.069841649</v>
      </c>
      <c r="P14" s="547">
        <v>309681</v>
      </c>
      <c r="Q14" s="480">
        <v>15310378.91</v>
      </c>
      <c r="R14" s="481">
        <v>14445352.640000001</v>
      </c>
      <c r="S14" s="480">
        <v>1071237.78</v>
      </c>
      <c r="T14" s="480">
        <v>204358.16</v>
      </c>
    </row>
    <row r="15" spans="1:20">
      <c r="A15" s="478"/>
      <c r="B15" s="482" t="s">
        <v>61</v>
      </c>
      <c r="C15" s="480">
        <v>7072818.7000000002</v>
      </c>
      <c r="D15" s="547">
        <v>3487897.51</v>
      </c>
      <c r="E15" s="480">
        <v>4462295.25</v>
      </c>
      <c r="F15" s="547">
        <v>7706681.2699999996</v>
      </c>
      <c r="G15" s="480">
        <v>30467969.233377025</v>
      </c>
      <c r="H15" s="547">
        <v>211202353.7893993</v>
      </c>
      <c r="I15" s="480">
        <v>212736860.27784678</v>
      </c>
      <c r="J15" s="547">
        <v>468201.81000000006</v>
      </c>
      <c r="K15" s="480">
        <v>127736.33000000002</v>
      </c>
      <c r="L15" s="547">
        <v>47486.629999999976</v>
      </c>
      <c r="M15" s="480">
        <v>230828.44</v>
      </c>
      <c r="N15" s="547">
        <v>4271567.28</v>
      </c>
      <c r="O15" s="480">
        <v>22215769.977553684</v>
      </c>
      <c r="P15" s="547">
        <v>309681</v>
      </c>
      <c r="Q15" s="480">
        <v>15310378.91</v>
      </c>
      <c r="R15" s="481">
        <v>14756744.18</v>
      </c>
      <c r="S15" s="480">
        <v>1082989.97</v>
      </c>
      <c r="T15" s="480">
        <v>204358.16</v>
      </c>
    </row>
    <row r="16" spans="1:20">
      <c r="A16" s="478"/>
      <c r="B16" s="482" t="s">
        <v>550</v>
      </c>
      <c r="C16" s="480">
        <v>7072818.7000000002</v>
      </c>
      <c r="D16" s="547">
        <v>3487897.51</v>
      </c>
      <c r="E16" s="480">
        <v>4462295.25</v>
      </c>
      <c r="F16" s="547">
        <v>7706681.2699999996</v>
      </c>
      <c r="G16" s="480">
        <v>30467969.233377025</v>
      </c>
      <c r="H16" s="547">
        <v>209550429.78997084</v>
      </c>
      <c r="I16" s="480">
        <v>216859823.46551216</v>
      </c>
      <c r="J16" s="547">
        <v>468201.81000000006</v>
      </c>
      <c r="K16" s="480">
        <v>127736.33000000002</v>
      </c>
      <c r="L16" s="547">
        <v>47486.629999999976</v>
      </c>
      <c r="M16" s="480">
        <v>230828.44</v>
      </c>
      <c r="N16" s="547">
        <v>4271567.28</v>
      </c>
      <c r="O16" s="480">
        <v>22213827.604757901</v>
      </c>
      <c r="P16" s="547">
        <v>309681</v>
      </c>
      <c r="Q16" s="480">
        <v>15310378.91</v>
      </c>
      <c r="R16" s="481">
        <v>19844497.02</v>
      </c>
      <c r="S16" s="480">
        <v>1096458.67</v>
      </c>
      <c r="T16" s="480">
        <v>204358.16</v>
      </c>
    </row>
    <row r="17" spans="1:20">
      <c r="A17" s="478"/>
      <c r="B17" s="482" t="s">
        <v>551</v>
      </c>
      <c r="C17" s="480">
        <v>7072818.7000000002</v>
      </c>
      <c r="D17" s="547">
        <v>3487897.51</v>
      </c>
      <c r="E17" s="480">
        <v>4462295.25</v>
      </c>
      <c r="F17" s="547">
        <v>7706681.2699999996</v>
      </c>
      <c r="G17" s="480">
        <v>30467969.233377025</v>
      </c>
      <c r="H17" s="547">
        <v>209734170.31111327</v>
      </c>
      <c r="I17" s="480">
        <v>218788471.34608731</v>
      </c>
      <c r="J17" s="547">
        <v>468201.81000000006</v>
      </c>
      <c r="K17" s="480">
        <v>127736.33000000002</v>
      </c>
      <c r="L17" s="547">
        <v>47486.629999999976</v>
      </c>
      <c r="M17" s="480">
        <v>230828.44</v>
      </c>
      <c r="N17" s="547">
        <v>4271567.28</v>
      </c>
      <c r="O17" s="480">
        <v>22206127.463585556</v>
      </c>
      <c r="P17" s="547">
        <v>309681</v>
      </c>
      <c r="Q17" s="480">
        <v>15310378.91</v>
      </c>
      <c r="R17" s="481">
        <v>20010825.670000002</v>
      </c>
      <c r="S17" s="480">
        <v>1441985.5799999998</v>
      </c>
      <c r="T17" s="480">
        <v>204358.16</v>
      </c>
    </row>
    <row r="18" spans="1:20">
      <c r="A18" s="478"/>
      <c r="B18" s="482" t="s">
        <v>552</v>
      </c>
      <c r="C18" s="480">
        <v>7072818.7000000002</v>
      </c>
      <c r="D18" s="547">
        <v>3487897.51</v>
      </c>
      <c r="E18" s="480">
        <v>4462295.25</v>
      </c>
      <c r="F18" s="547">
        <v>7706681.2699999996</v>
      </c>
      <c r="G18" s="480">
        <v>30467969.233377025</v>
      </c>
      <c r="H18" s="547">
        <v>211071022.19686216</v>
      </c>
      <c r="I18" s="480">
        <v>219172654.06867135</v>
      </c>
      <c r="J18" s="547">
        <v>468201.81000000006</v>
      </c>
      <c r="K18" s="480">
        <v>127736.33000000002</v>
      </c>
      <c r="L18" s="547">
        <v>47486.629999999976</v>
      </c>
      <c r="M18" s="480">
        <v>230828.44</v>
      </c>
      <c r="N18" s="547">
        <v>4271567.28</v>
      </c>
      <c r="O18" s="480">
        <v>22201521.250771523</v>
      </c>
      <c r="P18" s="547">
        <v>309681</v>
      </c>
      <c r="Q18" s="480">
        <v>15310378.91</v>
      </c>
      <c r="R18" s="481">
        <v>20050931.719999999</v>
      </c>
      <c r="S18" s="480">
        <v>1514711.4699999997</v>
      </c>
      <c r="T18" s="480">
        <v>204358.16</v>
      </c>
    </row>
    <row r="19" spans="1:20">
      <c r="A19" s="478"/>
      <c r="B19" s="482" t="s">
        <v>553</v>
      </c>
      <c r="C19" s="480">
        <v>7072818.7000000002</v>
      </c>
      <c r="D19" s="547">
        <v>3487897.51</v>
      </c>
      <c r="E19" s="480">
        <v>4462295.25</v>
      </c>
      <c r="F19" s="547">
        <v>7706681.2699999996</v>
      </c>
      <c r="G19" s="480">
        <v>30467969.233377025</v>
      </c>
      <c r="H19" s="547">
        <v>211230397.77301595</v>
      </c>
      <c r="I19" s="480">
        <v>215338102.22777063</v>
      </c>
      <c r="J19" s="547">
        <v>468201.81000000006</v>
      </c>
      <c r="K19" s="480">
        <v>127736.33000000002</v>
      </c>
      <c r="L19" s="547">
        <v>47486.629999999976</v>
      </c>
      <c r="M19" s="480">
        <v>230828.44</v>
      </c>
      <c r="N19" s="547">
        <v>4271567.28</v>
      </c>
      <c r="O19" s="480">
        <v>22200964.091914997</v>
      </c>
      <c r="P19" s="547">
        <v>309681</v>
      </c>
      <c r="Q19" s="480">
        <v>15310378.91</v>
      </c>
      <c r="R19" s="481">
        <v>19311124.199999999</v>
      </c>
      <c r="S19" s="480">
        <v>1543511.5499999998</v>
      </c>
      <c r="T19" s="480">
        <v>204358.16</v>
      </c>
    </row>
    <row r="20" spans="1:20">
      <c r="A20" s="478"/>
      <c r="B20" s="482" t="s">
        <v>554</v>
      </c>
      <c r="C20" s="480">
        <v>7072818.7000000002</v>
      </c>
      <c r="D20" s="547">
        <v>3487897.51</v>
      </c>
      <c r="E20" s="480">
        <v>4462295.25</v>
      </c>
      <c r="F20" s="547">
        <v>7706681.2699999996</v>
      </c>
      <c r="G20" s="480">
        <v>30467969.233377025</v>
      </c>
      <c r="H20" s="547">
        <v>211630854.73512313</v>
      </c>
      <c r="I20" s="480">
        <v>216116466.04460031</v>
      </c>
      <c r="J20" s="547">
        <v>468201.81000000006</v>
      </c>
      <c r="K20" s="480">
        <v>127736.33000000002</v>
      </c>
      <c r="L20" s="547">
        <v>47486.629999999976</v>
      </c>
      <c r="M20" s="480">
        <v>230828.44</v>
      </c>
      <c r="N20" s="547">
        <v>4271587.1000000006</v>
      </c>
      <c r="O20" s="480">
        <v>22200964.091914997</v>
      </c>
      <c r="P20" s="547">
        <v>309681</v>
      </c>
      <c r="Q20" s="480">
        <v>15310378.91</v>
      </c>
      <c r="R20" s="481">
        <v>19314853.719999999</v>
      </c>
      <c r="S20" s="480">
        <v>1561454.7199999997</v>
      </c>
      <c r="T20" s="480">
        <v>-1473482.5099999995</v>
      </c>
    </row>
    <row r="21" spans="1:20">
      <c r="A21" s="478"/>
      <c r="B21" s="482" t="s">
        <v>555</v>
      </c>
      <c r="C21" s="480">
        <v>7072818.7000000002</v>
      </c>
      <c r="D21" s="547">
        <v>3487897.51</v>
      </c>
      <c r="E21" s="480">
        <v>4462295.25</v>
      </c>
      <c r="F21" s="547">
        <v>7706681.2699999996</v>
      </c>
      <c r="G21" s="480">
        <v>30467969.233377025</v>
      </c>
      <c r="H21" s="547">
        <v>211662558.56766817</v>
      </c>
      <c r="I21" s="480">
        <v>216339650.7546742</v>
      </c>
      <c r="J21" s="547">
        <v>468201.81000000006</v>
      </c>
      <c r="K21" s="480">
        <v>127736.33000000002</v>
      </c>
      <c r="L21" s="547">
        <v>47486.629999999976</v>
      </c>
      <c r="M21" s="480">
        <v>230828.44</v>
      </c>
      <c r="N21" s="547">
        <v>4271587.1000000006</v>
      </c>
      <c r="O21" s="480">
        <v>22200964.091914997</v>
      </c>
      <c r="P21" s="547">
        <v>309681</v>
      </c>
      <c r="Q21" s="480">
        <v>15310378.91</v>
      </c>
      <c r="R21" s="481">
        <v>19312528.18</v>
      </c>
      <c r="S21" s="480">
        <v>3336366.6399999997</v>
      </c>
      <c r="T21" s="480">
        <v>-1337852.4899999995</v>
      </c>
    </row>
    <row r="22" spans="1:20">
      <c r="A22" s="483"/>
      <c r="B22" s="484" t="str">
        <f xml:space="preserve"> "December " &amp; B3</f>
        <v>December 2015</v>
      </c>
      <c r="C22" s="480">
        <v>7072818.7000000002</v>
      </c>
      <c r="D22" s="547">
        <v>3487897.51</v>
      </c>
      <c r="E22" s="480">
        <v>4462295.25</v>
      </c>
      <c r="F22" s="547">
        <v>7706681.2699999996</v>
      </c>
      <c r="G22" s="480">
        <v>30467969.233377025</v>
      </c>
      <c r="H22" s="547">
        <v>206656840.48466384</v>
      </c>
      <c r="I22" s="480">
        <v>216493078.71329457</v>
      </c>
      <c r="J22" s="547">
        <v>468201.81000000006</v>
      </c>
      <c r="K22" s="480">
        <v>127736.33000000002</v>
      </c>
      <c r="L22" s="547">
        <v>47486.629999999976</v>
      </c>
      <c r="M22" s="480">
        <v>230828.44</v>
      </c>
      <c r="N22" s="547">
        <v>4271587.1000000006</v>
      </c>
      <c r="O22" s="480">
        <v>22200964.091914997</v>
      </c>
      <c r="P22" s="547">
        <v>309681</v>
      </c>
      <c r="Q22" s="480">
        <v>15310378.91</v>
      </c>
      <c r="R22" s="481">
        <v>18711271.990000002</v>
      </c>
      <c r="S22" s="480">
        <v>37116159.920000002</v>
      </c>
      <c r="T22" s="480">
        <v>672602.52000000048</v>
      </c>
    </row>
    <row r="23" spans="1:20">
      <c r="A23" s="485"/>
      <c r="B23" s="486" t="s">
        <v>556</v>
      </c>
      <c r="C23" s="487">
        <f>AVERAGE(C10:C22)</f>
        <v>7072818.700000002</v>
      </c>
      <c r="D23" s="548">
        <f>AVERAGE(D10:D22)</f>
        <v>3487897.5099999984</v>
      </c>
      <c r="E23" s="487">
        <f t="shared" ref="E23:T23" si="0">AVERAGE(E10:E22)</f>
        <v>4462295.25</v>
      </c>
      <c r="F23" s="548">
        <f t="shared" si="0"/>
        <v>7706681.2699999968</v>
      </c>
      <c r="G23" s="487">
        <f t="shared" si="0"/>
        <v>30467969.233377036</v>
      </c>
      <c r="H23" s="548">
        <f t="shared" si="0"/>
        <v>209865072.19226155</v>
      </c>
      <c r="I23" s="487">
        <f t="shared" si="0"/>
        <v>209105083.39906746</v>
      </c>
      <c r="J23" s="548">
        <f t="shared" si="0"/>
        <v>468201.81000000023</v>
      </c>
      <c r="K23" s="487">
        <f t="shared" si="0"/>
        <v>127736.33000000006</v>
      </c>
      <c r="L23" s="548">
        <f t="shared" si="0"/>
        <v>47486.62999999999</v>
      </c>
      <c r="M23" s="487">
        <f t="shared" si="0"/>
        <v>230828.43999999997</v>
      </c>
      <c r="N23" s="548">
        <f t="shared" si="0"/>
        <v>4271571.8538461542</v>
      </c>
      <c r="O23" s="487">
        <f t="shared" si="0"/>
        <v>22205323.592186477</v>
      </c>
      <c r="P23" s="548">
        <f t="shared" si="0"/>
        <v>309681</v>
      </c>
      <c r="Q23" s="487">
        <f t="shared" si="0"/>
        <v>15310378.909999998</v>
      </c>
      <c r="R23" s="488">
        <f t="shared" si="0"/>
        <v>15144481.17</v>
      </c>
      <c r="S23" s="487">
        <f t="shared" si="0"/>
        <v>3828067.4076923076</v>
      </c>
      <c r="T23" s="487">
        <f t="shared" si="0"/>
        <v>-38759.01538461529</v>
      </c>
    </row>
    <row r="24" spans="1:20">
      <c r="A24" s="485"/>
      <c r="B24" s="486"/>
      <c r="C24" s="549"/>
      <c r="D24" s="549"/>
      <c r="E24" s="549"/>
      <c r="F24" s="549"/>
      <c r="G24" s="549"/>
      <c r="H24" s="549"/>
      <c r="I24" s="549"/>
      <c r="J24" s="549"/>
      <c r="K24" s="549"/>
      <c r="L24" s="549"/>
      <c r="M24" s="549"/>
      <c r="N24" s="549"/>
      <c r="O24" s="549"/>
      <c r="P24" s="549"/>
      <c r="Q24" s="549"/>
      <c r="R24" s="549"/>
      <c r="S24" s="549"/>
      <c r="T24" s="549"/>
    </row>
    <row r="25" spans="1:20">
      <c r="A25" s="485"/>
      <c r="B25" s="486"/>
      <c r="C25" s="496"/>
      <c r="D25" s="496"/>
      <c r="E25" s="496"/>
      <c r="F25" s="496"/>
      <c r="G25" s="496"/>
      <c r="H25" s="496"/>
      <c r="I25" s="496"/>
      <c r="J25" s="496"/>
      <c r="K25" s="496"/>
      <c r="L25" s="496"/>
      <c r="M25" s="496"/>
      <c r="N25" s="496"/>
      <c r="O25" s="496"/>
      <c r="P25" s="496"/>
      <c r="Q25" s="496"/>
      <c r="R25" s="496"/>
      <c r="S25" s="496"/>
      <c r="T25" s="496"/>
    </row>
    <row r="26" spans="1:20">
      <c r="A26" s="474" t="s">
        <v>557</v>
      </c>
      <c r="B26" s="475" t="str">
        <f>B10</f>
        <v>December 2014</v>
      </c>
      <c r="C26" s="476">
        <v>1230616.2799999982</v>
      </c>
      <c r="D26" s="546">
        <v>599233.67999999993</v>
      </c>
      <c r="E26" s="476">
        <v>473656.09499999968</v>
      </c>
      <c r="F26" s="546">
        <v>818035.43999999959</v>
      </c>
      <c r="G26" s="476">
        <v>1359525.0393711051</v>
      </c>
      <c r="H26" s="546">
        <v>2772012.3127682121</v>
      </c>
      <c r="I26" s="476">
        <v>326653.57539951929</v>
      </c>
      <c r="J26" s="546">
        <v>49520.489999999969</v>
      </c>
      <c r="K26" s="476">
        <v>17985.959999999995</v>
      </c>
      <c r="L26" s="546">
        <v>8933.4300000000039</v>
      </c>
      <c r="M26" s="476">
        <v>33084.53000000005</v>
      </c>
      <c r="N26" s="546">
        <v>232594.21736019384</v>
      </c>
      <c r="O26" s="476">
        <v>615137.2019194006</v>
      </c>
      <c r="P26" s="546">
        <v>32975.29000000003</v>
      </c>
      <c r="Q26" s="476">
        <v>80390.199690964466</v>
      </c>
      <c r="R26" s="477">
        <v>65488.031772955197</v>
      </c>
      <c r="S26" s="476">
        <v>0</v>
      </c>
      <c r="T26" s="476">
        <v>0</v>
      </c>
    </row>
    <row r="27" spans="1:20">
      <c r="A27" s="478" t="s">
        <v>558</v>
      </c>
      <c r="B27" s="479" t="str">
        <f>B11</f>
        <v>January 2015</v>
      </c>
      <c r="C27" s="480">
        <v>1246095.7299999981</v>
      </c>
      <c r="D27" s="547">
        <v>606867.23</v>
      </c>
      <c r="E27" s="480">
        <v>483422.19999999966</v>
      </c>
      <c r="F27" s="547">
        <v>834902.14999999956</v>
      </c>
      <c r="G27" s="480">
        <v>1410241.5896168579</v>
      </c>
      <c r="H27" s="547">
        <v>2945289.4735522708</v>
      </c>
      <c r="I27" s="480">
        <v>368894.56729861302</v>
      </c>
      <c r="J27" s="547">
        <v>50545.189999999966</v>
      </c>
      <c r="K27" s="480">
        <v>18265.519999999997</v>
      </c>
      <c r="L27" s="547">
        <v>9026.6000000000058</v>
      </c>
      <c r="M27" s="480">
        <v>33497.630000000048</v>
      </c>
      <c r="N27" s="547">
        <v>239239.14671238663</v>
      </c>
      <c r="O27" s="480">
        <v>652492.51298690296</v>
      </c>
      <c r="P27" s="547">
        <v>33692.144166666694</v>
      </c>
      <c r="Q27" s="480">
        <v>106973.62938871451</v>
      </c>
      <c r="R27" s="481">
        <v>78266.412759463725</v>
      </c>
      <c r="S27" s="480">
        <v>0</v>
      </c>
      <c r="T27" s="480">
        <v>0</v>
      </c>
    </row>
    <row r="28" spans="1:20">
      <c r="A28" s="478"/>
      <c r="B28" s="490" t="s">
        <v>547</v>
      </c>
      <c r="C28" s="480">
        <v>1261575.1799999981</v>
      </c>
      <c r="D28" s="547">
        <v>614500.78</v>
      </c>
      <c r="E28" s="480">
        <v>493188.30499999964</v>
      </c>
      <c r="F28" s="547">
        <v>851768.85999999952</v>
      </c>
      <c r="G28" s="480">
        <v>1460958.1398626107</v>
      </c>
      <c r="H28" s="547">
        <v>3119292.2488994384</v>
      </c>
      <c r="I28" s="480">
        <v>411161.26916050777</v>
      </c>
      <c r="J28" s="547">
        <v>51569.889999999963</v>
      </c>
      <c r="K28" s="480">
        <v>18545.079999999998</v>
      </c>
      <c r="L28" s="547">
        <v>9119.7700000000041</v>
      </c>
      <c r="M28" s="480">
        <v>33910.730000000054</v>
      </c>
      <c r="N28" s="547">
        <v>245884.07606457942</v>
      </c>
      <c r="O28" s="480">
        <v>689852.62455824891</v>
      </c>
      <c r="P28" s="547">
        <v>34408.998333333358</v>
      </c>
      <c r="Q28" s="480">
        <v>133557.05908646458</v>
      </c>
      <c r="R28" s="481">
        <v>91048.86783010856</v>
      </c>
      <c r="S28" s="480">
        <v>0</v>
      </c>
      <c r="T28" s="480">
        <v>177.9260223873205</v>
      </c>
    </row>
    <row r="29" spans="1:20">
      <c r="A29" s="478"/>
      <c r="B29" s="490" t="s">
        <v>548</v>
      </c>
      <c r="C29" s="480">
        <v>1277054.629999998</v>
      </c>
      <c r="D29" s="547">
        <v>622134.33000000007</v>
      </c>
      <c r="E29" s="480">
        <v>502954.40999999963</v>
      </c>
      <c r="F29" s="547">
        <v>868635.56999999948</v>
      </c>
      <c r="G29" s="480">
        <v>1511674.6901083635</v>
      </c>
      <c r="H29" s="547">
        <v>3294164.5697055883</v>
      </c>
      <c r="I29" s="480">
        <v>453456.94843020843</v>
      </c>
      <c r="J29" s="547">
        <v>52594.58999999996</v>
      </c>
      <c r="K29" s="480">
        <v>18824.64</v>
      </c>
      <c r="L29" s="547">
        <v>9212.940000000006</v>
      </c>
      <c r="M29" s="480">
        <v>34323.830000000053</v>
      </c>
      <c r="N29" s="547">
        <v>252529.00541677221</v>
      </c>
      <c r="O29" s="480">
        <v>727220.81208676158</v>
      </c>
      <c r="P29" s="547">
        <v>35125.852500000023</v>
      </c>
      <c r="Q29" s="480">
        <v>160140.48878421463</v>
      </c>
      <c r="R29" s="481">
        <v>103832.94125807953</v>
      </c>
      <c r="S29" s="480">
        <v>0</v>
      </c>
      <c r="T29" s="480">
        <v>533.77806716196153</v>
      </c>
    </row>
    <row r="30" spans="1:20">
      <c r="A30" s="478"/>
      <c r="B30" s="490" t="s">
        <v>549</v>
      </c>
      <c r="C30" s="480">
        <v>1292534.079999998</v>
      </c>
      <c r="D30" s="547">
        <v>629767.88000000012</v>
      </c>
      <c r="E30" s="480">
        <v>512720.51499999961</v>
      </c>
      <c r="F30" s="547">
        <v>885502.27999999945</v>
      </c>
      <c r="G30" s="480">
        <v>1562391.2403541165</v>
      </c>
      <c r="H30" s="547">
        <v>3548508.6405162048</v>
      </c>
      <c r="I30" s="480">
        <v>496370.08095784829</v>
      </c>
      <c r="J30" s="547">
        <v>53619.289999999957</v>
      </c>
      <c r="K30" s="480">
        <v>19104.2</v>
      </c>
      <c r="L30" s="547">
        <v>9306.1100000000042</v>
      </c>
      <c r="M30" s="480">
        <v>34736.930000000051</v>
      </c>
      <c r="N30" s="547">
        <v>259173.934768965</v>
      </c>
      <c r="O30" s="480">
        <v>764599.83852160908</v>
      </c>
      <c r="P30" s="547">
        <v>35842.706666666687</v>
      </c>
      <c r="Q30" s="480">
        <v>186723.91848196468</v>
      </c>
      <c r="R30" s="481">
        <v>122418.69692426533</v>
      </c>
      <c r="S30" s="480">
        <v>932.68150988648324</v>
      </c>
      <c r="T30" s="480">
        <v>889.63011193660259</v>
      </c>
    </row>
    <row r="31" spans="1:20">
      <c r="A31" s="478"/>
      <c r="B31" s="490" t="s">
        <v>61</v>
      </c>
      <c r="C31" s="480">
        <v>1308013.5299999979</v>
      </c>
      <c r="D31" s="547">
        <v>637401.43000000017</v>
      </c>
      <c r="E31" s="480">
        <v>522486.61999999959</v>
      </c>
      <c r="F31" s="547">
        <v>902368.98999999941</v>
      </c>
      <c r="G31" s="480">
        <v>1613107.7905998693</v>
      </c>
      <c r="H31" s="547">
        <v>3882252.5580568123</v>
      </c>
      <c r="I31" s="480">
        <v>538588.09414527332</v>
      </c>
      <c r="J31" s="547">
        <v>54643.989999999954</v>
      </c>
      <c r="K31" s="480">
        <v>19383.760000000002</v>
      </c>
      <c r="L31" s="547">
        <v>9399.2800000000061</v>
      </c>
      <c r="M31" s="480">
        <v>35150.030000000057</v>
      </c>
      <c r="N31" s="547">
        <v>265818.86412115779</v>
      </c>
      <c r="O31" s="480">
        <v>801981.91553174227</v>
      </c>
      <c r="P31" s="547">
        <v>36559.560833333351</v>
      </c>
      <c r="Q31" s="480">
        <v>213307.34817971473</v>
      </c>
      <c r="R31" s="481">
        <v>147077.26157470461</v>
      </c>
      <c r="S31" s="480">
        <v>2808.2766653424096</v>
      </c>
      <c r="T31" s="480">
        <v>1245.4821567112435</v>
      </c>
    </row>
    <row r="32" spans="1:20">
      <c r="A32" s="478"/>
      <c r="B32" s="490" t="s">
        <v>550</v>
      </c>
      <c r="C32" s="480">
        <v>1323492.9799999979</v>
      </c>
      <c r="D32" s="547">
        <v>645034.98000000021</v>
      </c>
      <c r="E32" s="480">
        <v>532252.72499999963</v>
      </c>
      <c r="F32" s="547">
        <v>919235.69999999937</v>
      </c>
      <c r="G32" s="480">
        <v>1663824.3408456221</v>
      </c>
      <c r="H32" s="547">
        <v>4215817.8870193167</v>
      </c>
      <c r="I32" s="480">
        <v>581820.57381030126</v>
      </c>
      <c r="J32" s="547">
        <v>55668.689999999951</v>
      </c>
      <c r="K32" s="480">
        <v>19663.320000000003</v>
      </c>
      <c r="L32" s="547">
        <v>9492.4500000000044</v>
      </c>
      <c r="M32" s="480">
        <v>35563.130000000056</v>
      </c>
      <c r="N32" s="547">
        <v>272463.79347335058</v>
      </c>
      <c r="O32" s="480">
        <v>839365.19315363548</v>
      </c>
      <c r="P32" s="547">
        <v>37276.415000000015</v>
      </c>
      <c r="Q32" s="480">
        <v>239890.77787746477</v>
      </c>
      <c r="R32" s="481">
        <v>176162.78978621447</v>
      </c>
      <c r="S32" s="480">
        <v>4705.8305849542085</v>
      </c>
      <c r="T32" s="480">
        <v>1601.3342014858845</v>
      </c>
    </row>
    <row r="33" spans="1:20">
      <c r="A33" s="478"/>
      <c r="B33" s="490" t="s">
        <v>551</v>
      </c>
      <c r="C33" s="480">
        <v>1338972.4299999978</v>
      </c>
      <c r="D33" s="547">
        <v>652668.53000000026</v>
      </c>
      <c r="E33" s="480">
        <v>542018.82999999961</v>
      </c>
      <c r="F33" s="547">
        <v>936102.40999999933</v>
      </c>
      <c r="G33" s="480">
        <v>1714540.8910913751</v>
      </c>
      <c r="H33" s="547">
        <v>4548724.4796186332</v>
      </c>
      <c r="I33" s="480">
        <v>625465.57441140991</v>
      </c>
      <c r="J33" s="547">
        <v>56693.389999999948</v>
      </c>
      <c r="K33" s="480">
        <v>19942.880000000005</v>
      </c>
      <c r="L33" s="547">
        <v>9585.6200000000063</v>
      </c>
      <c r="M33" s="480">
        <v>35976.230000000054</v>
      </c>
      <c r="N33" s="547">
        <v>279108.72282554337</v>
      </c>
      <c r="O33" s="480">
        <v>876749.62964353268</v>
      </c>
      <c r="P33" s="547">
        <v>37993.26916666668</v>
      </c>
      <c r="Q33" s="480">
        <v>266474.20757521479</v>
      </c>
      <c r="R33" s="481">
        <v>209544.44784914108</v>
      </c>
      <c r="S33" s="480">
        <v>6915.9468262360097</v>
      </c>
      <c r="T33" s="480">
        <v>1957.1862462605254</v>
      </c>
    </row>
    <row r="34" spans="1:20">
      <c r="A34" s="478"/>
      <c r="B34" s="490" t="s">
        <v>552</v>
      </c>
      <c r="C34" s="480">
        <v>1354451.8799999978</v>
      </c>
      <c r="D34" s="547">
        <v>660302.08000000031</v>
      </c>
      <c r="E34" s="480">
        <v>551784.93499999959</v>
      </c>
      <c r="F34" s="547">
        <v>952969.1199999993</v>
      </c>
      <c r="G34" s="480">
        <v>1777501.1798898755</v>
      </c>
      <c r="H34" s="547">
        <v>4882243.0364803048</v>
      </c>
      <c r="I34" s="480">
        <v>669530.6814574867</v>
      </c>
      <c r="J34" s="547">
        <v>57718.089999999946</v>
      </c>
      <c r="K34" s="480">
        <v>20222.440000000006</v>
      </c>
      <c r="L34" s="547">
        <v>9678.7900000000045</v>
      </c>
      <c r="M34" s="480">
        <v>36389.330000000053</v>
      </c>
      <c r="N34" s="547">
        <v>285753.65217773616</v>
      </c>
      <c r="O34" s="480">
        <v>914134.60135656735</v>
      </c>
      <c r="P34" s="547">
        <v>38710.123333333344</v>
      </c>
      <c r="Q34" s="480">
        <v>293057.63727296487</v>
      </c>
      <c r="R34" s="481">
        <v>243099.49907632062</v>
      </c>
      <c r="S34" s="480">
        <v>9490.2181228205191</v>
      </c>
      <c r="T34" s="480">
        <v>2313.0382910351664</v>
      </c>
    </row>
    <row r="35" spans="1:20">
      <c r="A35" s="478"/>
      <c r="B35" s="490" t="s">
        <v>553</v>
      </c>
      <c r="C35" s="480">
        <v>1369931.3299999977</v>
      </c>
      <c r="D35" s="547">
        <v>667935.63000000035</v>
      </c>
      <c r="E35" s="480">
        <v>561551.03999999957</v>
      </c>
      <c r="F35" s="547">
        <v>969835.82999999926</v>
      </c>
      <c r="G35" s="480">
        <v>1828217.7465881528</v>
      </c>
      <c r="H35" s="547">
        <v>5216940.1885538828</v>
      </c>
      <c r="I35" s="480">
        <v>868847.76231891674</v>
      </c>
      <c r="J35" s="547">
        <v>58742.789999999943</v>
      </c>
      <c r="K35" s="480">
        <v>20502.000000000007</v>
      </c>
      <c r="L35" s="547">
        <v>9771.9600000000064</v>
      </c>
      <c r="M35" s="480">
        <v>36802.430000000051</v>
      </c>
      <c r="N35" s="547">
        <v>292398.58152992895</v>
      </c>
      <c r="O35" s="480">
        <v>951519.08519822254</v>
      </c>
      <c r="P35" s="547">
        <v>39426.977500000008</v>
      </c>
      <c r="Q35" s="480">
        <v>319641.06697071489</v>
      </c>
      <c r="R35" s="481">
        <v>276045.08050079411</v>
      </c>
      <c r="S35" s="480">
        <v>12152.883795294467</v>
      </c>
      <c r="T35" s="480">
        <v>2668.8903358098073</v>
      </c>
    </row>
    <row r="36" spans="1:20">
      <c r="A36" s="478"/>
      <c r="B36" s="490" t="s">
        <v>554</v>
      </c>
      <c r="C36" s="480">
        <v>1385410.7799999977</v>
      </c>
      <c r="D36" s="547">
        <v>675569.1800000004</v>
      </c>
      <c r="E36" s="480">
        <v>571317.14499999955</v>
      </c>
      <c r="F36" s="547">
        <v>986702.53999999922</v>
      </c>
      <c r="G36" s="480">
        <v>1878934.3132864304</v>
      </c>
      <c r="H36" s="547">
        <v>5551932.635155079</v>
      </c>
      <c r="I36" s="480">
        <v>1223836.4271891755</v>
      </c>
      <c r="J36" s="547">
        <v>59767.48999999994</v>
      </c>
      <c r="K36" s="480">
        <v>20781.560000000009</v>
      </c>
      <c r="L36" s="547">
        <v>9865.1300000000047</v>
      </c>
      <c r="M36" s="480">
        <v>37215.530000000057</v>
      </c>
      <c r="N36" s="547">
        <v>299043.52823733492</v>
      </c>
      <c r="O36" s="480">
        <v>988903.08116849826</v>
      </c>
      <c r="P36" s="547">
        <v>40143.831666666672</v>
      </c>
      <c r="Q36" s="480">
        <v>346224.49666846497</v>
      </c>
      <c r="R36" s="481">
        <v>308351.25623987423</v>
      </c>
      <c r="S36" s="480">
        <v>14856.246842152468</v>
      </c>
      <c r="T36" s="480">
        <v>1563.9173437335749</v>
      </c>
    </row>
    <row r="37" spans="1:20">
      <c r="A37" s="478"/>
      <c r="B37" s="490" t="s">
        <v>555</v>
      </c>
      <c r="C37" s="480">
        <v>1400890.2299999977</v>
      </c>
      <c r="D37" s="547">
        <v>683202.73000000045</v>
      </c>
      <c r="E37" s="480">
        <v>581083.24999999953</v>
      </c>
      <c r="F37" s="547">
        <v>1003569.2499999992</v>
      </c>
      <c r="G37" s="480">
        <v>1929650.879984708</v>
      </c>
      <c r="H37" s="547">
        <v>5887268.396568248</v>
      </c>
      <c r="I37" s="480">
        <v>1580262.7451285659</v>
      </c>
      <c r="J37" s="547">
        <v>60792.189999999937</v>
      </c>
      <c r="K37" s="480">
        <v>21061.12000000001</v>
      </c>
      <c r="L37" s="547">
        <v>9958.3000000000065</v>
      </c>
      <c r="M37" s="480">
        <v>37628.630000000056</v>
      </c>
      <c r="N37" s="547">
        <v>305688.49229995406</v>
      </c>
      <c r="O37" s="480">
        <v>1026287.0771387742</v>
      </c>
      <c r="P37" s="547">
        <v>40860.685833333337</v>
      </c>
      <c r="Q37" s="480">
        <v>372807.92636621499</v>
      </c>
      <c r="R37" s="481">
        <v>340658.87227435596</v>
      </c>
      <c r="S37" s="480">
        <v>19120.573125714898</v>
      </c>
      <c r="T37" s="480">
        <v>-883.79335276250549</v>
      </c>
    </row>
    <row r="38" spans="1:20">
      <c r="A38" s="483"/>
      <c r="B38" s="484" t="str">
        <f>+B22</f>
        <v>December 2015</v>
      </c>
      <c r="C38" s="480">
        <v>1416369.6799999976</v>
      </c>
      <c r="D38" s="547">
        <v>690836.28000000049</v>
      </c>
      <c r="E38" s="480">
        <v>590849.35499999952</v>
      </c>
      <c r="F38" s="547">
        <v>1020435.9599999991</v>
      </c>
      <c r="G38" s="480">
        <v>1980367.4466829856</v>
      </c>
      <c r="H38" s="547">
        <v>6220614.7790801981</v>
      </c>
      <c r="I38" s="480">
        <v>1936366.6250914021</v>
      </c>
      <c r="J38" s="547">
        <v>61816.889999999934</v>
      </c>
      <c r="K38" s="480">
        <v>21340.680000000011</v>
      </c>
      <c r="L38" s="547">
        <v>10051.470000000005</v>
      </c>
      <c r="M38" s="480">
        <v>38041.730000000054</v>
      </c>
      <c r="N38" s="547">
        <v>312333.4563625732</v>
      </c>
      <c r="O38" s="480">
        <v>1063671.07310905</v>
      </c>
      <c r="P38" s="547">
        <v>41577.54</v>
      </c>
      <c r="Q38" s="480">
        <v>399391.35606396507</v>
      </c>
      <c r="R38" s="481">
        <v>372441.3492834827</v>
      </c>
      <c r="S38" s="480">
        <v>54340.880190224765</v>
      </c>
      <c r="T38" s="480">
        <v>-1462.9984163400211</v>
      </c>
    </row>
    <row r="39" spans="1:20">
      <c r="A39" s="485"/>
      <c r="B39" s="486" t="s">
        <v>556</v>
      </c>
      <c r="C39" s="487">
        <f t="shared" ref="C39:T39" si="1">AVERAGE(C26:C38)</f>
        <v>1323492.9799999979</v>
      </c>
      <c r="D39" s="548">
        <f t="shared" si="1"/>
        <v>645034.98000000021</v>
      </c>
      <c r="E39" s="487">
        <f t="shared" si="1"/>
        <v>532252.72499999951</v>
      </c>
      <c r="F39" s="548">
        <f t="shared" si="1"/>
        <v>919235.69999999937</v>
      </c>
      <c r="G39" s="487">
        <f t="shared" si="1"/>
        <v>1668533.4837140054</v>
      </c>
      <c r="H39" s="548">
        <f t="shared" si="1"/>
        <v>4314235.4773826301</v>
      </c>
      <c r="I39" s="487">
        <f t="shared" si="1"/>
        <v>775481.14806147909</v>
      </c>
      <c r="J39" s="548">
        <f t="shared" si="1"/>
        <v>55668.689999999951</v>
      </c>
      <c r="K39" s="487">
        <f t="shared" si="1"/>
        <v>19663.320000000003</v>
      </c>
      <c r="L39" s="548">
        <f t="shared" si="1"/>
        <v>9492.4500000000044</v>
      </c>
      <c r="M39" s="487">
        <f t="shared" si="1"/>
        <v>35563.130000000056</v>
      </c>
      <c r="N39" s="548">
        <f t="shared" si="1"/>
        <v>272463.80548849818</v>
      </c>
      <c r="O39" s="487">
        <f t="shared" si="1"/>
        <v>839378.04972099571</v>
      </c>
      <c r="P39" s="548">
        <f t="shared" si="1"/>
        <v>37276.415000000008</v>
      </c>
      <c r="Q39" s="487">
        <f t="shared" si="1"/>
        <v>239890.77787746477</v>
      </c>
      <c r="R39" s="488">
        <f t="shared" si="1"/>
        <v>194956.57747152002</v>
      </c>
      <c r="S39" s="487">
        <f t="shared" si="1"/>
        <v>9640.2721278943245</v>
      </c>
      <c r="T39" s="487">
        <f t="shared" si="1"/>
        <v>815.72238518611982</v>
      </c>
    </row>
    <row r="40" spans="1:20" s="467" customFormat="1">
      <c r="A40" s="491"/>
      <c r="B40" s="492"/>
      <c r="C40" s="489"/>
      <c r="D40" s="489"/>
      <c r="E40" s="489"/>
      <c r="F40" s="489"/>
      <c r="G40" s="489"/>
      <c r="H40" s="489"/>
      <c r="I40" s="489"/>
      <c r="J40" s="489"/>
      <c r="K40" s="489"/>
      <c r="L40" s="489"/>
      <c r="M40" s="489"/>
      <c r="N40" s="489"/>
      <c r="O40" s="489"/>
      <c r="P40" s="489"/>
      <c r="Q40" s="489"/>
      <c r="R40" s="489"/>
      <c r="S40" s="489"/>
      <c r="T40" s="489"/>
    </row>
    <row r="41" spans="1:20">
      <c r="A41" s="485"/>
      <c r="B41" s="493"/>
      <c r="C41" s="494"/>
      <c r="D41" s="494"/>
      <c r="E41" s="494"/>
      <c r="F41" s="494"/>
      <c r="G41" s="494"/>
      <c r="H41" s="494"/>
      <c r="I41" s="494"/>
      <c r="J41" s="494"/>
      <c r="K41" s="494"/>
      <c r="L41" s="494"/>
      <c r="M41" s="494"/>
      <c r="N41" s="494"/>
      <c r="O41" s="494"/>
      <c r="P41" s="494"/>
      <c r="Q41" s="494"/>
      <c r="R41" s="494"/>
      <c r="S41" s="494"/>
      <c r="T41" s="494"/>
    </row>
    <row r="42" spans="1:20">
      <c r="A42" s="485"/>
      <c r="B42" s="495"/>
      <c r="C42" s="496"/>
      <c r="D42" s="496"/>
      <c r="E42" s="496"/>
      <c r="F42" s="496"/>
      <c r="G42" s="496"/>
      <c r="H42" s="496"/>
      <c r="I42" s="496"/>
      <c r="J42" s="496"/>
      <c r="K42" s="496"/>
      <c r="L42" s="496"/>
      <c r="M42" s="496"/>
      <c r="N42" s="496"/>
      <c r="O42" s="496"/>
      <c r="P42" s="496"/>
      <c r="Q42" s="496"/>
      <c r="R42" s="496"/>
      <c r="S42" s="496"/>
      <c r="T42" s="496"/>
    </row>
    <row r="43" spans="1:20">
      <c r="A43" s="474" t="s">
        <v>559</v>
      </c>
      <c r="B43" s="497" t="str">
        <f>B10</f>
        <v>December 2014</v>
      </c>
      <c r="C43" s="476">
        <f t="shared" ref="C43:T55" si="2">+C10-C26</f>
        <v>5842202.4200000018</v>
      </c>
      <c r="D43" s="546">
        <f t="shared" si="2"/>
        <v>2888663.83</v>
      </c>
      <c r="E43" s="476">
        <f t="shared" si="2"/>
        <v>3988639.1550000003</v>
      </c>
      <c r="F43" s="546">
        <f t="shared" si="2"/>
        <v>6888645.8300000001</v>
      </c>
      <c r="G43" s="476">
        <f t="shared" si="2"/>
        <v>29108444.194005918</v>
      </c>
      <c r="H43" s="546">
        <f t="shared" si="2"/>
        <v>206923936.40741053</v>
      </c>
      <c r="I43" s="476">
        <f t="shared" si="2"/>
        <v>189158770.59875292</v>
      </c>
      <c r="J43" s="546">
        <f t="shared" si="2"/>
        <v>418681.32000000007</v>
      </c>
      <c r="K43" s="476">
        <f t="shared" si="2"/>
        <v>109750.37000000002</v>
      </c>
      <c r="L43" s="546">
        <f t="shared" si="2"/>
        <v>38553.199999999968</v>
      </c>
      <c r="M43" s="476">
        <f t="shared" si="2"/>
        <v>197743.90999999995</v>
      </c>
      <c r="N43" s="546">
        <f t="shared" si="2"/>
        <v>4038973.0626398064</v>
      </c>
      <c r="O43" s="476">
        <f t="shared" si="2"/>
        <v>21581809.488080602</v>
      </c>
      <c r="P43" s="546">
        <f t="shared" si="2"/>
        <v>276705.70999999996</v>
      </c>
      <c r="Q43" s="476">
        <f t="shared" si="2"/>
        <v>15229988.710309036</v>
      </c>
      <c r="R43" s="477">
        <f t="shared" si="2"/>
        <v>7711343.6982270451</v>
      </c>
      <c r="S43" s="476">
        <f t="shared" si="2"/>
        <v>0</v>
      </c>
      <c r="T43" s="476">
        <f t="shared" si="2"/>
        <v>0</v>
      </c>
    </row>
    <row r="44" spans="1:20">
      <c r="A44" s="478" t="s">
        <v>560</v>
      </c>
      <c r="B44" s="498" t="str">
        <f>B11</f>
        <v>January 2015</v>
      </c>
      <c r="C44" s="480">
        <f t="shared" si="2"/>
        <v>5826722.9700000025</v>
      </c>
      <c r="D44" s="547">
        <f t="shared" si="2"/>
        <v>2881030.28</v>
      </c>
      <c r="E44" s="480">
        <f t="shared" si="2"/>
        <v>3978873.0500000003</v>
      </c>
      <c r="F44" s="547">
        <f t="shared" si="2"/>
        <v>6871779.1200000001</v>
      </c>
      <c r="G44" s="480">
        <f t="shared" si="2"/>
        <v>29057727.643760167</v>
      </c>
      <c r="H44" s="547">
        <f t="shared" si="2"/>
        <v>203655206.50446758</v>
      </c>
      <c r="I44" s="480">
        <f t="shared" si="2"/>
        <v>191219464.89961803</v>
      </c>
      <c r="J44" s="547">
        <f t="shared" si="2"/>
        <v>417656.62000000011</v>
      </c>
      <c r="K44" s="480">
        <f t="shared" si="2"/>
        <v>109470.81000000003</v>
      </c>
      <c r="L44" s="547">
        <f t="shared" si="2"/>
        <v>38460.02999999997</v>
      </c>
      <c r="M44" s="480">
        <f t="shared" si="2"/>
        <v>197330.80999999994</v>
      </c>
      <c r="N44" s="547">
        <f t="shared" si="2"/>
        <v>4032328.1332876137</v>
      </c>
      <c r="O44" s="480">
        <f t="shared" si="2"/>
        <v>21549935.189209107</v>
      </c>
      <c r="P44" s="547">
        <f t="shared" si="2"/>
        <v>275988.85583333333</v>
      </c>
      <c r="Q44" s="480">
        <f t="shared" si="2"/>
        <v>15203405.280611286</v>
      </c>
      <c r="R44" s="481">
        <f t="shared" si="2"/>
        <v>7701509.6272405377</v>
      </c>
      <c r="S44" s="480">
        <f t="shared" si="2"/>
        <v>0</v>
      </c>
      <c r="T44" s="480">
        <f t="shared" si="2"/>
        <v>0</v>
      </c>
    </row>
    <row r="45" spans="1:20">
      <c r="A45" s="478"/>
      <c r="B45" s="490" t="s">
        <v>547</v>
      </c>
      <c r="C45" s="480">
        <f t="shared" si="2"/>
        <v>5811243.5200000023</v>
      </c>
      <c r="D45" s="547">
        <f t="shared" si="2"/>
        <v>2873396.7299999995</v>
      </c>
      <c r="E45" s="480">
        <f t="shared" si="2"/>
        <v>3969106.9450000003</v>
      </c>
      <c r="F45" s="547">
        <f t="shared" si="2"/>
        <v>6854912.4100000001</v>
      </c>
      <c r="G45" s="480">
        <f t="shared" si="2"/>
        <v>29007011.093514413</v>
      </c>
      <c r="H45" s="547">
        <f t="shared" si="2"/>
        <v>205759171.09645769</v>
      </c>
      <c r="I45" s="480">
        <f t="shared" si="2"/>
        <v>196555656.32967687</v>
      </c>
      <c r="J45" s="547">
        <f t="shared" si="2"/>
        <v>416631.9200000001</v>
      </c>
      <c r="K45" s="480">
        <f t="shared" si="2"/>
        <v>109191.25000000001</v>
      </c>
      <c r="L45" s="547">
        <f t="shared" si="2"/>
        <v>38366.859999999971</v>
      </c>
      <c r="M45" s="480">
        <f t="shared" si="2"/>
        <v>196917.70999999996</v>
      </c>
      <c r="N45" s="547">
        <f t="shared" si="2"/>
        <v>4025683.2039354211</v>
      </c>
      <c r="O45" s="480">
        <f t="shared" si="2"/>
        <v>21513004.560871087</v>
      </c>
      <c r="P45" s="547">
        <f t="shared" si="2"/>
        <v>275272.00166666665</v>
      </c>
      <c r="Q45" s="480">
        <f t="shared" si="2"/>
        <v>15176821.850913536</v>
      </c>
      <c r="R45" s="481">
        <f t="shared" si="2"/>
        <v>7690724.8421698911</v>
      </c>
      <c r="S45" s="480">
        <f t="shared" si="2"/>
        <v>0</v>
      </c>
      <c r="T45" s="480">
        <f t="shared" si="2"/>
        <v>204180.23397761269</v>
      </c>
    </row>
    <row r="46" spans="1:20">
      <c r="A46" s="478"/>
      <c r="B46" s="490" t="s">
        <v>548</v>
      </c>
      <c r="C46" s="480">
        <f t="shared" si="2"/>
        <v>5795764.0700000022</v>
      </c>
      <c r="D46" s="547">
        <f t="shared" si="2"/>
        <v>2865763.1799999997</v>
      </c>
      <c r="E46" s="480">
        <f t="shared" si="2"/>
        <v>3959340.8400000003</v>
      </c>
      <c r="F46" s="547">
        <f t="shared" si="2"/>
        <v>6838045.7000000002</v>
      </c>
      <c r="G46" s="480">
        <f t="shared" si="2"/>
        <v>28956294.543268662</v>
      </c>
      <c r="H46" s="547">
        <f>+H13-H29</f>
        <v>206113468.64446315</v>
      </c>
      <c r="I46" s="480">
        <f t="shared" si="2"/>
        <v>201299512.6365059</v>
      </c>
      <c r="J46" s="547">
        <f t="shared" si="2"/>
        <v>415607.22000000009</v>
      </c>
      <c r="K46" s="480">
        <f t="shared" si="2"/>
        <v>108911.69000000002</v>
      </c>
      <c r="L46" s="547">
        <f t="shared" si="2"/>
        <v>38273.689999999973</v>
      </c>
      <c r="M46" s="480">
        <f t="shared" si="2"/>
        <v>196504.60999999996</v>
      </c>
      <c r="N46" s="547">
        <f t="shared" si="2"/>
        <v>4019038.2745832279</v>
      </c>
      <c r="O46" s="480">
        <f t="shared" si="2"/>
        <v>21483540.574541785</v>
      </c>
      <c r="P46" s="547">
        <f t="shared" si="2"/>
        <v>274555.14749999996</v>
      </c>
      <c r="Q46" s="480">
        <f t="shared" si="2"/>
        <v>15150238.421215786</v>
      </c>
      <c r="R46" s="481">
        <f t="shared" si="2"/>
        <v>7677911.4687419208</v>
      </c>
      <c r="S46" s="480">
        <f t="shared" si="2"/>
        <v>0</v>
      </c>
      <c r="T46" s="480">
        <f t="shared" si="2"/>
        <v>203824.38193283803</v>
      </c>
    </row>
    <row r="47" spans="1:20">
      <c r="A47" s="478"/>
      <c r="B47" s="490" t="s">
        <v>549</v>
      </c>
      <c r="C47" s="480">
        <f t="shared" si="2"/>
        <v>5780284.620000002</v>
      </c>
      <c r="D47" s="547">
        <f t="shared" si="2"/>
        <v>2858129.63</v>
      </c>
      <c r="E47" s="480">
        <f t="shared" si="2"/>
        <v>3949574.7350000003</v>
      </c>
      <c r="F47" s="547">
        <f t="shared" si="2"/>
        <v>6821178.9900000002</v>
      </c>
      <c r="G47" s="480">
        <f t="shared" si="2"/>
        <v>28905577.993022908</v>
      </c>
      <c r="H47" s="547">
        <f t="shared" si="2"/>
        <v>207376260.95334253</v>
      </c>
      <c r="I47" s="480">
        <f t="shared" si="2"/>
        <v>206231036.38361949</v>
      </c>
      <c r="J47" s="547">
        <f t="shared" si="2"/>
        <v>414582.52000000008</v>
      </c>
      <c r="K47" s="480">
        <f t="shared" si="2"/>
        <v>108632.13000000002</v>
      </c>
      <c r="L47" s="547">
        <f t="shared" si="2"/>
        <v>38180.519999999975</v>
      </c>
      <c r="M47" s="480">
        <f t="shared" si="2"/>
        <v>196091.50999999995</v>
      </c>
      <c r="N47" s="547">
        <f t="shared" si="2"/>
        <v>4012393.3452310353</v>
      </c>
      <c r="O47" s="480">
        <f t="shared" si="2"/>
        <v>21450511.231320038</v>
      </c>
      <c r="P47" s="547">
        <f t="shared" si="2"/>
        <v>273838.29333333333</v>
      </c>
      <c r="Q47" s="480">
        <f t="shared" si="2"/>
        <v>15123654.991518036</v>
      </c>
      <c r="R47" s="481">
        <f t="shared" si="2"/>
        <v>14322933.943075735</v>
      </c>
      <c r="S47" s="480">
        <f t="shared" si="2"/>
        <v>1070305.0984901136</v>
      </c>
      <c r="T47" s="480">
        <f t="shared" si="2"/>
        <v>203468.52988806341</v>
      </c>
    </row>
    <row r="48" spans="1:20">
      <c r="A48" s="478"/>
      <c r="B48" s="490" t="s">
        <v>61</v>
      </c>
      <c r="C48" s="480">
        <f t="shared" si="2"/>
        <v>5764805.1700000018</v>
      </c>
      <c r="D48" s="547">
        <f t="shared" si="2"/>
        <v>2850496.0799999996</v>
      </c>
      <c r="E48" s="480">
        <f t="shared" si="2"/>
        <v>3939808.6300000004</v>
      </c>
      <c r="F48" s="547">
        <f t="shared" si="2"/>
        <v>6804312.2800000003</v>
      </c>
      <c r="G48" s="480">
        <f t="shared" si="2"/>
        <v>28854861.442777157</v>
      </c>
      <c r="H48" s="547">
        <f t="shared" si="2"/>
        <v>207320101.23134249</v>
      </c>
      <c r="I48" s="480">
        <f t="shared" si="2"/>
        <v>212198272.18370152</v>
      </c>
      <c r="J48" s="547">
        <f t="shared" si="2"/>
        <v>413557.82000000012</v>
      </c>
      <c r="K48" s="480">
        <f t="shared" si="2"/>
        <v>108352.57</v>
      </c>
      <c r="L48" s="547">
        <f t="shared" si="2"/>
        <v>38087.349999999969</v>
      </c>
      <c r="M48" s="480">
        <f t="shared" si="2"/>
        <v>195678.40999999995</v>
      </c>
      <c r="N48" s="547">
        <f t="shared" si="2"/>
        <v>4005748.4158788426</v>
      </c>
      <c r="O48" s="480">
        <f t="shared" si="2"/>
        <v>21413788.062021941</v>
      </c>
      <c r="P48" s="547">
        <f t="shared" si="2"/>
        <v>273121.43916666665</v>
      </c>
      <c r="Q48" s="480">
        <f t="shared" si="2"/>
        <v>15097071.561820285</v>
      </c>
      <c r="R48" s="481">
        <f t="shared" si="2"/>
        <v>14609666.918425296</v>
      </c>
      <c r="S48" s="480">
        <f t="shared" si="2"/>
        <v>1080181.6933346575</v>
      </c>
      <c r="T48" s="480">
        <f t="shared" si="2"/>
        <v>203112.67784328875</v>
      </c>
    </row>
    <row r="49" spans="1:20">
      <c r="A49" s="478"/>
      <c r="B49" s="490" t="s">
        <v>550</v>
      </c>
      <c r="C49" s="480">
        <f t="shared" si="2"/>
        <v>5749325.7200000025</v>
      </c>
      <c r="D49" s="547">
        <f t="shared" si="2"/>
        <v>2842862.5299999993</v>
      </c>
      <c r="E49" s="480">
        <f t="shared" si="2"/>
        <v>3930042.5250000004</v>
      </c>
      <c r="F49" s="547">
        <f t="shared" si="2"/>
        <v>6787445.5700000003</v>
      </c>
      <c r="G49" s="480">
        <f t="shared" si="2"/>
        <v>28804144.892531402</v>
      </c>
      <c r="H49" s="547">
        <f t="shared" si="2"/>
        <v>205334611.90295154</v>
      </c>
      <c r="I49" s="480">
        <f t="shared" si="2"/>
        <v>216278002.89170185</v>
      </c>
      <c r="J49" s="547">
        <f t="shared" si="2"/>
        <v>412533.12000000011</v>
      </c>
      <c r="K49" s="480">
        <f t="shared" si="2"/>
        <v>108073.01000000001</v>
      </c>
      <c r="L49" s="547">
        <f t="shared" si="2"/>
        <v>37994.179999999971</v>
      </c>
      <c r="M49" s="480">
        <f t="shared" si="2"/>
        <v>195265.30999999994</v>
      </c>
      <c r="N49" s="547">
        <f t="shared" si="2"/>
        <v>3999103.4865266494</v>
      </c>
      <c r="O49" s="480">
        <f t="shared" si="2"/>
        <v>21374462.411604267</v>
      </c>
      <c r="P49" s="547">
        <f t="shared" si="2"/>
        <v>272404.58499999996</v>
      </c>
      <c r="Q49" s="480">
        <f t="shared" si="2"/>
        <v>15070488.132122535</v>
      </c>
      <c r="R49" s="481">
        <f t="shared" si="2"/>
        <v>19668334.230213784</v>
      </c>
      <c r="S49" s="480">
        <f t="shared" si="2"/>
        <v>1091752.8394150457</v>
      </c>
      <c r="T49" s="480">
        <f t="shared" si="2"/>
        <v>202756.82579851412</v>
      </c>
    </row>
    <row r="50" spans="1:20">
      <c r="A50" s="478"/>
      <c r="B50" s="490" t="s">
        <v>551</v>
      </c>
      <c r="C50" s="480">
        <f t="shared" si="2"/>
        <v>5733846.2700000023</v>
      </c>
      <c r="D50" s="547">
        <f t="shared" si="2"/>
        <v>2835228.9799999995</v>
      </c>
      <c r="E50" s="480">
        <f t="shared" si="2"/>
        <v>3920276.4200000004</v>
      </c>
      <c r="F50" s="547">
        <f t="shared" si="2"/>
        <v>6770578.8600000003</v>
      </c>
      <c r="G50" s="480">
        <f t="shared" si="2"/>
        <v>28753428.342285648</v>
      </c>
      <c r="H50" s="547">
        <f t="shared" si="2"/>
        <v>205185445.83149463</v>
      </c>
      <c r="I50" s="480">
        <f t="shared" si="2"/>
        <v>218163005.77167588</v>
      </c>
      <c r="J50" s="547">
        <f t="shared" si="2"/>
        <v>411508.4200000001</v>
      </c>
      <c r="K50" s="480">
        <f t="shared" si="2"/>
        <v>107793.45000000001</v>
      </c>
      <c r="L50" s="547">
        <f t="shared" si="2"/>
        <v>37901.009999999966</v>
      </c>
      <c r="M50" s="480">
        <f t="shared" si="2"/>
        <v>194852.20999999996</v>
      </c>
      <c r="N50" s="547">
        <f t="shared" si="2"/>
        <v>3992458.5571744568</v>
      </c>
      <c r="O50" s="480">
        <f t="shared" si="2"/>
        <v>21329377.833942022</v>
      </c>
      <c r="P50" s="547">
        <f t="shared" si="2"/>
        <v>271687.73083333333</v>
      </c>
      <c r="Q50" s="480">
        <f t="shared" si="2"/>
        <v>15043904.702424785</v>
      </c>
      <c r="R50" s="481">
        <f t="shared" si="2"/>
        <v>19801281.222150862</v>
      </c>
      <c r="S50" s="480">
        <f t="shared" si="2"/>
        <v>1435069.6331737638</v>
      </c>
      <c r="T50" s="480">
        <f t="shared" si="2"/>
        <v>202400.97375373947</v>
      </c>
    </row>
    <row r="51" spans="1:20">
      <c r="A51" s="478"/>
      <c r="B51" s="490" t="s">
        <v>552</v>
      </c>
      <c r="C51" s="480">
        <f t="shared" si="2"/>
        <v>5718366.8200000022</v>
      </c>
      <c r="D51" s="547">
        <f t="shared" si="2"/>
        <v>2827595.4299999997</v>
      </c>
      <c r="E51" s="480">
        <f t="shared" si="2"/>
        <v>3910510.3150000004</v>
      </c>
      <c r="F51" s="547">
        <f t="shared" si="2"/>
        <v>6753712.1500000004</v>
      </c>
      <c r="G51" s="480">
        <f t="shared" si="2"/>
        <v>28690468.053487148</v>
      </c>
      <c r="H51" s="547">
        <f t="shared" si="2"/>
        <v>206188779.16038185</v>
      </c>
      <c r="I51" s="480">
        <f t="shared" si="2"/>
        <v>218503123.38721386</v>
      </c>
      <c r="J51" s="547">
        <f t="shared" si="2"/>
        <v>410483.72000000009</v>
      </c>
      <c r="K51" s="480">
        <f t="shared" si="2"/>
        <v>107513.89000000001</v>
      </c>
      <c r="L51" s="547">
        <f t="shared" si="2"/>
        <v>37807.839999999967</v>
      </c>
      <c r="M51" s="480">
        <f t="shared" si="2"/>
        <v>194439.10999999996</v>
      </c>
      <c r="N51" s="547">
        <f t="shared" si="2"/>
        <v>3985813.6278222641</v>
      </c>
      <c r="O51" s="480">
        <f t="shared" si="2"/>
        <v>21287386.649414957</v>
      </c>
      <c r="P51" s="547">
        <f t="shared" si="2"/>
        <v>270970.87666666665</v>
      </c>
      <c r="Q51" s="480">
        <f t="shared" si="2"/>
        <v>15017321.272727035</v>
      </c>
      <c r="R51" s="481">
        <f t="shared" si="2"/>
        <v>19807832.220923677</v>
      </c>
      <c r="S51" s="480">
        <f t="shared" si="2"/>
        <v>1505221.2518771791</v>
      </c>
      <c r="T51" s="480">
        <f t="shared" si="2"/>
        <v>202045.12170896484</v>
      </c>
    </row>
    <row r="52" spans="1:20">
      <c r="A52" s="478"/>
      <c r="B52" s="490" t="s">
        <v>553</v>
      </c>
      <c r="C52" s="480">
        <f t="shared" si="2"/>
        <v>5702887.3700000029</v>
      </c>
      <c r="D52" s="547">
        <f t="shared" si="2"/>
        <v>2819961.8799999994</v>
      </c>
      <c r="E52" s="480">
        <f t="shared" si="2"/>
        <v>3900744.2100000004</v>
      </c>
      <c r="F52" s="547">
        <f t="shared" si="2"/>
        <v>6736845.4400000004</v>
      </c>
      <c r="G52" s="480">
        <f t="shared" si="2"/>
        <v>28639751.486788873</v>
      </c>
      <c r="H52" s="547">
        <f t="shared" si="2"/>
        <v>206013457.58446208</v>
      </c>
      <c r="I52" s="480">
        <f t="shared" si="2"/>
        <v>214469254.46545172</v>
      </c>
      <c r="J52" s="547">
        <f t="shared" si="2"/>
        <v>409459.02000000014</v>
      </c>
      <c r="K52" s="480">
        <f t="shared" si="2"/>
        <v>107234.33000000002</v>
      </c>
      <c r="L52" s="547">
        <f t="shared" si="2"/>
        <v>37714.669999999969</v>
      </c>
      <c r="M52" s="480">
        <f t="shared" si="2"/>
        <v>194026.00999999995</v>
      </c>
      <c r="N52" s="547">
        <f t="shared" si="2"/>
        <v>3979168.6984700714</v>
      </c>
      <c r="O52" s="480">
        <f t="shared" si="2"/>
        <v>21249445.006716773</v>
      </c>
      <c r="P52" s="547">
        <f t="shared" si="2"/>
        <v>270254.02249999996</v>
      </c>
      <c r="Q52" s="480">
        <f t="shared" si="2"/>
        <v>14990737.843029285</v>
      </c>
      <c r="R52" s="481">
        <f t="shared" si="2"/>
        <v>19035079.119499207</v>
      </c>
      <c r="S52" s="480">
        <f t="shared" si="2"/>
        <v>1531358.6662047054</v>
      </c>
      <c r="T52" s="480">
        <f t="shared" si="2"/>
        <v>201689.26966419019</v>
      </c>
    </row>
    <row r="53" spans="1:20">
      <c r="A53" s="478"/>
      <c r="B53" s="490" t="s">
        <v>554</v>
      </c>
      <c r="C53" s="480">
        <f t="shared" si="2"/>
        <v>5687407.9200000027</v>
      </c>
      <c r="D53" s="547">
        <f t="shared" si="2"/>
        <v>2812328.3299999991</v>
      </c>
      <c r="E53" s="480">
        <f>+E20-E36</f>
        <v>3890978.1050000004</v>
      </c>
      <c r="F53" s="547">
        <f t="shared" si="2"/>
        <v>6719978.7300000004</v>
      </c>
      <c r="G53" s="480">
        <f t="shared" si="2"/>
        <v>28589034.920090593</v>
      </c>
      <c r="H53" s="547">
        <f t="shared" si="2"/>
        <v>206078922.09996805</v>
      </c>
      <c r="I53" s="480">
        <f t="shared" si="2"/>
        <v>214892629.61741114</v>
      </c>
      <c r="J53" s="547">
        <f t="shared" si="2"/>
        <v>408434.32000000012</v>
      </c>
      <c r="K53" s="480">
        <f t="shared" si="2"/>
        <v>106954.77</v>
      </c>
      <c r="L53" s="547">
        <f t="shared" si="2"/>
        <v>37621.499999999971</v>
      </c>
      <c r="M53" s="480">
        <f t="shared" si="2"/>
        <v>193612.90999999995</v>
      </c>
      <c r="N53" s="547">
        <f t="shared" si="2"/>
        <v>3972543.5717626656</v>
      </c>
      <c r="O53" s="480">
        <f t="shared" si="2"/>
        <v>21212061.010746498</v>
      </c>
      <c r="P53" s="547">
        <f t="shared" si="2"/>
        <v>269537.16833333333</v>
      </c>
      <c r="Q53" s="480">
        <f t="shared" si="2"/>
        <v>14964154.413331535</v>
      </c>
      <c r="R53" s="481">
        <f t="shared" si="2"/>
        <v>19006502.463760126</v>
      </c>
      <c r="S53" s="480">
        <f t="shared" si="2"/>
        <v>1546598.4731578473</v>
      </c>
      <c r="T53" s="480">
        <f t="shared" si="2"/>
        <v>-1475046.4273437331</v>
      </c>
    </row>
    <row r="54" spans="1:20">
      <c r="A54" s="478"/>
      <c r="B54" s="490" t="s">
        <v>555</v>
      </c>
      <c r="C54" s="480">
        <f t="shared" si="2"/>
        <v>5671928.4700000025</v>
      </c>
      <c r="D54" s="547">
        <f t="shared" si="2"/>
        <v>2804694.7799999993</v>
      </c>
      <c r="E54" s="480">
        <f t="shared" si="2"/>
        <v>3881212.0000000005</v>
      </c>
      <c r="F54" s="547">
        <f t="shared" si="2"/>
        <v>6703112.0200000005</v>
      </c>
      <c r="G54" s="480">
        <f t="shared" si="2"/>
        <v>28538318.353392318</v>
      </c>
      <c r="H54" s="547">
        <f t="shared" si="2"/>
        <v>205775290.17109993</v>
      </c>
      <c r="I54" s="480">
        <f t="shared" si="2"/>
        <v>214759388.00954562</v>
      </c>
      <c r="J54" s="547">
        <f t="shared" si="2"/>
        <v>407409.62000000011</v>
      </c>
      <c r="K54" s="480">
        <f t="shared" si="2"/>
        <v>106675.21</v>
      </c>
      <c r="L54" s="547">
        <f t="shared" si="2"/>
        <v>37528.329999999973</v>
      </c>
      <c r="M54" s="480">
        <f t="shared" si="2"/>
        <v>193199.80999999994</v>
      </c>
      <c r="N54" s="547">
        <f t="shared" si="2"/>
        <v>3965898.6077000466</v>
      </c>
      <c r="O54" s="480">
        <f t="shared" si="2"/>
        <v>21174677.014776222</v>
      </c>
      <c r="P54" s="547">
        <f t="shared" si="2"/>
        <v>268820.31416666665</v>
      </c>
      <c r="Q54" s="480">
        <f t="shared" si="2"/>
        <v>14937570.983633785</v>
      </c>
      <c r="R54" s="481">
        <f t="shared" si="2"/>
        <v>18971869.307725646</v>
      </c>
      <c r="S54" s="480">
        <f t="shared" si="2"/>
        <v>3317246.0668742848</v>
      </c>
      <c r="T54" s="480">
        <f t="shared" si="2"/>
        <v>-1336968.6966472371</v>
      </c>
    </row>
    <row r="55" spans="1:20">
      <c r="A55" s="483"/>
      <c r="B55" s="499" t="str">
        <f>+B38</f>
        <v>December 2015</v>
      </c>
      <c r="C55" s="480">
        <f t="shared" si="2"/>
        <v>5656449.0200000023</v>
      </c>
      <c r="D55" s="547">
        <f t="shared" si="2"/>
        <v>2797061.2299999995</v>
      </c>
      <c r="E55" s="480">
        <f t="shared" si="2"/>
        <v>3871445.8950000005</v>
      </c>
      <c r="F55" s="547">
        <f t="shared" si="2"/>
        <v>6686245.3100000005</v>
      </c>
      <c r="G55" s="480">
        <f t="shared" si="2"/>
        <v>28487601.786694039</v>
      </c>
      <c r="H55" s="547">
        <f t="shared" si="2"/>
        <v>200436225.70558363</v>
      </c>
      <c r="I55" s="480">
        <f t="shared" si="2"/>
        <v>214556712.08820316</v>
      </c>
      <c r="J55" s="547">
        <f t="shared" si="2"/>
        <v>406384.9200000001</v>
      </c>
      <c r="K55" s="480">
        <f t="shared" si="2"/>
        <v>106395.65000000001</v>
      </c>
      <c r="L55" s="547">
        <f t="shared" si="2"/>
        <v>37435.159999999974</v>
      </c>
      <c r="M55" s="480">
        <f t="shared" si="2"/>
        <v>192786.70999999996</v>
      </c>
      <c r="N55" s="547">
        <f t="shared" si="2"/>
        <v>3959253.6436374271</v>
      </c>
      <c r="O55" s="480">
        <f t="shared" si="2"/>
        <v>21137293.018805947</v>
      </c>
      <c r="P55" s="547">
        <f t="shared" si="2"/>
        <v>268103.46000000002</v>
      </c>
      <c r="Q55" s="480">
        <f t="shared" si="2"/>
        <v>14910987.553936034</v>
      </c>
      <c r="R55" s="481">
        <f t="shared" si="2"/>
        <v>18338830.640716519</v>
      </c>
      <c r="S55" s="480">
        <f t="shared" si="2"/>
        <v>37061819.039809778</v>
      </c>
      <c r="T55" s="480">
        <f t="shared" si="2"/>
        <v>674065.51841634046</v>
      </c>
    </row>
    <row r="56" spans="1:20">
      <c r="A56" s="485"/>
      <c r="B56" s="486" t="s">
        <v>556</v>
      </c>
      <c r="C56" s="487">
        <f>AVERAGE(C43:C55)</f>
        <v>5749325.7200000007</v>
      </c>
      <c r="D56" s="548">
        <f>AVERAGE(D43:D55)</f>
        <v>2842862.5299999993</v>
      </c>
      <c r="E56" s="487">
        <f t="shared" ref="E56:T56" si="3">AVERAGE(E43:E55)</f>
        <v>3930042.5250000008</v>
      </c>
      <c r="F56" s="548">
        <f t="shared" si="3"/>
        <v>6787445.5699999994</v>
      </c>
      <c r="G56" s="487">
        <f t="shared" si="3"/>
        <v>28799435.749663021</v>
      </c>
      <c r="H56" s="548">
        <f t="shared" si="3"/>
        <v>205550836.71487892</v>
      </c>
      <c r="I56" s="487">
        <f t="shared" si="3"/>
        <v>208329602.25100598</v>
      </c>
      <c r="J56" s="548">
        <f t="shared" si="3"/>
        <v>412533.12000000011</v>
      </c>
      <c r="K56" s="487">
        <f t="shared" si="3"/>
        <v>108073.01</v>
      </c>
      <c r="L56" s="548">
        <f t="shared" si="3"/>
        <v>37994.179999999978</v>
      </c>
      <c r="M56" s="487">
        <f t="shared" si="3"/>
        <v>195265.30999999994</v>
      </c>
      <c r="N56" s="548">
        <f t="shared" si="3"/>
        <v>3999108.0483576558</v>
      </c>
      <c r="O56" s="487">
        <f t="shared" si="3"/>
        <v>21365945.542465482</v>
      </c>
      <c r="P56" s="548">
        <f t="shared" si="3"/>
        <v>272404.58499999996</v>
      </c>
      <c r="Q56" s="487">
        <f t="shared" si="3"/>
        <v>15070488.132122535</v>
      </c>
      <c r="R56" s="488">
        <f t="shared" si="3"/>
        <v>14949524.592528481</v>
      </c>
      <c r="S56" s="487">
        <f t="shared" si="3"/>
        <v>3818427.1355644134</v>
      </c>
      <c r="T56" s="487">
        <f t="shared" si="3"/>
        <v>-39574.737769801402</v>
      </c>
    </row>
    <row r="57" spans="1:20">
      <c r="A57" s="485"/>
      <c r="B57" s="493"/>
      <c r="C57" s="500"/>
      <c r="D57" s="500"/>
      <c r="E57" s="500"/>
      <c r="F57" s="500"/>
      <c r="G57" s="500"/>
      <c r="H57" s="500"/>
      <c r="I57" s="500"/>
      <c r="J57" s="500"/>
      <c r="K57" s="500"/>
      <c r="L57" s="500"/>
      <c r="M57" s="500"/>
      <c r="N57" s="500"/>
      <c r="O57" s="500"/>
      <c r="P57" s="500"/>
      <c r="Q57" s="500"/>
      <c r="R57" s="500"/>
      <c r="S57" s="500"/>
      <c r="T57" s="500"/>
    </row>
    <row r="58" spans="1:20" ht="15.75">
      <c r="A58" s="485"/>
      <c r="B58" s="501"/>
      <c r="C58" s="550"/>
      <c r="D58" s="550"/>
      <c r="E58" s="550"/>
      <c r="F58" s="550"/>
      <c r="G58" s="550"/>
      <c r="H58" s="550"/>
      <c r="I58" s="550"/>
      <c r="J58" s="550"/>
      <c r="K58" s="550"/>
      <c r="L58" s="550"/>
      <c r="M58" s="550"/>
      <c r="N58" s="550"/>
      <c r="O58" s="550"/>
      <c r="P58" s="550"/>
      <c r="Q58" s="550"/>
      <c r="R58" s="550"/>
      <c r="S58" s="550"/>
      <c r="T58" s="550"/>
    </row>
    <row r="59" spans="1:20">
      <c r="A59" s="502" t="s">
        <v>561</v>
      </c>
      <c r="B59" s="503" t="s">
        <v>362</v>
      </c>
      <c r="C59" s="504">
        <v>185753.40000000002</v>
      </c>
      <c r="D59" s="551">
        <v>91602.60000000002</v>
      </c>
      <c r="E59" s="504">
        <v>117193.25999999997</v>
      </c>
      <c r="F59" s="551">
        <v>202400.51999999993</v>
      </c>
      <c r="G59" s="504">
        <v>620842.40731188073</v>
      </c>
      <c r="H59" s="551">
        <v>3448602.4663119847</v>
      </c>
      <c r="I59" s="504">
        <v>1609713.0496918831</v>
      </c>
      <c r="J59" s="551">
        <v>12296.400000000003</v>
      </c>
      <c r="K59" s="504">
        <v>3354.72</v>
      </c>
      <c r="L59" s="552">
        <v>1118.04</v>
      </c>
      <c r="M59" s="504">
        <v>4957.2000000000007</v>
      </c>
      <c r="N59" s="552">
        <v>79739.239002379269</v>
      </c>
      <c r="O59" s="504">
        <v>448533.87118964962</v>
      </c>
      <c r="P59" s="552">
        <v>8602.2500000000018</v>
      </c>
      <c r="Q59" s="504">
        <v>319001.15637300047</v>
      </c>
      <c r="R59" s="552">
        <v>306953.3175105275</v>
      </c>
      <c r="S59" s="504">
        <v>54340.880190224765</v>
      </c>
      <c r="T59" s="504">
        <v>-1462.9984163400211</v>
      </c>
    </row>
    <row r="60" spans="1:20">
      <c r="A60" s="483" t="s">
        <v>562</v>
      </c>
      <c r="B60" s="505" t="s">
        <v>563</v>
      </c>
      <c r="C60" s="480">
        <v>0</v>
      </c>
      <c r="D60" s="547">
        <v>0</v>
      </c>
      <c r="E60" s="480">
        <v>0</v>
      </c>
      <c r="F60" s="553">
        <v>0</v>
      </c>
      <c r="G60" s="480">
        <v>0</v>
      </c>
      <c r="H60" s="553">
        <v>0</v>
      </c>
      <c r="I60" s="480">
        <v>0</v>
      </c>
      <c r="J60" s="553">
        <v>0</v>
      </c>
      <c r="K60" s="480">
        <v>0</v>
      </c>
      <c r="L60" s="554">
        <v>0</v>
      </c>
      <c r="M60" s="480">
        <v>0</v>
      </c>
      <c r="N60" s="554">
        <v>0</v>
      </c>
      <c r="O60" s="480">
        <v>0</v>
      </c>
      <c r="P60" s="554">
        <v>0</v>
      </c>
      <c r="Q60" s="480">
        <v>0</v>
      </c>
      <c r="R60" s="554">
        <v>0</v>
      </c>
      <c r="S60" s="480">
        <v>0</v>
      </c>
      <c r="T60" s="480">
        <v>0</v>
      </c>
    </row>
    <row r="61" spans="1:20">
      <c r="A61" s="461"/>
      <c r="B61" s="486" t="s">
        <v>564</v>
      </c>
      <c r="C61" s="487">
        <f>+C59+C60</f>
        <v>185753.40000000002</v>
      </c>
      <c r="D61" s="548">
        <f>+D59+D60</f>
        <v>91602.60000000002</v>
      </c>
      <c r="E61" s="487">
        <f t="shared" ref="E61:T61" si="4">+E59+E60</f>
        <v>117193.25999999997</v>
      </c>
      <c r="F61" s="548">
        <f t="shared" si="4"/>
        <v>202400.51999999993</v>
      </c>
      <c r="G61" s="487">
        <f t="shared" si="4"/>
        <v>620842.40731188073</v>
      </c>
      <c r="H61" s="548">
        <f t="shared" si="4"/>
        <v>3448602.4663119847</v>
      </c>
      <c r="I61" s="487">
        <f t="shared" si="4"/>
        <v>1609713.0496918831</v>
      </c>
      <c r="J61" s="548">
        <f t="shared" si="4"/>
        <v>12296.400000000003</v>
      </c>
      <c r="K61" s="487">
        <f t="shared" si="4"/>
        <v>3354.72</v>
      </c>
      <c r="L61" s="548">
        <f t="shared" si="4"/>
        <v>1118.04</v>
      </c>
      <c r="M61" s="487">
        <f t="shared" si="4"/>
        <v>4957.2000000000007</v>
      </c>
      <c r="N61" s="548">
        <f t="shared" si="4"/>
        <v>79739.239002379269</v>
      </c>
      <c r="O61" s="487">
        <f t="shared" si="4"/>
        <v>448533.87118964962</v>
      </c>
      <c r="P61" s="548">
        <f t="shared" si="4"/>
        <v>8602.2500000000018</v>
      </c>
      <c r="Q61" s="487">
        <f t="shared" si="4"/>
        <v>319001.15637300047</v>
      </c>
      <c r="R61" s="488">
        <f t="shared" si="4"/>
        <v>306953.3175105275</v>
      </c>
      <c r="S61" s="487">
        <f t="shared" si="4"/>
        <v>54340.880190224765</v>
      </c>
      <c r="T61" s="487">
        <f t="shared" si="4"/>
        <v>-1462.9984163400211</v>
      </c>
    </row>
    <row r="62" spans="1:20">
      <c r="E62" s="393"/>
      <c r="G62" s="467"/>
    </row>
    <row r="63" spans="1:20" s="506" customFormat="1"/>
    <row r="64" spans="1:20" s="506" customFormat="1"/>
    <row r="65" s="506" customFormat="1"/>
  </sheetData>
  <dataValidations disablePrompts="1" count="1">
    <dataValidation type="list" allowBlank="1" showInputMessage="1" showErrorMessage="1" sqref="C9:T9">
      <formula1>$Q$6:$Q$7</formula1>
    </dataValidation>
  </dataValidations>
  <pageMargins left="0.7" right="0.7" top="0.75" bottom="0.75" header="0.3" footer="0.3"/>
  <pageSetup paperSize="256" scale="4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59999389629810485"/>
    <pageSetUpPr fitToPage="1"/>
  </sheetPr>
  <dimension ref="B2:O38"/>
  <sheetViews>
    <sheetView showGridLines="0" workbookViewId="0">
      <selection activeCell="N39" sqref="N39"/>
    </sheetView>
  </sheetViews>
  <sheetFormatPr defaultRowHeight="14.25"/>
  <cols>
    <col min="1" max="1" width="1.5" style="402" customWidth="1"/>
    <col min="2" max="2" width="4.75" style="402" customWidth="1"/>
    <col min="3" max="3" width="22.625" style="402" customWidth="1"/>
    <col min="4" max="4" width="9" style="402"/>
    <col min="5" max="5" width="13.5" style="402" bestFit="1" customWidth="1"/>
    <col min="6" max="6" width="14.375" style="402" customWidth="1"/>
    <col min="7" max="7" width="17.625" style="402" bestFit="1" customWidth="1"/>
    <col min="8" max="8" width="15" style="402" customWidth="1"/>
    <col min="9" max="9" width="13.125" style="402" bestFit="1" customWidth="1"/>
    <col min="10" max="10" width="11.5" style="402" bestFit="1" customWidth="1"/>
    <col min="11" max="11" width="13.375" style="402" bestFit="1" customWidth="1"/>
    <col min="12" max="12" width="13.5" style="402" customWidth="1"/>
    <col min="13" max="14" width="9" style="402"/>
    <col min="15" max="15" width="10.75" style="402" bestFit="1" customWidth="1"/>
    <col min="16" max="16384" width="9" style="402"/>
  </cols>
  <sheetData>
    <row r="2" spans="2:12" ht="15">
      <c r="B2" s="401" t="s">
        <v>486</v>
      </c>
    </row>
    <row r="3" spans="2:12">
      <c r="B3" s="402" t="s">
        <v>487</v>
      </c>
    </row>
    <row r="6" spans="2:12">
      <c r="C6" s="403" t="s">
        <v>488</v>
      </c>
      <c r="D6" s="404" t="s">
        <v>489</v>
      </c>
      <c r="E6" s="404"/>
      <c r="F6" s="404"/>
    </row>
    <row r="7" spans="2:12">
      <c r="C7" s="403" t="s">
        <v>490</v>
      </c>
      <c r="D7" s="404">
        <v>2015</v>
      </c>
      <c r="E7" s="404"/>
      <c r="F7" s="404"/>
    </row>
    <row r="8" spans="2:12">
      <c r="C8" s="403" t="s">
        <v>491</v>
      </c>
      <c r="D8" s="437"/>
      <c r="E8" s="437"/>
      <c r="F8" s="437"/>
    </row>
    <row r="11" spans="2:12">
      <c r="B11" s="405" t="s">
        <v>492</v>
      </c>
      <c r="C11" s="405" t="s">
        <v>493</v>
      </c>
      <c r="D11" s="405" t="s">
        <v>494</v>
      </c>
      <c r="E11" s="405" t="s">
        <v>495</v>
      </c>
      <c r="F11" s="405" t="s">
        <v>496</v>
      </c>
      <c r="G11" s="405" t="s">
        <v>497</v>
      </c>
      <c r="H11" s="405" t="s">
        <v>498</v>
      </c>
      <c r="I11" s="405" t="s">
        <v>499</v>
      </c>
      <c r="J11" s="405" t="s">
        <v>500</v>
      </c>
      <c r="K11" s="405" t="s">
        <v>501</v>
      </c>
      <c r="L11" s="405" t="s">
        <v>502</v>
      </c>
    </row>
    <row r="12" spans="2:12">
      <c r="B12" s="406"/>
      <c r="C12" s="407"/>
      <c r="D12" s="407"/>
      <c r="E12" s="407"/>
      <c r="F12" s="407"/>
      <c r="G12" s="408" t="s">
        <v>181</v>
      </c>
      <c r="H12" s="407"/>
      <c r="I12" s="407"/>
      <c r="J12" s="407"/>
      <c r="K12" s="407"/>
      <c r="L12" s="409"/>
    </row>
    <row r="13" spans="2:12">
      <c r="B13" s="410"/>
      <c r="C13" s="411"/>
      <c r="D13" s="411"/>
      <c r="E13" s="411"/>
      <c r="F13" s="412" t="s">
        <v>97</v>
      </c>
      <c r="G13" s="412" t="s">
        <v>414</v>
      </c>
      <c r="H13" s="412" t="s">
        <v>181</v>
      </c>
      <c r="I13" s="412" t="s">
        <v>49</v>
      </c>
      <c r="J13" s="412" t="s">
        <v>503</v>
      </c>
      <c r="K13" s="412" t="s">
        <v>49</v>
      </c>
      <c r="L13" s="413"/>
    </row>
    <row r="14" spans="2:12">
      <c r="B14" s="410"/>
      <c r="C14" s="411"/>
      <c r="D14" s="412" t="s">
        <v>504</v>
      </c>
      <c r="E14" s="412" t="s">
        <v>181</v>
      </c>
      <c r="F14" s="412" t="s">
        <v>505</v>
      </c>
      <c r="G14" s="412" t="s">
        <v>506</v>
      </c>
      <c r="H14" s="412" t="s">
        <v>505</v>
      </c>
      <c r="I14" s="412" t="s">
        <v>50</v>
      </c>
      <c r="J14" s="412" t="s">
        <v>52</v>
      </c>
      <c r="K14" s="412" t="s">
        <v>50</v>
      </c>
      <c r="L14" s="414" t="s">
        <v>73</v>
      </c>
    </row>
    <row r="15" spans="2:12">
      <c r="B15" s="415" t="s">
        <v>305</v>
      </c>
      <c r="C15" s="412" t="s">
        <v>103</v>
      </c>
      <c r="D15" s="412" t="s">
        <v>103</v>
      </c>
      <c r="E15" s="412" t="s">
        <v>414</v>
      </c>
      <c r="F15" s="412" t="s">
        <v>99</v>
      </c>
      <c r="G15" s="412" t="s">
        <v>507</v>
      </c>
      <c r="H15" s="412" t="s">
        <v>99</v>
      </c>
      <c r="I15" s="412" t="s">
        <v>105</v>
      </c>
      <c r="J15" s="412" t="s">
        <v>508</v>
      </c>
      <c r="K15" s="412" t="s">
        <v>52</v>
      </c>
      <c r="L15" s="414" t="s">
        <v>49</v>
      </c>
    </row>
    <row r="16" spans="2:12" ht="16.5">
      <c r="B16" s="416" t="s">
        <v>309</v>
      </c>
      <c r="C16" s="417" t="s">
        <v>509</v>
      </c>
      <c r="D16" s="417" t="s">
        <v>510</v>
      </c>
      <c r="E16" s="417" t="s">
        <v>506</v>
      </c>
      <c r="F16" s="417" t="s">
        <v>528</v>
      </c>
      <c r="G16" s="417" t="s">
        <v>529</v>
      </c>
      <c r="H16" s="417" t="s">
        <v>528</v>
      </c>
      <c r="I16" s="417" t="s">
        <v>511</v>
      </c>
      <c r="J16" s="417" t="s">
        <v>511</v>
      </c>
      <c r="K16" s="417" t="s">
        <v>511</v>
      </c>
      <c r="L16" s="418" t="s">
        <v>50</v>
      </c>
    </row>
    <row r="17" spans="2:15" s="391" customFormat="1" ht="12.75">
      <c r="B17" s="392"/>
      <c r="C17" s="393"/>
      <c r="D17" s="393"/>
      <c r="E17" s="393"/>
      <c r="F17" s="395" t="s">
        <v>97</v>
      </c>
      <c r="G17" s="395" t="s">
        <v>512</v>
      </c>
      <c r="H17" s="395" t="s">
        <v>181</v>
      </c>
      <c r="I17" s="393"/>
      <c r="J17" s="393"/>
      <c r="K17" s="393"/>
      <c r="L17" s="394"/>
    </row>
    <row r="18" spans="2:15" s="391" customFormat="1" ht="12.75">
      <c r="B18" s="392"/>
      <c r="C18" s="393"/>
      <c r="D18" s="393"/>
      <c r="E18" s="393"/>
      <c r="F18" s="395" t="s">
        <v>414</v>
      </c>
      <c r="G18" s="395" t="s">
        <v>513</v>
      </c>
      <c r="H18" s="395" t="s">
        <v>414</v>
      </c>
      <c r="I18" s="393"/>
      <c r="J18" s="395" t="s">
        <v>514</v>
      </c>
      <c r="K18" s="395" t="s">
        <v>515</v>
      </c>
      <c r="L18" s="394"/>
    </row>
    <row r="19" spans="2:15" s="391" customFormat="1">
      <c r="B19" s="396"/>
      <c r="C19" s="397"/>
      <c r="D19" s="397"/>
      <c r="E19" s="397"/>
      <c r="F19" s="398" t="s">
        <v>531</v>
      </c>
      <c r="G19" s="398" t="s">
        <v>532</v>
      </c>
      <c r="H19" s="398" t="s">
        <v>531</v>
      </c>
      <c r="I19" s="398" t="s">
        <v>516</v>
      </c>
      <c r="J19" s="398" t="s">
        <v>517</v>
      </c>
      <c r="K19" s="398" t="s">
        <v>533</v>
      </c>
      <c r="L19" s="399" t="s">
        <v>518</v>
      </c>
    </row>
    <row r="20" spans="2:15" ht="9.75" customHeight="1">
      <c r="B20" s="406"/>
      <c r="C20" s="407"/>
      <c r="D20" s="407"/>
      <c r="E20" s="407"/>
      <c r="F20" s="407"/>
      <c r="G20" s="407"/>
      <c r="H20" s="407"/>
      <c r="I20" s="407"/>
      <c r="J20" s="407"/>
      <c r="K20" s="407"/>
      <c r="L20" s="409"/>
    </row>
    <row r="21" spans="2:15" ht="32.25" customHeight="1">
      <c r="B21" s="420">
        <v>1</v>
      </c>
      <c r="C21" s="685" t="s">
        <v>530</v>
      </c>
      <c r="D21" s="685"/>
      <c r="E21" s="435">
        <f>54304597.61+1388236</f>
        <v>55692833.609999999</v>
      </c>
      <c r="F21" s="411"/>
      <c r="G21" s="411"/>
      <c r="H21" s="411"/>
      <c r="I21" s="411"/>
      <c r="J21" s="411"/>
      <c r="K21" s="411"/>
      <c r="L21" s="413"/>
      <c r="O21" s="638"/>
    </row>
    <row r="22" spans="2:15" ht="6.75" customHeight="1">
      <c r="B22" s="415"/>
      <c r="C22" s="411"/>
      <c r="D22" s="411"/>
      <c r="E22" s="411"/>
      <c r="F22" s="411"/>
      <c r="G22" s="411"/>
      <c r="H22" s="411"/>
      <c r="I22" s="411"/>
      <c r="J22" s="411"/>
      <c r="K22" s="411"/>
      <c r="L22" s="413"/>
      <c r="O22" s="638"/>
    </row>
    <row r="23" spans="2:15">
      <c r="B23" s="415" t="s">
        <v>519</v>
      </c>
      <c r="C23" s="411" t="s">
        <v>520</v>
      </c>
      <c r="D23" s="411"/>
      <c r="E23" s="421"/>
      <c r="F23" s="436">
        <f>58406147+1388236</f>
        <v>59794383</v>
      </c>
      <c r="G23" s="421">
        <f>IF(F23=0,0,ROUND($E$21*(F23/$F$30),0))</f>
        <v>55692834</v>
      </c>
      <c r="H23" s="586">
        <f>59928965.69+1388236</f>
        <v>61317201.689999998</v>
      </c>
      <c r="I23" s="422">
        <f>+H23-G23</f>
        <v>5624367.6899999976</v>
      </c>
      <c r="J23" s="423">
        <f>IF(I23&gt;0,$J$34,$J$35)</f>
        <v>3.9999999999999996E-4</v>
      </c>
      <c r="K23" s="422">
        <f>ROUND((I23*J23)*24,0)</f>
        <v>53994</v>
      </c>
      <c r="L23" s="424">
        <f>+I23+K23</f>
        <v>5678361.6899999976</v>
      </c>
      <c r="N23" s="581"/>
      <c r="O23" s="639">
        <f>F23-H23</f>
        <v>-1522818.6899999976</v>
      </c>
    </row>
    <row r="24" spans="2:15">
      <c r="B24" s="427"/>
      <c r="C24" s="428"/>
      <c r="D24" s="428"/>
      <c r="E24" s="429"/>
      <c r="F24" s="430"/>
      <c r="G24" s="429"/>
      <c r="H24" s="430"/>
      <c r="I24" s="431"/>
      <c r="J24" s="432"/>
      <c r="K24" s="431"/>
      <c r="L24" s="433"/>
      <c r="O24" s="639">
        <f>G23-F23</f>
        <v>-4101549</v>
      </c>
    </row>
    <row r="25" spans="2:15">
      <c r="B25" s="427"/>
      <c r="C25" s="428"/>
      <c r="D25" s="428"/>
      <c r="E25" s="429"/>
      <c r="F25" s="430"/>
      <c r="G25" s="429"/>
      <c r="H25" s="430"/>
      <c r="I25" s="431"/>
      <c r="J25" s="432"/>
      <c r="K25" s="431"/>
      <c r="L25" s="433"/>
      <c r="O25" s="639">
        <f>O23+O24</f>
        <v>-5624367.6899999976</v>
      </c>
    </row>
    <row r="26" spans="2:15">
      <c r="B26" s="427"/>
      <c r="C26" s="428"/>
      <c r="D26" s="428"/>
      <c r="E26" s="429"/>
      <c r="F26" s="430"/>
      <c r="G26" s="429"/>
      <c r="H26" s="430"/>
      <c r="I26" s="431"/>
      <c r="J26" s="432"/>
      <c r="K26" s="431"/>
      <c r="L26" s="433"/>
    </row>
    <row r="27" spans="2:15">
      <c r="B27" s="427"/>
      <c r="C27" s="428"/>
      <c r="D27" s="428"/>
      <c r="E27" s="428"/>
      <c r="F27" s="428"/>
      <c r="G27" s="428"/>
      <c r="H27" s="431"/>
      <c r="I27" s="428"/>
      <c r="J27" s="428"/>
      <c r="K27" s="428"/>
      <c r="L27" s="434"/>
    </row>
    <row r="28" spans="2:15">
      <c r="B28" s="415"/>
      <c r="C28" s="411"/>
      <c r="D28" s="411"/>
      <c r="E28" s="411"/>
      <c r="F28" s="411"/>
      <c r="G28" s="411"/>
      <c r="H28" s="411"/>
      <c r="I28" s="411"/>
      <c r="J28" s="411"/>
      <c r="K28" s="411"/>
      <c r="L28" s="413"/>
      <c r="O28" s="581"/>
    </row>
    <row r="29" spans="2:15">
      <c r="B29" s="416"/>
      <c r="C29" s="419"/>
      <c r="D29" s="419"/>
      <c r="E29" s="419"/>
      <c r="F29" s="419"/>
      <c r="G29" s="419"/>
      <c r="H29" s="419"/>
      <c r="I29" s="419"/>
      <c r="J29" s="419"/>
      <c r="K29" s="419"/>
      <c r="L29" s="425"/>
    </row>
    <row r="30" spans="2:15">
      <c r="B30" s="405">
        <v>3</v>
      </c>
      <c r="C30" s="402" t="s">
        <v>521</v>
      </c>
      <c r="E30" s="426"/>
      <c r="F30" s="426">
        <f>SUM(F23:F29)</f>
        <v>59794383</v>
      </c>
      <c r="G30" s="426">
        <f>SUM(G23:G29)</f>
        <v>55692834</v>
      </c>
      <c r="H30" s="426">
        <f>SUM(H23:H29)</f>
        <v>61317201.689999998</v>
      </c>
      <c r="I30" s="426"/>
      <c r="M30" s="426"/>
      <c r="N30" s="426"/>
    </row>
    <row r="31" spans="2:15">
      <c r="B31" s="405"/>
    </row>
    <row r="32" spans="2:15">
      <c r="B32" s="405">
        <v>4</v>
      </c>
      <c r="C32" s="402" t="s">
        <v>522</v>
      </c>
      <c r="I32" s="426">
        <f>SUM(I23:I29)</f>
        <v>5624367.6899999976</v>
      </c>
      <c r="K32" s="426">
        <f>SUM(K23:K29)</f>
        <v>53994</v>
      </c>
      <c r="L32" s="426">
        <f>SUM(L23:L29)</f>
        <v>5678361.6899999976</v>
      </c>
    </row>
    <row r="33" spans="2:10">
      <c r="B33" s="405"/>
    </row>
    <row r="34" spans="2:10">
      <c r="B34" s="405">
        <v>5</v>
      </c>
      <c r="C34" s="402" t="s">
        <v>523</v>
      </c>
      <c r="J34" s="688">
        <f>0.48%/12</f>
        <v>3.9999999999999996E-4</v>
      </c>
    </row>
    <row r="35" spans="2:10">
      <c r="B35" s="405">
        <v>6</v>
      </c>
      <c r="C35" s="402" t="s">
        <v>524</v>
      </c>
      <c r="J35" s="689">
        <f>3.3%/12</f>
        <v>2.7500000000000003E-3</v>
      </c>
    </row>
    <row r="36" spans="2:10">
      <c r="B36" s="405"/>
    </row>
    <row r="37" spans="2:10" ht="16.5">
      <c r="B37" s="400" t="s">
        <v>525</v>
      </c>
      <c r="C37" s="402" t="s">
        <v>526</v>
      </c>
    </row>
    <row r="38" spans="2:10" ht="16.5">
      <c r="B38" s="400" t="s">
        <v>399</v>
      </c>
      <c r="C38" s="402" t="s">
        <v>527</v>
      </c>
    </row>
  </sheetData>
  <mergeCells count="1">
    <mergeCell ref="C21:D21"/>
  </mergeCells>
  <phoneticPr fontId="20" type="noConversion"/>
  <pageMargins left="0.75" right="0.75" top="1" bottom="1" header="0.5" footer="0.5"/>
  <pageSetup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Att GG True Up </vt:lpstr>
      <vt:lpstr>Proof of True-Up </vt:lpstr>
      <vt:lpstr>Actual Load</vt:lpstr>
      <vt:lpstr>Zonal Load</vt:lpstr>
      <vt:lpstr>Interest Under Collect </vt:lpstr>
      <vt:lpstr>Interest Over Collect</vt:lpstr>
      <vt:lpstr>Attachment GG Actuals</vt:lpstr>
      <vt:lpstr>Attachment GG Supporting Data</vt:lpstr>
      <vt:lpstr>Att MM True Up</vt:lpstr>
      <vt:lpstr>Attachment MM Actuals</vt:lpstr>
      <vt:lpstr>Attachment MM Supporting Data</vt:lpstr>
      <vt:lpstr>MM Proof of True-Up</vt:lpstr>
      <vt:lpstr>'Actual Load'!Print_Area</vt:lpstr>
      <vt:lpstr>'Att GG True Up '!Print_Area</vt:lpstr>
      <vt:lpstr>'Attachment GG Actuals'!Print_Area</vt:lpstr>
      <vt:lpstr>'Attachment GG Supporting Data'!Print_Area</vt:lpstr>
      <vt:lpstr>'Attachment MM Actuals'!Print_Area</vt:lpstr>
      <vt:lpstr>'Interest Over Collect'!Print_Area</vt:lpstr>
      <vt:lpstr>'Interest Under Collect '!Print_Area</vt:lpstr>
      <vt:lpstr>'Zonal Load'!Print_Area</vt:lpstr>
    </vt:vector>
  </TitlesOfParts>
  <Company>Xcel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Kramer</dc:creator>
  <cp:lastModifiedBy>Teekay</cp:lastModifiedBy>
  <cp:lastPrinted>2016-07-27T20:12:48Z</cp:lastPrinted>
  <dcterms:created xsi:type="dcterms:W3CDTF">2010-07-06T14:39:45Z</dcterms:created>
  <dcterms:modified xsi:type="dcterms:W3CDTF">2016-07-28T19:13:48Z</dcterms:modified>
</cp:coreProperties>
</file>